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D:\Projekte\Multicon\Bauteile\Spannungsregler\"/>
    </mc:Choice>
  </mc:AlternateContent>
  <workbookProtection workbookAlgorithmName="SHA-512" workbookHashValue="DbP24DE7S0DngW599HqljJ9xiYW+q2QxD/ox67QASTWghewtn67ttfmLi+pC55oU73kb6TgLccTIA37//UmZEw==" workbookSaltValue="Mst3C5luR25Ksd0g3almpA==" workbookSpinCount="100000" lockStructure="1"/>
  <bookViews>
    <workbookView xWindow="0" yWindow="0" windowWidth="30720" windowHeight="12912" tabRatio="58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_xlnm.Print_Area" localSheetId="1">'BOM &amp; Schematic'!$A$1:$I$50</definedName>
    <definedName name="_xlnm.Print_Area" localSheetId="0">'LM(2)518x PSR flyback converter'!$A$1:$R$63</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62913"/>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W357" i="29" s="1"/>
  <c r="AA357" i="29" s="1"/>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AH315" i="29" s="1"/>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AH148" i="29" s="1"/>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W106" i="29" s="1"/>
  <c r="AA106" i="29" s="1"/>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X62" i="29"/>
  <c r="Y62" i="29" s="1"/>
  <c r="W189" i="29"/>
  <c r="AA189" i="29" s="1"/>
  <c r="W386" i="29"/>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X148" i="29"/>
  <c r="Y148" i="29" s="1"/>
  <c r="V82" i="29"/>
  <c r="AH82" i="29" s="1"/>
  <c r="U82" i="29"/>
  <c r="AG82" i="29" s="1"/>
  <c r="U520" i="29"/>
  <c r="V520" i="29"/>
  <c r="V491" i="29"/>
  <c r="X491" i="29" s="1"/>
  <c r="Y491" i="29" s="1"/>
  <c r="W13" i="29"/>
  <c r="AA13" i="29" s="1"/>
  <c r="W523" i="29"/>
  <c r="AA523"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U241" i="29"/>
  <c r="AG241" i="29" s="1"/>
  <c r="V241" i="29"/>
  <c r="X241" i="29" s="1"/>
  <c r="Y241" i="29" s="1"/>
  <c r="AE520" i="29"/>
  <c r="U397" i="29"/>
  <c r="W397" i="29" s="1"/>
  <c r="AA397" i="29" s="1"/>
  <c r="V397" i="29"/>
  <c r="AE379" i="29"/>
  <c r="AH336" i="29"/>
  <c r="X336" i="29"/>
  <c r="Y336" i="29" s="1"/>
  <c r="X533" i="29"/>
  <c r="Y533" i="29" s="1"/>
  <c r="AH533" i="29"/>
  <c r="AH309" i="29"/>
  <c r="X309" i="29"/>
  <c r="Y309" i="29" s="1"/>
  <c r="AH21" i="29"/>
  <c r="X21" i="29"/>
  <c r="Y21" i="29" s="1"/>
  <c r="AH346" i="29"/>
  <c r="X346" i="29"/>
  <c r="Y346" i="29" s="1"/>
  <c r="AH530" i="29"/>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548" i="29" l="1"/>
  <c r="Y548" i="29" s="1"/>
  <c r="W263" i="29"/>
  <c r="AA263" i="29" s="1"/>
  <c r="X555" i="29"/>
  <c r="Y555" i="29" s="1"/>
  <c r="X223" i="29"/>
  <c r="Y223" i="29" s="1"/>
  <c r="AG414" i="29"/>
  <c r="X315" i="29"/>
  <c r="Y315" i="29" s="1"/>
  <c r="X311" i="29"/>
  <c r="Y311" i="29" s="1"/>
  <c r="W474" i="29"/>
  <c r="AA474" i="29" s="1"/>
  <c r="AG357" i="29"/>
  <c r="AG513" i="29"/>
  <c r="AH367" i="29"/>
  <c r="X587" i="29"/>
  <c r="Y587" i="29" s="1"/>
  <c r="AG106" i="29"/>
  <c r="W552" i="29"/>
  <c r="X451" i="29"/>
  <c r="Y451" i="29" s="1"/>
  <c r="X251" i="29"/>
  <c r="Y251" i="29" s="1"/>
  <c r="X349" i="29"/>
  <c r="Y349" i="29" s="1"/>
  <c r="AG71" i="29"/>
  <c r="AH466" i="29"/>
  <c r="AH493" i="29"/>
  <c r="AH268" i="29"/>
  <c r="AH561" i="29"/>
  <c r="AH514" i="29"/>
  <c r="X100" i="29"/>
  <c r="Y100" i="29" s="1"/>
  <c r="W164" i="29"/>
  <c r="AA164" i="29" s="1"/>
  <c r="AG498" i="29"/>
  <c r="W569" i="29"/>
  <c r="AA569" i="29" s="1"/>
  <c r="L106" i="23"/>
  <c r="M106" i="23" s="1"/>
  <c r="M60" i="1"/>
  <c r="E59" i="1"/>
  <c r="W353" i="29"/>
  <c r="AA353" i="29" s="1"/>
  <c r="W183" i="29"/>
  <c r="AA183" i="29" s="1"/>
  <c r="AG333" i="29"/>
  <c r="AG613" i="29"/>
  <c r="L60" i="1"/>
  <c r="L61" i="1" s="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J353" i="29" l="1"/>
  <c r="AK353" i="29" s="1"/>
  <c r="AJ568" i="29"/>
  <c r="AK568" i="29" s="1"/>
  <c r="AJ569" i="29"/>
  <c r="AK569" i="29" s="1"/>
  <c r="L19" i="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54" i="25"/>
  <c r="CJ72" i="25"/>
  <c r="CI12" i="25"/>
  <c r="CI73" i="25"/>
  <c r="CI52" i="25"/>
  <c r="CI29" i="25"/>
  <c r="CI35" i="25"/>
  <c r="CI66" i="25"/>
  <c r="CI59" i="25"/>
  <c r="CI83" i="25"/>
  <c r="CI41" i="25"/>
  <c r="CI43" i="25"/>
  <c r="CI11" i="25"/>
  <c r="CI80" i="25"/>
  <c r="CI15" i="25"/>
  <c r="CI33" i="25"/>
  <c r="CJ10" i="25"/>
  <c r="CI13" i="25"/>
  <c r="CI72" i="25"/>
  <c r="CJ15" i="25"/>
  <c r="CJ41" i="25"/>
  <c r="CJ20" i="25"/>
  <c r="CJ80" i="25"/>
  <c r="CJ54" i="25"/>
  <c r="CJ66" i="25"/>
  <c r="CJ59" i="25"/>
  <c r="CJ52" i="25"/>
  <c r="CJ35" i="25"/>
  <c r="CJ73" i="25"/>
  <c r="CJ83" i="25"/>
  <c r="CJ13"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W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Y136" i="25" l="1"/>
  <c r="AM251" i="25"/>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BM62" i="25" l="1"/>
  <c r="CI62" i="25"/>
  <c r="AR306" i="25"/>
  <c r="AT306" i="25" s="1"/>
  <c r="CI306" i="25"/>
  <c r="BM93" i="25"/>
  <c r="CI93" i="25"/>
  <c r="BM84" i="25"/>
  <c r="CI84" i="25"/>
  <c r="CA132" i="25"/>
  <c r="AP132" i="25"/>
  <c r="BI132" i="25"/>
  <c r="BX132" i="25"/>
  <c r="BJ132" i="25"/>
  <c r="BK132" i="25"/>
  <c r="AR132" i="25"/>
  <c r="AU132" i="25" s="1"/>
  <c r="AP251" i="25"/>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T132" i="25" l="1"/>
  <c r="BA132" i="25" s="1"/>
  <c r="AU294" i="25"/>
  <c r="BN17" i="24"/>
  <c r="CG17" i="24"/>
  <c r="AU102" i="25"/>
  <c r="BF102" i="25" s="1"/>
  <c r="BQ102" i="25" s="1"/>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E102" i="25"/>
  <c r="BP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BD102" i="25" l="1"/>
  <c r="BU102" i="25" s="1"/>
  <c r="AW299" i="24"/>
  <c r="BD299" i="24"/>
  <c r="AW92" i="24"/>
  <c r="BG92" i="24" s="1"/>
  <c r="BD136" i="25"/>
  <c r="BU136" i="25" s="1"/>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BH136" i="25" l="1"/>
  <c r="BN136" i="25" s="1"/>
  <c r="AY92" i="24"/>
  <c r="AZ92" i="24" s="1"/>
  <c r="BH167" i="25"/>
  <c r="BN167" i="25" s="1"/>
  <c r="BF92" i="24"/>
  <c r="BI92" i="24" s="1"/>
  <c r="BO92" i="24" s="1"/>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U92" i="24" l="1"/>
  <c r="BO167" i="25"/>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C93" i="25"/>
  <c r="CE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62" i="25" l="1"/>
  <c r="CJ62" i="25"/>
  <c r="CF93" i="25"/>
  <c r="CJ93" i="25"/>
  <c r="CF84" i="25"/>
  <c r="CJ84" i="25"/>
  <c r="CF120" i="25"/>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authors>
    <author>Timothy Hegarty</author>
    <author>Xi, Youhao</author>
    <author>Hegarty, Timothy</author>
  </authors>
  <commentList>
    <comment ref="A3" authorId="0" shapeId="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authors>
    <author>Timothy Hegarty</author>
  </authors>
  <commentList>
    <comment ref="A1" authorId="0" shapeId="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<sst xmlns="http://schemas.openxmlformats.org/spreadsheetml/2006/main" count="1554" uniqueCount="862">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</sst>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_);_(* \(#,##0.00\);_(* &quot;-&quot;??_);_(@_)"/>
    <numFmt numFmtId="165" formatCode="0.00000"/>
    <numFmt numFmtId="166" formatCode="0.0000"/>
    <numFmt numFmtId="167" formatCode="0.000"/>
    <numFmt numFmtId="168" formatCode="0.0"/>
    <numFmt numFmtId="169" formatCode="0.000E+00"/>
    <numFmt numFmtId="170" formatCode="#0.0#"/>
    <numFmt numFmtId="171" formatCode="General&quot;k&quot;"/>
    <numFmt numFmtId="172" formatCode="General&quot;µF&quot;"/>
    <numFmt numFmtId="173" formatCode="General&quot;µH&quot;"/>
    <numFmt numFmtId="174" formatCode="&quot;Inductor, &quot;General&quot;-µH, 10%&quot;"/>
    <numFmt numFmtId="175" formatCode="&quot;Resistor, Chip, &quot;General&quot;-kΩ, 1/16W, 1%&quot;"/>
    <numFmt numFmtId="176" formatCode="0.E+00"/>
    <numFmt numFmtId="177" formatCode="0.0E+00"/>
    <numFmt numFmtId="178" formatCode="&quot;Capacitor, Ceramic, &quot;General&quot;-µF, 100V, X7R, 20%&quot;"/>
    <numFmt numFmtId="179" formatCode="0.000%"/>
    <numFmt numFmtId="180" formatCode="&quot;Capacitor, Ceramic, &quot;General&quot;-µF, 16V, X7R, 20%&quot;"/>
    <numFmt numFmtId="181" formatCode="&quot;Resistor, Chip, &quot;General&quot; kΩ, 1/16W, 1%&quot;"/>
    <numFmt numFmtId="182" formatCode="General&quot;M&quot;"/>
    <numFmt numFmtId="183" formatCode="&quot;Resistor, Chip, &quot;General&quot;kΩ, 1/16W, 1%&quot;"/>
    <numFmt numFmtId="184" formatCode="0E+00"/>
    <numFmt numFmtId="185"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164"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64"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70"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6"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8"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1"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1"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2"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7"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8"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7" fontId="0" fillId="0" borderId="0" xfId="0" applyNumberFormat="1"/>
    <xf numFmtId="1" fontId="7" fillId="10" borderId="0" xfId="0" applyNumberFormat="1" applyFont="1" applyFill="1" applyBorder="1"/>
    <xf numFmtId="0" fontId="3" fillId="0" borderId="49" xfId="0" applyFont="1" applyBorder="1"/>
    <xf numFmtId="167"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6" fontId="7" fillId="10" borderId="0" xfId="0" applyNumberFormat="1" applyFont="1" applyFill="1" applyBorder="1"/>
    <xf numFmtId="0" fontId="0" fillId="20" borderId="0" xfId="0" applyFill="1" applyBorder="1" applyAlignment="1">
      <alignment horizontal="right"/>
    </xf>
    <xf numFmtId="167"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7"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7" fontId="0" fillId="10" borderId="0" xfId="0" applyNumberFormat="1" applyFill="1" applyBorder="1"/>
    <xf numFmtId="177"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7"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6"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6" fontId="3" fillId="0" borderId="0" xfId="4" applyNumberFormat="1"/>
    <xf numFmtId="167" fontId="3" fillId="0" borderId="0" xfId="4" applyNumberFormat="1"/>
    <xf numFmtId="165"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6" fontId="3" fillId="4" borderId="52" xfId="4" applyNumberFormat="1" applyFill="1" applyBorder="1"/>
    <xf numFmtId="166" fontId="4" fillId="4" borderId="49" xfId="4" applyNumberFormat="1" applyFont="1" applyFill="1" applyBorder="1" applyAlignment="1"/>
    <xf numFmtId="166" fontId="7" fillId="4" borderId="50" xfId="4" applyNumberFormat="1" applyFont="1" applyFill="1" applyBorder="1" applyAlignment="1"/>
    <xf numFmtId="0" fontId="7" fillId="4" borderId="50" xfId="4" applyFont="1" applyFill="1" applyBorder="1" applyAlignment="1"/>
    <xf numFmtId="166" fontId="15" fillId="4" borderId="52" xfId="4" applyNumberFormat="1" applyFont="1" applyFill="1" applyBorder="1"/>
    <xf numFmtId="167" fontId="4" fillId="4" borderId="50" xfId="4" applyNumberFormat="1" applyFont="1" applyFill="1" applyBorder="1" applyAlignment="1">
      <alignment horizontal="left"/>
    </xf>
    <xf numFmtId="166" fontId="7" fillId="4" borderId="50" xfId="4" applyNumberFormat="1" applyFont="1" applyFill="1" applyBorder="1" applyAlignment="1">
      <alignment horizontal="center"/>
    </xf>
    <xf numFmtId="166" fontId="4" fillId="4" borderId="49" xfId="4" applyNumberFormat="1" applyFont="1" applyFill="1" applyBorder="1"/>
    <xf numFmtId="165" fontId="3" fillId="4" borderId="50" xfId="4" applyNumberFormat="1" applyFill="1" applyBorder="1"/>
    <xf numFmtId="165" fontId="3" fillId="4" borderId="52" xfId="4" applyNumberFormat="1" applyFill="1" applyBorder="1"/>
    <xf numFmtId="166" fontId="4" fillId="4" borderId="41" xfId="4" applyNumberFormat="1" applyFont="1" applyFill="1" applyBorder="1"/>
    <xf numFmtId="166" fontId="3" fillId="4" borderId="42" xfId="4" applyNumberFormat="1" applyFill="1" applyBorder="1"/>
    <xf numFmtId="166" fontId="4" fillId="4" borderId="41" xfId="4" applyNumberFormat="1" applyFont="1" applyFill="1" applyBorder="1" applyAlignment="1">
      <alignment horizontal="left"/>
    </xf>
    <xf numFmtId="166" fontId="4" fillId="4" borderId="42" xfId="4" applyNumberFormat="1" applyFont="1" applyFill="1" applyBorder="1" applyAlignment="1">
      <alignment horizontal="left"/>
    </xf>
    <xf numFmtId="166"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6" fontId="4" fillId="2" borderId="7" xfId="4" applyNumberFormat="1" applyFont="1" applyFill="1" applyBorder="1" applyAlignment="1">
      <alignment horizontal="center" vertical="center" wrapText="1"/>
    </xf>
    <xf numFmtId="166"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6" fontId="4" fillId="2" borderId="5" xfId="4" applyNumberFormat="1" applyFont="1" applyFill="1" applyBorder="1" applyAlignment="1">
      <alignment horizontal="center" vertical="center" wrapText="1"/>
    </xf>
    <xf numFmtId="167" fontId="4" fillId="2" borderId="20"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6" fontId="4" fillId="2" borderId="19" xfId="4" applyNumberFormat="1" applyFont="1" applyFill="1" applyBorder="1" applyAlignment="1">
      <alignment horizontal="center" vertical="center" wrapText="1"/>
    </xf>
    <xf numFmtId="166" fontId="4" fillId="2" borderId="21" xfId="4" applyNumberFormat="1" applyFont="1" applyFill="1" applyBorder="1" applyAlignment="1">
      <alignment horizontal="center" vertical="center" wrapText="1"/>
    </xf>
    <xf numFmtId="166" fontId="4" fillId="2" borderId="56" xfId="4" applyNumberFormat="1" applyFont="1" applyFill="1" applyBorder="1" applyAlignment="1">
      <alignment horizontal="center" vertical="center" wrapText="1"/>
    </xf>
    <xf numFmtId="166" fontId="4" fillId="2" borderId="57" xfId="4" applyNumberFormat="1" applyFont="1" applyFill="1" applyBorder="1" applyAlignment="1">
      <alignment horizontal="center" vertical="center" wrapText="1"/>
    </xf>
    <xf numFmtId="166"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9"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7"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6"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7" fontId="3" fillId="0" borderId="47" xfId="4" applyNumberFormat="1" applyFont="1" applyFill="1" applyBorder="1"/>
    <xf numFmtId="176"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7"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8" fontId="57" fillId="0" borderId="0" xfId="4" applyNumberFormat="1" applyFont="1"/>
    <xf numFmtId="0" fontId="57" fillId="0" borderId="0" xfId="4" applyFont="1"/>
    <xf numFmtId="0" fontId="47" fillId="0" borderId="0" xfId="4" applyNumberFormat="1" applyFont="1"/>
    <xf numFmtId="167" fontId="3" fillId="0" borderId="0" xfId="4" applyNumberFormat="1" applyFont="1"/>
    <xf numFmtId="166"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6" fontId="47" fillId="0" borderId="0" xfId="4" applyNumberFormat="1" applyFont="1"/>
    <xf numFmtId="1" fontId="4" fillId="0" borderId="0" xfId="4" applyNumberFormat="1" applyFont="1"/>
    <xf numFmtId="166"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7" fontId="7" fillId="4" borderId="50" xfId="4" applyNumberFormat="1" applyFont="1" applyFill="1" applyBorder="1" applyAlignment="1"/>
    <xf numFmtId="167" fontId="4" fillId="2" borderId="42" xfId="4" applyNumberFormat="1" applyFont="1" applyFill="1" applyBorder="1" applyAlignment="1">
      <alignment horizontal="center" vertical="center" wrapText="1"/>
    </xf>
    <xf numFmtId="179" fontId="3" fillId="0" borderId="0" xfId="4" applyNumberFormat="1"/>
    <xf numFmtId="179" fontId="7" fillId="4" borderId="50" xfId="4" applyNumberFormat="1" applyFont="1" applyFill="1" applyBorder="1" applyAlignment="1"/>
    <xf numFmtId="179" fontId="4" fillId="2" borderId="6" xfId="4" applyNumberFormat="1" applyFont="1" applyFill="1" applyBorder="1" applyAlignment="1">
      <alignment horizontal="center" vertical="center" wrapText="1"/>
    </xf>
    <xf numFmtId="179" fontId="4" fillId="2" borderId="19" xfId="4" applyNumberFormat="1" applyFont="1" applyFill="1" applyBorder="1" applyAlignment="1">
      <alignment horizontal="center" vertical="center" wrapText="1"/>
    </xf>
    <xf numFmtId="179" fontId="4" fillId="2" borderId="41" xfId="4" applyNumberFormat="1" applyFont="1" applyFill="1" applyBorder="1" applyAlignment="1">
      <alignment horizontal="center" vertical="center" wrapText="1"/>
    </xf>
    <xf numFmtId="179" fontId="4" fillId="2" borderId="53" xfId="4" applyNumberFormat="1" applyFont="1" applyFill="1" applyBorder="1" applyAlignment="1">
      <alignment horizontal="center" vertical="center" wrapText="1"/>
    </xf>
    <xf numFmtId="179" fontId="4" fillId="2" borderId="42" xfId="4" applyNumberFormat="1" applyFont="1" applyFill="1" applyBorder="1" applyAlignment="1">
      <alignment horizontal="center" vertical="center" wrapText="1"/>
    </xf>
    <xf numFmtId="179"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8" fontId="3" fillId="2" borderId="11" xfId="4" applyNumberFormat="1" applyFont="1" applyFill="1" applyBorder="1" applyProtection="1">
      <protection locked="0"/>
    </xf>
    <xf numFmtId="1" fontId="3" fillId="0" borderId="47" xfId="4" applyNumberFormat="1" applyFont="1" applyFill="1" applyBorder="1"/>
    <xf numFmtId="166"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70"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7" fontId="0" fillId="10" borderId="2" xfId="0" applyNumberFormat="1" applyFill="1" applyBorder="1"/>
    <xf numFmtId="167" fontId="0" fillId="18" borderId="0" xfId="0" applyNumberFormat="1" applyFill="1" applyBorder="1"/>
    <xf numFmtId="167"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7"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6" fontId="7" fillId="4" borderId="63" xfId="4" applyNumberFormat="1" applyFont="1" applyFill="1" applyBorder="1" applyAlignment="1"/>
    <xf numFmtId="168"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6" fontId="4" fillId="4" borderId="41" xfId="4" applyNumberFormat="1" applyFont="1" applyFill="1" applyBorder="1" applyAlignment="1"/>
    <xf numFmtId="166"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2" fontId="3" fillId="17" borderId="11" xfId="4" applyNumberFormat="1" applyFill="1" applyBorder="1" applyAlignment="1">
      <alignment horizontal="center" vertical="center"/>
    </xf>
    <xf numFmtId="165"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8"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8" fontId="3" fillId="8" borderId="0" xfId="4" applyNumberFormat="1" applyFill="1" applyAlignment="1">
      <alignment horizontal="left"/>
    </xf>
    <xf numFmtId="0" fontId="4" fillId="8" borderId="0" xfId="4" applyFont="1" applyFill="1" applyAlignment="1">
      <alignment vertical="center"/>
    </xf>
    <xf numFmtId="168"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8" fontId="73" fillId="8" borderId="0" xfId="4" applyNumberFormat="1" applyFont="1" applyFill="1" applyAlignment="1">
      <alignment horizontal="right"/>
    </xf>
    <xf numFmtId="0" fontId="73" fillId="8" borderId="0" xfId="4" applyFont="1" applyFill="1" applyAlignment="1">
      <alignment horizontal="left" vertical="center"/>
    </xf>
    <xf numFmtId="166" fontId="73" fillId="8" borderId="0" xfId="4" applyNumberFormat="1" applyFont="1" applyFill="1"/>
    <xf numFmtId="168" fontId="3" fillId="17" borderId="11" xfId="4" applyNumberFormat="1" applyFill="1" applyBorder="1" applyAlignment="1">
      <alignment horizontal="center" vertical="center"/>
    </xf>
    <xf numFmtId="168"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8" fontId="74" fillId="0" borderId="0" xfId="4" applyNumberFormat="1" applyFont="1" applyFill="1" applyAlignment="1">
      <alignment horizontal="right" vertical="center"/>
    </xf>
    <xf numFmtId="166"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7" fontId="0" fillId="0" borderId="0" xfId="0" applyNumberFormat="1" applyFill="1" applyBorder="1"/>
    <xf numFmtId="184" fontId="0" fillId="0" borderId="0" xfId="0" applyNumberFormat="1" applyBorder="1" applyAlignment="1">
      <alignment horizontal="right"/>
    </xf>
    <xf numFmtId="184"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6" fontId="3" fillId="4" borderId="35" xfId="4" applyNumberFormat="1" applyFill="1" applyBorder="1"/>
    <xf numFmtId="166"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6" fontId="4" fillId="26" borderId="0" xfId="4" applyNumberFormat="1" applyFont="1" applyFill="1" applyAlignment="1">
      <alignment horizontal="center" vertical="center" wrapText="1"/>
    </xf>
    <xf numFmtId="166" fontId="0" fillId="0" borderId="0" xfId="0" applyNumberFormat="1"/>
    <xf numFmtId="2" fontId="3" fillId="0" borderId="0" xfId="7" applyNumberFormat="1" applyFont="1"/>
    <xf numFmtId="2" fontId="4" fillId="0" borderId="0" xfId="0" applyNumberFormat="1" applyFont="1"/>
    <xf numFmtId="168" fontId="4" fillId="0" borderId="0" xfId="4" applyNumberFormat="1" applyFont="1"/>
    <xf numFmtId="167" fontId="4" fillId="0" borderId="0" xfId="4" applyNumberFormat="1" applyFont="1"/>
    <xf numFmtId="0" fontId="4" fillId="4" borderId="0" xfId="4" applyFont="1" applyFill="1" applyBorder="1" applyAlignment="1">
      <alignment horizontal="left"/>
    </xf>
    <xf numFmtId="2" fontId="3" fillId="0" borderId="0" xfId="0" applyNumberFormat="1" applyFont="1"/>
    <xf numFmtId="168" fontId="3" fillId="0" borderId="0" xfId="4" applyNumberFormat="1" applyFont="1"/>
    <xf numFmtId="2" fontId="3" fillId="0" borderId="0" xfId="4" applyNumberFormat="1" applyFont="1"/>
    <xf numFmtId="1" fontId="3" fillId="0" borderId="0" xfId="4" applyNumberFormat="1" applyFont="1"/>
    <xf numFmtId="167" fontId="3" fillId="0" borderId="0" xfId="0" applyNumberFormat="1" applyFont="1"/>
    <xf numFmtId="167" fontId="4" fillId="0" borderId="0" xfId="0" applyNumberFormat="1" applyFont="1"/>
    <xf numFmtId="0" fontId="4" fillId="4" borderId="35" xfId="4" applyFont="1" applyFill="1" applyBorder="1" applyAlignment="1"/>
    <xf numFmtId="168"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8" fontId="15" fillId="18" borderId="0" xfId="0" applyNumberFormat="1" applyFont="1" applyFill="1" applyBorder="1" applyAlignment="1">
      <alignment horizontal="right"/>
    </xf>
    <xf numFmtId="177" fontId="27" fillId="0" borderId="0" xfId="0" applyNumberFormat="1" applyFont="1" applyFill="1" applyBorder="1"/>
    <xf numFmtId="0" fontId="3" fillId="0" borderId="33" xfId="0" applyFont="1" applyBorder="1"/>
    <xf numFmtId="168" fontId="27" fillId="4" borderId="0" xfId="0" applyNumberFormat="1" applyFont="1" applyFill="1" applyBorder="1"/>
    <xf numFmtId="166" fontId="27" fillId="0" borderId="0" xfId="0" applyNumberFormat="1" applyFont="1" applyFill="1" applyBorder="1"/>
    <xf numFmtId="167"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8"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8" fontId="48" fillId="12" borderId="35" xfId="0" applyNumberFormat="1" applyFont="1" applyFill="1" applyBorder="1" applyAlignment="1" applyProtection="1">
      <alignment vertical="center"/>
    </xf>
    <xf numFmtId="166"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8"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7"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6" fontId="4" fillId="26" borderId="19" xfId="4" applyNumberFormat="1" applyFont="1" applyFill="1" applyBorder="1" applyAlignment="1">
      <alignment horizontal="center" vertical="center" wrapText="1"/>
    </xf>
    <xf numFmtId="166" fontId="4" fillId="26" borderId="20" xfId="4" applyNumberFormat="1" applyFont="1" applyFill="1" applyBorder="1" applyAlignment="1">
      <alignment horizontal="center" vertical="center" wrapText="1"/>
    </xf>
    <xf numFmtId="166" fontId="4" fillId="26" borderId="73" xfId="4" applyNumberFormat="1" applyFont="1" applyFill="1" applyBorder="1" applyAlignment="1">
      <alignment horizontal="center" vertical="center" wrapText="1"/>
    </xf>
    <xf numFmtId="166"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8"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7" fontId="4" fillId="0" borderId="0" xfId="0" applyNumberFormat="1" applyFont="1" applyAlignment="1">
      <alignment horizontal="right"/>
    </xf>
    <xf numFmtId="167"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3"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8"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7" fontId="47" fillId="0" borderId="0" xfId="0" applyNumberFormat="1" applyFont="1" applyAlignment="1">
      <alignment horizontal="left"/>
    </xf>
    <xf numFmtId="168"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5" fontId="0" fillId="0" borderId="0" xfId="0" applyNumberFormat="1"/>
    <xf numFmtId="0" fontId="3" fillId="12" borderId="23" xfId="0" applyNumberFormat="1" applyFont="1" applyFill="1" applyBorder="1" applyAlignment="1" applyProtection="1"/>
    <xf numFmtId="169"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7"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8"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7"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7" fontId="3" fillId="0" borderId="39" xfId="4" applyNumberFormat="1" applyBorder="1"/>
    <xf numFmtId="167"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7"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6" fontId="3" fillId="0" borderId="84" xfId="4" applyNumberFormat="1" applyBorder="1" applyAlignment="1">
      <alignment horizontal="center"/>
    </xf>
    <xf numFmtId="166" fontId="3" fillId="0" borderId="12" xfId="4" applyNumberFormat="1" applyBorder="1" applyAlignment="1">
      <alignment horizontal="center"/>
    </xf>
    <xf numFmtId="166" fontId="3" fillId="0" borderId="85" xfId="4" applyNumberFormat="1" applyBorder="1" applyAlignment="1">
      <alignment horizontal="center"/>
    </xf>
    <xf numFmtId="166" fontId="3" fillId="0" borderId="48" xfId="4" applyNumberFormat="1" applyBorder="1" applyAlignment="1">
      <alignment horizontal="center"/>
    </xf>
    <xf numFmtId="185" fontId="3" fillId="0" borderId="84" xfId="4" applyNumberFormat="1" applyBorder="1" applyAlignment="1">
      <alignment horizontal="center"/>
    </xf>
    <xf numFmtId="185"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6" fontId="3" fillId="0" borderId="11" xfId="4" applyNumberFormat="1" applyBorder="1" applyAlignment="1">
      <alignment horizontal="center"/>
    </xf>
    <xf numFmtId="166"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6" fontId="3" fillId="0" borderId="0" xfId="4" applyNumberFormat="1" applyBorder="1" applyAlignment="1">
      <alignment horizontal="center"/>
    </xf>
    <xf numFmtId="185"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6" fontId="3" fillId="0" borderId="17" xfId="4" applyNumberFormat="1" applyBorder="1" applyAlignment="1">
      <alignment horizontal="center"/>
    </xf>
    <xf numFmtId="166" fontId="3" fillId="0" borderId="8" xfId="4" applyNumberFormat="1" applyBorder="1" applyAlignment="1">
      <alignment horizontal="center"/>
    </xf>
    <xf numFmtId="185"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9" fontId="3" fillId="0" borderId="0" xfId="4" applyNumberFormat="1" applyFont="1"/>
    <xf numFmtId="2" fontId="3" fillId="29" borderId="0" xfId="4" applyNumberFormat="1" applyFill="1"/>
    <xf numFmtId="0" fontId="3" fillId="29" borderId="0" xfId="4" applyFill="1"/>
    <xf numFmtId="177" fontId="3" fillId="0" borderId="0" xfId="4" applyNumberFormat="1"/>
    <xf numFmtId="1" fontId="3" fillId="0" borderId="8" xfId="4" applyNumberFormat="1" applyBorder="1" applyAlignment="1">
      <alignment horizontal="left"/>
    </xf>
    <xf numFmtId="0" fontId="3" fillId="18" borderId="0" xfId="4" applyFill="1"/>
    <xf numFmtId="167" fontId="3" fillId="18" borderId="0" xfId="4" applyNumberFormat="1" applyFill="1"/>
    <xf numFmtId="0" fontId="3" fillId="0" borderId="0" xfId="4" quotePrefix="1" applyFill="1"/>
    <xf numFmtId="2" fontId="3" fillId="18" borderId="0" xfId="4" applyNumberFormat="1" applyFill="1"/>
    <xf numFmtId="168"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8"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8" fontId="3" fillId="18" borderId="0" xfId="0" applyNumberFormat="1" applyFont="1" applyFill="1" applyBorder="1" applyAlignment="1"/>
    <xf numFmtId="168" fontId="3" fillId="0" borderId="0" xfId="0" applyNumberFormat="1" applyFont="1" applyFill="1" applyBorder="1"/>
    <xf numFmtId="168" fontId="48" fillId="8" borderId="35" xfId="2" applyNumberFormat="1" applyFont="1" applyFill="1" applyBorder="1" applyAlignment="1" applyProtection="1">
      <alignment horizontal="right" vertical="center"/>
    </xf>
    <xf numFmtId="168"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8"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7"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7"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7"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8" fontId="3" fillId="16" borderId="8" xfId="4" applyNumberFormat="1" applyFill="1" applyBorder="1" applyAlignment="1">
      <alignment horizontal="left" vertical="center"/>
    </xf>
    <xf numFmtId="178"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3" fontId="3" fillId="17" borderId="8" xfId="4" applyNumberFormat="1" applyFill="1" applyBorder="1" applyAlignment="1">
      <alignment horizontal="left" vertical="center"/>
    </xf>
    <xf numFmtId="183" fontId="3" fillId="17" borderId="9" xfId="4" applyNumberFormat="1" applyFill="1" applyBorder="1" applyAlignment="1">
      <alignment horizontal="left" vertical="center"/>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175" fontId="3" fillId="12" borderId="8" xfId="4" applyNumberFormat="1" applyFill="1" applyBorder="1" applyAlignment="1">
      <alignment horizontal="left" vertical="center"/>
    </xf>
    <xf numFmtId="175"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wrapText="1"/>
    </xf>
    <xf numFmtId="174" fontId="3" fillId="12" borderId="9" xfId="4" applyNumberFormat="1" applyFill="1" applyBorder="1" applyAlignment="1">
      <alignment horizontal="left" vertical="center" wrapText="1"/>
    </xf>
    <xf numFmtId="174" fontId="3" fillId="12" borderId="15" xfId="4" applyNumberFormat="1" applyFill="1" applyBorder="1" applyAlignment="1">
      <alignment horizontal="left" vertical="center" wrapText="1"/>
    </xf>
    <xf numFmtId="181" fontId="3" fillId="17" borderId="8" xfId="4" applyNumberFormat="1" applyFill="1" applyBorder="1" applyAlignment="1">
      <alignment horizontal="left" vertical="center"/>
    </xf>
    <xf numFmtId="181" fontId="3" fillId="17" borderId="9" xfId="4" applyNumberFormat="1" applyFill="1" applyBorder="1" applyAlignment="1">
      <alignment horizontal="left" vertical="center"/>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175" fontId="3" fillId="17" borderId="8" xfId="4" applyNumberFormat="1" applyFill="1" applyBorder="1" applyAlignment="1">
      <alignment horizontal="left" vertical="center"/>
    </xf>
    <xf numFmtId="175"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81" xfId="4" applyFont="1" applyFill="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2" xfId="6"/>
    <cellStyle name="Komma" xfId="2" builtinId="3"/>
    <cellStyle name="Link" xfId="3" builtinId="8"/>
    <cellStyle name="Normal 2" xfId="4"/>
    <cellStyle name="Normal 3" xfId="5"/>
    <cellStyle name="Prozent" xfId="7" builtinId="5"/>
    <cellStyle name="Standard" xfId="0" builtinId="0"/>
    <cellStyle name="Zeilenebene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96.720751086805791</c:v>
                </c:pt>
                <c:pt idx="1">
                  <c:v>89.926076113816023</c:v>
                </c:pt>
                <c:pt idx="2">
                  <c:v>89.276580319894308</c:v>
                </c:pt>
                <c:pt idx="3">
                  <c:v>88.605899560894954</c:v>
                </c:pt>
                <c:pt idx="4">
                  <c:v>87.916953347935788</c:v>
                </c:pt>
                <c:pt idx="5">
                  <c:v>87.210902326055916</c:v>
                </c:pt>
                <c:pt idx="6">
                  <c:v>86.490870394601487</c:v>
                </c:pt>
                <c:pt idx="7">
                  <c:v>85.758324250283465</c:v>
                </c:pt>
                <c:pt idx="8">
                  <c:v>85.015533598696734</c:v>
                </c:pt>
                <c:pt idx="9">
                  <c:v>84.263469927696931</c:v>
                </c:pt>
                <c:pt idx="10">
                  <c:v>83.503904944654224</c:v>
                </c:pt>
                <c:pt idx="11">
                  <c:v>82.737897454614412</c:v>
                </c:pt>
                <c:pt idx="12">
                  <c:v>81.966041969602784</c:v>
                </c:pt>
                <c:pt idx="13">
                  <c:v>81.189939715220845</c:v>
                </c:pt>
                <c:pt idx="14">
                  <c:v>80.409705514676858</c:v>
                </c:pt>
                <c:pt idx="15">
                  <c:v>79.626260526617514</c:v>
                </c:pt>
                <c:pt idx="16">
                  <c:v>78.84006858132733</c:v>
                </c:pt>
                <c:pt idx="17">
                  <c:v>78.051686101372567</c:v>
                </c:pt>
                <c:pt idx="18">
                  <c:v>77.26125767963191</c:v>
                </c:pt>
                <c:pt idx="19">
                  <c:v>76.469308977802541</c:v>
                </c:pt>
                <c:pt idx="20">
                  <c:v>75.675944477997334</c:v>
                </c:pt>
                <c:pt idx="21">
                  <c:v>74.881545143897995</c:v>
                </c:pt>
                <c:pt idx="22">
                  <c:v>74.086124063049297</c:v>
                </c:pt>
                <c:pt idx="23">
                  <c:v>73.290030318514255</c:v>
                </c:pt>
                <c:pt idx="24">
                  <c:v>72.4931880035234</c:v>
                </c:pt>
                <c:pt idx="25">
                  <c:v>71.695825652016879</c:v>
                </c:pt>
                <c:pt idx="26">
                  <c:v>70.897844762494714</c:v>
                </c:pt>
                <c:pt idx="27">
                  <c:v>70.09957175773431</c:v>
                </c:pt>
                <c:pt idx="28">
                  <c:v>69.301035636432445</c:v>
                </c:pt>
                <c:pt idx="29">
                  <c:v>68.502782254743082</c:v>
                </c:pt>
                <c:pt idx="30">
                  <c:v>67.703502510594731</c:v>
                </c:pt>
                <c:pt idx="31">
                  <c:v>66.904346644203486</c:v>
                </c:pt>
                <c:pt idx="32">
                  <c:v>66.10480005863414</c:v>
                </c:pt>
                <c:pt idx="33">
                  <c:v>65.305454762471058</c:v>
                </c:pt>
                <c:pt idx="34">
                  <c:v>64.50571213510986</c:v>
                </c:pt>
                <c:pt idx="35">
                  <c:v>63.706036129461687</c:v>
                </c:pt>
                <c:pt idx="36">
                  <c:v>62.90631470288168</c:v>
                </c:pt>
                <c:pt idx="37">
                  <c:v>62.106124148345842</c:v>
                </c:pt>
                <c:pt idx="38">
                  <c:v>61.306230253826683</c:v>
                </c:pt>
                <c:pt idx="39">
                  <c:v>60.505989036264069</c:v>
                </c:pt>
                <c:pt idx="40">
                  <c:v>59.705699949853766</c:v>
                </c:pt>
                <c:pt idx="41">
                  <c:v>58.905287002291502</c:v>
                </c:pt>
                <c:pt idx="42">
                  <c:v>58.104848890445339</c:v>
                </c:pt>
                <c:pt idx="43">
                  <c:v>57.304133754635913</c:v>
                </c:pt>
                <c:pt idx="44">
                  <c:v>56.503332333116916</c:v>
                </c:pt>
                <c:pt idx="45">
                  <c:v>55.70225472548583</c:v>
                </c:pt>
                <c:pt idx="46">
                  <c:v>54.901027377920428</c:v>
                </c:pt>
                <c:pt idx="47">
                  <c:v>54.099434434561225</c:v>
                </c:pt>
                <c:pt idx="48">
                  <c:v>53.297620566317654</c:v>
                </c:pt>
                <c:pt idx="49">
                  <c:v>52.495317532629791</c:v>
                </c:pt>
                <c:pt idx="50">
                  <c:v>51.692572972261381</c:v>
                </c:pt>
                <c:pt idx="51">
                  <c:v>50.889108754369317</c:v>
                </c:pt>
                <c:pt idx="52">
                  <c:v>50.085072668984132</c:v>
                </c:pt>
                <c:pt idx="53">
                  <c:v>49.280305943173289</c:v>
                </c:pt>
                <c:pt idx="54">
                  <c:v>48.475158927372249</c:v>
                </c:pt>
                <c:pt idx="55">
                  <c:v>47.668092558636431</c:v>
                </c:pt>
                <c:pt idx="56">
                  <c:v>46.860026072838643</c:v>
                </c:pt>
                <c:pt idx="57">
                  <c:v>46.05016945718873</c:v>
                </c:pt>
                <c:pt idx="58">
                  <c:v>45.238819638702523</c:v>
                </c:pt>
                <c:pt idx="59">
                  <c:v>44.425028199154745</c:v>
                </c:pt>
                <c:pt idx="60">
                  <c:v>43.608884369962375</c:v>
                </c:pt>
                <c:pt idx="61">
                  <c:v>42.789848663232839</c:v>
                </c:pt>
                <c:pt idx="62">
                  <c:v>41.967015177793598</c:v>
                </c:pt>
                <c:pt idx="63">
                  <c:v>41.14066105570339</c:v>
                </c:pt>
                <c:pt idx="64">
                  <c:v>40.309578869576697</c:v>
                </c:pt>
                <c:pt idx="65">
                  <c:v>39.47351611875051</c:v>
                </c:pt>
                <c:pt idx="66">
                  <c:v>38.631834263510463</c:v>
                </c:pt>
                <c:pt idx="67">
                  <c:v>37.784110582304102</c:v>
                </c:pt>
                <c:pt idx="68">
                  <c:v>36.929621014365168</c:v>
                </c:pt>
                <c:pt idx="69">
                  <c:v>36.068228999296124</c:v>
                </c:pt>
                <c:pt idx="70">
                  <c:v>35.199561081822758</c:v>
                </c:pt>
                <c:pt idx="71">
                  <c:v>34.323809997222234</c:v>
                </c:pt>
                <c:pt idx="72">
                  <c:v>33.441069663985317</c:v>
                </c:pt>
                <c:pt idx="73">
                  <c:v>32.552140312320489</c:v>
                </c:pt>
                <c:pt idx="74">
                  <c:v>31.65769132621655</c:v>
                </c:pt>
                <c:pt idx="75">
                  <c:v>30.759054210082425</c:v>
                </c:pt>
                <c:pt idx="76">
                  <c:v>29.857463477665952</c:v>
                </c:pt>
                <c:pt idx="77">
                  <c:v>28.954823557226369</c:v>
                </c:pt>
                <c:pt idx="78">
                  <c:v>28.052789873006503</c:v>
                </c:pt>
                <c:pt idx="79">
                  <c:v>27.153572851534658</c:v>
                </c:pt>
                <c:pt idx="80">
                  <c:v>26.257163506570365</c:v>
                </c:pt>
                <c:pt idx="81">
                  <c:v>25.366099443224979</c:v>
                </c:pt>
                <c:pt idx="82">
                  <c:v>24.48077038010522</c:v>
                </c:pt>
                <c:pt idx="83">
                  <c:v>23.602486616124423</c:v>
                </c:pt>
                <c:pt idx="84">
                  <c:v>22.730941228581337</c:v>
                </c:pt>
                <c:pt idx="85">
                  <c:v>21.866715704384777</c:v>
                </c:pt>
                <c:pt idx="86">
                  <c:v>21.009527196140386</c:v>
                </c:pt>
                <c:pt idx="87">
                  <c:v>20.158585306762053</c:v>
                </c:pt>
                <c:pt idx="88">
                  <c:v>19.314234406178123</c:v>
                </c:pt>
                <c:pt idx="89">
                  <c:v>18.475241209731273</c:v>
                </c:pt>
                <c:pt idx="90">
                  <c:v>17.641327947699715</c:v>
                </c:pt>
                <c:pt idx="91">
                  <c:v>16.811810292771664</c:v>
                </c:pt>
                <c:pt idx="92">
                  <c:v>15.986196750121417</c:v>
                </c:pt>
                <c:pt idx="93">
                  <c:v>15.1636608171844</c:v>
                </c:pt>
                <c:pt idx="94">
                  <c:v>14.958546728502649</c:v>
                </c:pt>
                <c:pt idx="95">
                  <c:v>14.855414721417137</c:v>
                </c:pt>
                <c:pt idx="96">
                  <c:v>14.753501419778148</c:v>
                </c:pt>
                <c:pt idx="97">
                  <c:v>14.650456778718127</c:v>
                </c:pt>
                <c:pt idx="98">
                  <c:v>14.548627671574653</c:v>
                </c:pt>
                <c:pt idx="99">
                  <c:v>14.445640399356328</c:v>
                </c:pt>
                <c:pt idx="100">
                  <c:v>14.343866174248349</c:v>
                </c:pt>
                <c:pt idx="101">
                  <c:v>14.240986251548042</c:v>
                </c:pt>
                <c:pt idx="102">
                  <c:v>14.139315701429336</c:v>
                </c:pt>
                <c:pt idx="103">
                  <c:v>14.036440295548116</c:v>
                </c:pt>
                <c:pt idx="104">
                  <c:v>13.93477297242811</c:v>
                </c:pt>
                <c:pt idx="105">
                  <c:v>13.831955214971458</c:v>
                </c:pt>
                <c:pt idx="106">
                  <c:v>13.730342988957894</c:v>
                </c:pt>
                <c:pt idx="107">
                  <c:v>13.627632136806223</c:v>
                </c:pt>
                <c:pt idx="108">
                  <c:v>13.52612309970759</c:v>
                </c:pt>
                <c:pt idx="109">
                  <c:v>13.423495285084853</c:v>
                </c:pt>
                <c:pt idx="110">
                  <c:v>13.32206610860524</c:v>
                </c:pt>
                <c:pt idx="111">
                  <c:v>13.219432588713175</c:v>
                </c:pt>
                <c:pt idx="112">
                  <c:v>13.117996570039889</c:v>
                </c:pt>
                <c:pt idx="113">
                  <c:v>13.015410170038944</c:v>
                </c:pt>
                <c:pt idx="114">
                  <c:v>12.914018885706355</c:v>
                </c:pt>
                <c:pt idx="115">
                  <c:v>12.811463872421236</c:v>
                </c:pt>
                <c:pt idx="116">
                  <c:v>12.710101931051783</c:v>
                </c:pt>
                <c:pt idx="117">
                  <c:v>12.607564922649113</c:v>
                </c:pt>
                <c:pt idx="118">
                  <c:v>12.506219227225079</c:v>
                </c:pt>
                <c:pt idx="119">
                  <c:v>12.403750786825052</c:v>
                </c:pt>
                <c:pt idx="120">
                  <c:v>12.302470708162712</c:v>
                </c:pt>
                <c:pt idx="121">
                  <c:v>12.200057347547627</c:v>
                </c:pt>
                <c:pt idx="122">
                  <c:v>12.098829684605994</c:v>
                </c:pt>
                <c:pt idx="123">
                  <c:v>11.996400993093392</c:v>
                </c:pt>
                <c:pt idx="124">
                  <c:v>11.895156927590806</c:v>
                </c:pt>
                <c:pt idx="125">
                  <c:v>11.792765011721098</c:v>
                </c:pt>
                <c:pt idx="126">
                  <c:v>11.691555421008456</c:v>
                </c:pt>
                <c:pt idx="127">
                  <c:v>11.589192340726001</c:v>
                </c:pt>
                <c:pt idx="128">
                  <c:v>11.488009436130415</c:v>
                </c:pt>
                <c:pt idx="129">
                  <c:v>11.385668836348914</c:v>
                </c:pt>
                <c:pt idx="130">
                  <c:v>11.28450637519142</c:v>
                </c:pt>
                <c:pt idx="131">
                  <c:v>11.182183349326607</c:v>
                </c:pt>
                <c:pt idx="132">
                  <c:v>11.131464645069391</c:v>
                </c:pt>
                <c:pt idx="133">
                  <c:v>11.081036501692353</c:v>
                </c:pt>
                <c:pt idx="134">
                  <c:v>11.029707037513125</c:v>
                </c:pt>
                <c:pt idx="135">
                  <c:v>10.978674950447211</c:v>
                </c:pt>
                <c:pt idx="136">
                  <c:v>10.927936712864298</c:v>
                </c:pt>
                <c:pt idx="137">
                  <c:v>10.877488859418239</c:v>
                </c:pt>
                <c:pt idx="138">
                  <c:v>10.826192447650227</c:v>
                </c:pt>
                <c:pt idx="139">
                  <c:v>10.775192617256085</c:v>
                </c:pt>
                <c:pt idx="140">
                  <c:v>10.724485854208181</c:v>
                </c:pt>
                <c:pt idx="141">
                  <c:v>10.674068706425535</c:v>
                </c:pt>
                <c:pt idx="142">
                  <c:v>10.622752453368545</c:v>
                </c:pt>
                <c:pt idx="143">
                  <c:v>10.571732585365446</c:v>
                </c:pt>
                <c:pt idx="144">
                  <c:v>10.521005591261039</c:v>
                </c:pt>
                <c:pt idx="145">
                  <c:v>10.47056802176095</c:v>
                </c:pt>
                <c:pt idx="146">
                  <c:v>10.4192581347207</c:v>
                </c:pt>
                <c:pt idx="147">
                  <c:v>10.368244122688461</c:v>
                </c:pt>
                <c:pt idx="148">
                  <c:v>10.317522482831453</c:v>
                </c:pt>
                <c:pt idx="149">
                  <c:v>10.267089773964106</c:v>
                </c:pt>
                <c:pt idx="150">
                  <c:v>10.215786494095614</c:v>
                </c:pt>
                <c:pt idx="151">
                  <c:v>10.16477856447991</c:v>
                </c:pt>
                <c:pt idx="152">
                  <c:v>10.114062490751973</c:v>
                </c:pt>
                <c:pt idx="153">
                  <c:v>10.063634839977556</c:v>
                </c:pt>
                <c:pt idx="154">
                  <c:v>10.01231526488546</c:v>
                </c:pt>
                <c:pt idx="155">
                  <c:v>9.961290765213322</c:v>
                </c:pt>
                <c:pt idx="156">
                  <c:v>9.9105578505242402</c:v>
                </c:pt>
                <c:pt idx="157">
                  <c:v>9.8601130917020345</c:v>
                </c:pt>
                <c:pt idx="158">
                  <c:v>9.808779805495206</c:v>
                </c:pt>
                <c:pt idx="159">
                  <c:v>9.757741276029666</c:v>
                </c:pt>
                <c:pt idx="160">
                  <c:v>9.7069940174520486</c:v>
                </c:pt>
                <c:pt idx="161">
                  <c:v>9.6565346051047012</c:v>
                </c:pt>
                <c:pt idx="162">
                  <c:v>9.6052129058570088</c:v>
                </c:pt>
                <c:pt idx="163">
                  <c:v>9.5541853406092745</c:v>
                </c:pt>
                <c:pt idx="164">
                  <c:v>9.5034484333429834</c:v>
                </c:pt>
                <c:pt idx="165">
                  <c:v>9.4529987689881771</c:v>
                </c:pt>
                <c:pt idx="166">
                  <c:v>9.4016461875725383</c:v>
                </c:pt>
                <c:pt idx="167">
                  <c:v>9.3505875875207494</c:v>
                </c:pt>
                <c:pt idx="168">
                  <c:v>9.2998194942098991</c:v>
                </c:pt>
                <c:pt idx="169">
                  <c:v>9.2493384939159533</c:v>
                </c:pt>
                <c:pt idx="170">
                  <c:v>9.1980671232343738</c:v>
                </c:pt>
                <c:pt idx="171">
                  <c:v>9.1470882875588639</c:v>
                </c:pt>
                <c:pt idx="172">
                  <c:v>9.0963985363774533</c:v>
                </c:pt>
                <c:pt idx="173">
                  <c:v>9.0459944794995923</c:v>
                </c:pt>
                <c:pt idx="174">
                  <c:v>8.9946128337860394</c:v>
                </c:pt>
                <c:pt idx="175">
                  <c:v>8.9435244407736256</c:v>
                </c:pt>
                <c:pt idx="176">
                  <c:v>8.8927258357159715</c:v>
                </c:pt>
                <c:pt idx="177">
                  <c:v>8.8422136145027892</c:v>
                </c:pt>
                <c:pt idx="178">
                  <c:v>8.7907528259212757</c:v>
                </c:pt>
                <c:pt idx="179">
                  <c:v>8.7395856328684811</c:v>
                </c:pt>
                <c:pt idx="180">
                  <c:v>8.688708562824619</c:v>
                </c:pt>
                <c:pt idx="181">
                  <c:v>8.6381182040711124</c:v>
                </c:pt>
                <c:pt idx="182">
                  <c:v>8.5868079318199371</c:v>
                </c:pt>
                <c:pt idx="183">
                  <c:v>8.5357889710755117</c:v>
                </c:pt>
                <c:pt idx="184">
                  <c:v>8.4850578878033289</c:v>
                </c:pt>
                <c:pt idx="185">
                  <c:v>8.4346113078612071</c:v>
                </c:pt>
                <c:pt idx="186">
                  <c:v>8.383072760610851</c:v>
                </c:pt>
                <c:pt idx="187">
                  <c:v>8.3318275175489642</c:v>
                </c:pt>
                <c:pt idx="188">
                  <c:v>8.2808721074424945</c:v>
                </c:pt>
                <c:pt idx="189">
                  <c:v>8.2302031198006418</c:v>
                </c:pt>
                <c:pt idx="190">
                  <c:v>8.1788583711382632</c:v>
                </c:pt>
                <c:pt idx="191">
                  <c:v>8.1278041165207267</c:v>
                </c:pt>
                <c:pt idx="192">
                  <c:v>8.0770369322015618</c:v>
                </c:pt>
                <c:pt idx="193">
                  <c:v>8.0265534540608279</c:v>
                </c:pt>
                <c:pt idx="194">
                  <c:v>7.9750379330459911</c:v>
                </c:pt>
                <c:pt idx="195">
                  <c:v>7.9238141974977152</c:v>
                </c:pt>
                <c:pt idx="196">
                  <c:v>7.8728787985759707</c:v>
                </c:pt>
                <c:pt idx="197">
                  <c:v>7.8222283476364662</c:v>
                </c:pt>
                <c:pt idx="198">
                  <c:v>7.7707596738426119</c:v>
                </c:pt>
                <c:pt idx="199">
                  <c:v>7.7195815956277496</c:v>
                </c:pt>
                <c:pt idx="200">
                  <c:v>7.6686906827083279</c:v>
                </c:pt>
                <c:pt idx="201">
                  <c:v>7.6180835645543947</c:v>
                </c:pt>
                <c:pt idx="202">
                  <c:v>7.5666815465649648</c:v>
                </c:pt>
                <c:pt idx="203">
                  <c:v>7.5155686926046563</c:v>
                </c:pt>
                <c:pt idx="204">
                  <c:v>7.4647415950315201</c:v>
                </c:pt>
                <c:pt idx="205">
                  <c:v>7.4141969054227896</c:v>
                </c:pt>
                <c:pt idx="206">
                  <c:v>7.3627045288636586</c:v>
                </c:pt>
                <c:pt idx="207">
                  <c:v>7.3115016235953583</c:v>
                </c:pt>
                <c:pt idx="208">
                  <c:v>7.2605847737858209</c:v>
                </c:pt>
                <c:pt idx="209">
                  <c:v>7.2099506230016353</c:v>
                </c:pt>
                <c:pt idx="210">
                  <c:v>7.158224886748938</c:v>
                </c:pt>
                <c:pt idx="211">
                  <c:v>7.1067905033145609</c:v>
                </c:pt>
                <c:pt idx="212">
                  <c:v>7.0556440206240714</c:v>
                </c:pt>
                <c:pt idx="213">
                  <c:v>7.0047820468319397</c:v>
                </c:pt>
                <c:pt idx="214">
                  <c:v>6.9531958295839846</c:v>
                </c:pt>
                <c:pt idx="215">
                  <c:v>6.9018986350692888</c:v>
                </c:pt>
                <c:pt idx="216">
                  <c:v>6.8508870492889384</c:v>
                </c:pt>
                <c:pt idx="217">
                  <c:v>6.8001577175835415</c:v>
                </c:pt>
                <c:pt idx="218">
                  <c:v>6.7485602362254626</c:v>
                </c:pt>
                <c:pt idx="219">
                  <c:v>6.6972511125977086</c:v>
                </c:pt>
                <c:pt idx="220">
                  <c:v>6.6462269411445192</c:v>
                </c:pt>
                <c:pt idx="221">
                  <c:v>6.5954843754479233</c:v>
                </c:pt>
                <c:pt idx="222">
                  <c:v>6.5438982741800968</c:v>
                </c:pt>
                <c:pt idx="223">
                  <c:v>6.4925995850526093</c:v>
                </c:pt>
                <c:pt idx="224">
                  <c:v>6.4415849157308429</c:v>
                </c:pt>
                <c:pt idx="225">
                  <c:v>6.3908509327075071</c:v>
                </c:pt>
                <c:pt idx="226">
                  <c:v>6.3391403903734469</c:v>
                </c:pt>
                <c:pt idx="227">
                  <c:v>6.2877177922314234</c:v>
                </c:pt>
                <c:pt idx="228">
                  <c:v>6.236579732881439</c:v>
                </c:pt>
                <c:pt idx="229">
                  <c:v>6.1857228660475485</c:v>
                </c:pt>
                <c:pt idx="230">
                  <c:v>6.0824001512533696</c:v>
                </c:pt>
                <c:pt idx="231">
                  <c:v>6.031167547751469</c:v>
                </c:pt>
                <c:pt idx="232">
                  <c:v>5.9802162898294364</c:v>
                </c:pt>
                <c:pt idx="233">
                  <c:v>5.9283435096448986</c:v>
                </c:pt>
                <c:pt idx="234">
                  <c:v>5.8767586642627183</c:v>
                </c:pt>
                <c:pt idx="235">
                  <c:v>5.8254583404996261</c:v>
                </c:pt>
                <c:pt idx="236">
                  <c:v>5.7744391844716381</c:v>
                </c:pt>
                <c:pt idx="237">
                  <c:v>5.7226712204351857</c:v>
                </c:pt>
                <c:pt idx="238">
                  <c:v>5.6711890787806274</c:v>
                </c:pt>
                <c:pt idx="239">
                  <c:v>5.6199893794721687</c:v>
                </c:pt>
                <c:pt idx="240">
                  <c:v>5.5690688010083385</c:v>
                </c:pt>
                <c:pt idx="241">
                  <c:v>5.5171327738421976</c:v>
                </c:pt>
                <c:pt idx="242">
                  <c:v>5.4654834299809743</c:v>
                </c:pt>
                <c:pt idx="243">
                  <c:v>5.4141173696917786</c:v>
                </c:pt>
                <c:pt idx="244">
                  <c:v>5.3630312522314361</c:v>
                </c:pt>
                <c:pt idx="245">
                  <c:v>5.3110989318040751</c:v>
                </c:pt>
                <c:pt idx="246">
                  <c:v>5.2594522236518637</c:v>
                </c:pt>
                <c:pt idx="247">
                  <c:v>5.2080877423673133</c:v>
                </c:pt>
                <c:pt idx="248">
                  <c:v>5.1570021612049199</c:v>
                </c:pt>
                <c:pt idx="249">
                  <c:v>5.104956359781708</c:v>
                </c:pt>
                <c:pt idx="250">
                  <c:v>5.0531963450453112</c:v>
                </c:pt>
                <c:pt idx="251">
                  <c:v>5.0017187236223428</c:v>
                </c:pt>
                <c:pt idx="252">
                  <c:v>4.950520160989579</c:v>
                </c:pt>
                <c:pt idx="253">
                  <c:v>4.8985226058522198</c:v>
                </c:pt>
                <c:pt idx="254">
                  <c:v>4.8468092004414416</c:v>
                </c:pt>
                <c:pt idx="255">
                  <c:v>4.7953765753596258</c:v>
                </c:pt>
                <c:pt idx="256">
                  <c:v>4.7442214195132184</c:v>
                </c:pt>
                <c:pt idx="257">
                  <c:v>4.6920259348978766</c:v>
                </c:pt>
                <c:pt idx="258">
                  <c:v>4.6401156049542545</c:v>
                </c:pt>
                <c:pt idx="259">
                  <c:v>4.5884870371447244</c:v>
                </c:pt>
                <c:pt idx="260">
                  <c:v>4.537136897776886</c:v>
                </c:pt>
                <c:pt idx="261">
                  <c:v>4.484904287944846</c:v>
                </c:pt>
                <c:pt idx="262">
                  <c:v>4.4329560357030759</c:v>
                </c:pt>
                <c:pt idx="263">
                  <c:v>4.3812887571695454</c:v>
                </c:pt>
                <c:pt idx="264">
                  <c:v>4.329899127117887</c:v>
                </c:pt>
                <c:pt idx="265">
                  <c:v>4.2776510749265322</c:v>
                </c:pt>
                <c:pt idx="266">
                  <c:v>4.2256863035256806</c:v>
                </c:pt>
                <c:pt idx="267">
                  <c:v>4.1740014424662792</c:v>
                </c:pt>
                <c:pt idx="268">
                  <c:v>4.1225931796577697</c:v>
                </c:pt>
                <c:pt idx="269">
                  <c:v>4.070226471219847</c:v>
                </c:pt>
                <c:pt idx="270">
                  <c:v>4.0181430345484106</c:v>
                </c:pt>
                <c:pt idx="271">
                  <c:v>3.9663394934099565</c:v>
                </c:pt>
                <c:pt idx="272">
                  <c:v>3.9148125300770009</c:v>
                </c:pt>
                <c:pt idx="273">
                  <c:v>3.8623533444751352</c:v>
                </c:pt>
                <c:pt idx="274">
                  <c:v>3.8101770845604719</c:v>
                </c:pt>
                <c:pt idx="275">
                  <c:v>3.758280374091441</c:v>
                </c:pt>
                <c:pt idx="276">
                  <c:v>3.706659895349568</c:v>
                </c:pt>
                <c:pt idx="277">
                  <c:v>3.6542504438330079</c:v>
                </c:pt>
                <c:pt idx="278">
                  <c:v>3.6021219949007186</c:v>
                </c:pt>
                <c:pt idx="279">
                  <c:v>3.5502712002296466</c:v>
                </c:pt>
                <c:pt idx="280">
                  <c:v>3.498694769396391</c:v>
                </c:pt>
                <c:pt idx="281">
                  <c:v>3.4460034503730625</c:v>
                </c:pt>
                <c:pt idx="282">
                  <c:v>3.3935947061884097</c:v>
                </c:pt>
                <c:pt idx="283">
                  <c:v>3.3414651538254252</c:v>
                </c:pt>
                <c:pt idx="284">
                  <c:v>3.2896114689877267</c:v>
                </c:pt>
                <c:pt idx="285">
                  <c:v>3.2370128270553056</c:v>
                </c:pt>
                <c:pt idx="286">
                  <c:v>3.1846942721720546</c:v>
                </c:pt>
                <c:pt idx="287">
                  <c:v>3.1326524589701048</c:v>
                </c:pt>
                <c:pt idx="288">
                  <c:v>3.0808840999596128</c:v>
                </c:pt>
                <c:pt idx="289">
                  <c:v>3.028057671938162</c:v>
                </c:pt>
                <c:pt idx="290">
                  <c:v>2.975512197512673</c:v>
                </c:pt>
                <c:pt idx="291">
                  <c:v>2.9232443087643252</c:v>
                </c:pt>
                <c:pt idx="292">
                  <c:v>2.8712506961995334</c:v>
                </c:pt>
                <c:pt idx="293">
                  <c:v>2.8183360158592805</c:v>
                </c:pt>
                <c:pt idx="294">
                  <c:v>2.7657016078567946</c:v>
                </c:pt>
                <c:pt idx="295">
                  <c:v>2.7133441091934083</c:v>
                </c:pt>
                <c:pt idx="296">
                  <c:v>2.6612602152133054</c:v>
                </c:pt>
                <c:pt idx="297">
                  <c:v>2.6082794492956718</c:v>
                </c:pt>
                <c:pt idx="298">
                  <c:v>2.5555779793332993</c:v>
                </c:pt>
                <c:pt idx="299">
                  <c:v>2.5031524523499451</c:v>
                </c:pt>
                <c:pt idx="300">
                  <c:v>2.4509995735154524</c:v>
                </c:pt>
                <c:pt idx="301">
                  <c:v>2.3979731012443311</c:v>
                </c:pt>
                <c:pt idx="302">
                  <c:v>2.3452246749990842</c:v>
                </c:pt>
                <c:pt idx="303">
                  <c:v>2.2927509565577684</c:v>
                </c:pt>
                <c:pt idx="304">
                  <c:v>2.2405486655425015</c:v>
                </c:pt>
                <c:pt idx="305">
                  <c:v>2.1872916515593026</c:v>
                </c:pt>
                <c:pt idx="306">
                  <c:v>2.1343132994357421</c:v>
                </c:pt>
                <c:pt idx="307">
                  <c:v>2.0816102519663828</c:v>
                </c:pt>
                <c:pt idx="308">
                  <c:v>2.0291792102696231</c:v>
                </c:pt>
                <c:pt idx="309">
                  <c:v>1.9759205956539749</c:v>
                </c:pt>
                <c:pt idx="310">
                  <c:v>1.9229388004048944</c:v>
                </c:pt>
                <c:pt idx="311">
                  <c:v>1.8702304923858495</c:v>
                </c:pt>
                <c:pt idx="312">
                  <c:v>1.8177923972516319</c:v>
                </c:pt>
                <c:pt idx="313">
                  <c:v>1.7643521399537021</c:v>
                </c:pt>
                <c:pt idx="314">
                  <c:v>1.7111886618109899</c:v>
                </c:pt>
                <c:pt idx="315">
                  <c:v>1.6582986231264112</c:v>
                </c:pt>
                <c:pt idx="316">
                  <c:v>1.6056787422186889</c:v>
                </c:pt>
                <c:pt idx="317">
                  <c:v>1.5520825225964439</c:v>
                </c:pt>
                <c:pt idx="318">
                  <c:v>1.498762697681737</c:v>
                </c:pt>
                <c:pt idx="319">
                  <c:v>1.4457159262240964</c:v>
                </c:pt>
                <c:pt idx="320">
                  <c:v>1.3929389250797741</c:v>
                </c:pt>
                <c:pt idx="321">
                  <c:v>1.3392104403374794</c:v>
                </c:pt>
                <c:pt idx="322">
                  <c:v>1.2857576447209873</c:v>
                </c:pt>
                <c:pt idx="323">
                  <c:v>1.2325772010640004</c:v>
                </c:pt>
                <c:pt idx="324">
                  <c:v>1.1796658302724641</c:v>
                </c:pt>
                <c:pt idx="325">
                  <c:v>1.1258268856711644</c:v>
                </c:pt>
                <c:pt idx="326">
                  <c:v>1.0722626261508086</c:v>
                </c:pt>
                <c:pt idx="327">
                  <c:v>1.0189697238961335</c:v>
                </c:pt>
                <c:pt idx="328">
                  <c:v>0.96594490901284646</c:v>
                </c:pt>
                <c:pt idx="329">
                  <c:v>0.91192555621540727</c:v>
                </c:pt>
                <c:pt idx="330">
                  <c:v>0.85818051768758852</c:v>
                </c:pt>
                <c:pt idx="331">
                  <c:v>0.80470646335927098</c:v>
                </c:pt>
                <c:pt idx="332">
                  <c:v>0.75150012120400633</c:v>
                </c:pt>
                <c:pt idx="333">
                  <c:v>0.69741219636915242</c:v>
                </c:pt>
                <c:pt idx="334">
                  <c:v>0.64359700438420886</c:v>
                </c:pt>
                <c:pt idx="335">
                  <c:v>0.59005123478961985</c:v>
                </c:pt>
                <c:pt idx="336">
                  <c:v>0.53677163479143397</c:v>
                </c:pt>
                <c:pt idx="337">
                  <c:v>0.4824588557905628</c:v>
                </c:pt>
                <c:pt idx="338">
                  <c:v>0.42841872165835126</c:v>
                </c:pt>
                <c:pt idx="339">
                  <c:v>0.37464791433378353</c:v>
                </c:pt>
                <c:pt idx="340">
                  <c:v>0.32114317367988304</c:v>
                </c:pt>
                <c:pt idx="341">
                  <c:v>0.26663076043195649</c:v>
                </c:pt>
                <c:pt idx="342">
                  <c:v>0.21239055927256142</c:v>
                </c:pt>
                <c:pt idx="343">
                  <c:v>0.15841925069765481</c:v>
                </c:pt>
                <c:pt idx="344">
                  <c:v>0.10471357324994907</c:v>
                </c:pt>
                <c:pt idx="345">
                  <c:v>5.0107793042380472E-2</c:v>
                </c:pt>
                <c:pt idx="346">
                  <c:v>-4.2273495959770464E-3</c:v>
                </c:pt>
                <c:pt idx="347">
                  <c:v>-5.8295154839931196E-2</c:v>
                </c:pt>
                <c:pt idx="348">
                  <c:v>-0.11209886517116414</c:v>
                </c:pt>
                <c:pt idx="349">
                  <c:v>-0.16694435576516747</c:v>
                </c:pt>
                <c:pt idx="350">
                  <c:v>-0.22151941986143256</c:v>
                </c:pt>
                <c:pt idx="351">
                  <c:v>-0.27582736319791101</c:v>
                </c:pt>
                <c:pt idx="352">
                  <c:v>-0.32987143358722071</c:v>
                </c:pt>
                <c:pt idx="353">
                  <c:v>-0.38493222775852981</c:v>
                </c:pt>
                <c:pt idx="354">
                  <c:v>-0.43972314332045298</c:v>
                </c:pt>
                <c:pt idx="355">
                  <c:v>-0.49424748544830521</c:v>
                </c:pt>
                <c:pt idx="356">
                  <c:v>-0.54850850129451156</c:v>
                </c:pt>
                <c:pt idx="357">
                  <c:v>-0.60368385210334918</c:v>
                </c:pt>
                <c:pt idx="358">
                  <c:v>-0.65859094404620444</c:v>
                </c:pt>
                <c:pt idx="359">
                  <c:v>-0.71323306206556558</c:v>
                </c:pt>
                <c:pt idx="360">
                  <c:v>-0.76761343343505706</c:v>
                </c:pt>
                <c:pt idx="361">
                  <c:v>-0.8230408305824598</c:v>
                </c:pt>
                <c:pt idx="362">
                  <c:v>-0.87820034144434678</c:v>
                </c:pt>
                <c:pt idx="363">
                  <c:v>-0.9330952534981265</c:v>
                </c:pt>
                <c:pt idx="364">
                  <c:v>-0.98772879636653832</c:v>
                </c:pt>
                <c:pt idx="365">
                  <c:v>-1.0433095755494624</c:v>
                </c:pt>
                <c:pt idx="366">
                  <c:v>-1.0986238852265853</c:v>
                </c:pt>
                <c:pt idx="367">
                  <c:v>-1.1536749961477897</c:v>
                </c:pt>
                <c:pt idx="368">
                  <c:v>-1.2084661214650079</c:v>
                </c:pt>
                <c:pt idx="369">
                  <c:v>-1.2643309462101149</c:v>
                </c:pt>
                <c:pt idx="370">
                  <c:v>-1.3199295604235461</c:v>
                </c:pt>
                <c:pt idx="371">
                  <c:v>-1.3752652392407241</c:v>
                </c:pt>
                <c:pt idx="372">
                  <c:v>-1.4303411999524818</c:v>
                </c:pt>
                <c:pt idx="373">
                  <c:v>-1.486393651370167</c:v>
                </c:pt>
                <c:pt idx="374">
                  <c:v>-1.5421811656031046</c:v>
                </c:pt>
                <c:pt idx="375">
                  <c:v>-1.5977070033354945</c:v>
                </c:pt>
                <c:pt idx="376">
                  <c:v>-1.652974367593254</c:v>
                </c:pt>
                <c:pt idx="377">
                  <c:v>-1.7093388871960555</c:v>
                </c:pt>
                <c:pt idx="378">
                  <c:v>-1.7654386656452732</c:v>
                </c:pt>
                <c:pt idx="379">
                  <c:v>-1.8212769687775665</c:v>
                </c:pt>
                <c:pt idx="380">
                  <c:v>-1.876857004487074</c:v>
                </c:pt>
                <c:pt idx="381">
                  <c:v>-1.9333696793300268</c:v>
                </c:pt>
                <c:pt idx="382">
                  <c:v>-1.9896194395073932</c:v>
                </c:pt>
                <c:pt idx="383">
                  <c:v>-2.0456095256619982</c:v>
                </c:pt>
                <c:pt idx="384">
                  <c:v>-2.1013431209159088</c:v>
                </c:pt>
                <c:pt idx="385">
                  <c:v>-2.1581951359878464</c:v>
                </c:pt>
                <c:pt idx="386">
                  <c:v>-2.2147843782619101</c:v>
                </c:pt>
                <c:pt idx="387">
                  <c:v>-2.2711140939103021</c:v>
                </c:pt>
                <c:pt idx="388">
                  <c:v>-2.3271874712712108</c:v>
                </c:pt>
                <c:pt idx="389">
                  <c:v>-2.384287137657993</c:v>
                </c:pt>
                <c:pt idx="390">
                  <c:v>-2.4411251219557895</c:v>
                </c:pt>
                <c:pt idx="391">
                  <c:v>-2.4977046579618252</c:v>
                </c:pt>
                <c:pt idx="392">
                  <c:v>-2.5540289217392758</c:v>
                </c:pt>
                <c:pt idx="393">
                  <c:v>-2.6113574643992026</c:v>
                </c:pt>
                <c:pt idx="394">
                  <c:v>-2.6684256760829261</c:v>
                </c:pt>
                <c:pt idx="395">
                  <c:v>-2.7252367729314275</c:v>
                </c:pt>
                <c:pt idx="396">
                  <c:v>-2.7817939135675895</c:v>
                </c:pt>
                <c:pt idx="397">
                  <c:v>-2.8394640805522595</c:v>
                </c:pt>
                <c:pt idx="398">
                  <c:v>-2.8968743396441643</c:v>
                </c:pt>
                <c:pt idx="399">
                  <c:v>-2.954027905952894</c:v>
                </c:pt>
                <c:pt idx="400">
                  <c:v>-3.0109279368803463</c:v>
                </c:pt>
                <c:pt idx="401">
                  <c:v>-3.0688534387968245</c:v>
                </c:pt>
                <c:pt idx="402">
                  <c:v>-3.1265203284403116</c:v>
                </c:pt>
                <c:pt idx="403">
                  <c:v>-3.1839318031661392</c:v>
                </c:pt>
                <c:pt idx="404">
                  <c:v>-3.2410910028210873</c:v>
                </c:pt>
                <c:pt idx="405">
                  <c:v>-3.2993171866157995</c:v>
                </c:pt>
                <c:pt idx="406">
                  <c:v>-3.3572857365652986</c:v>
                </c:pt>
                <c:pt idx="407">
                  <c:v>-3.4149998374712083</c:v>
                </c:pt>
                <c:pt idx="408">
                  <c:v>-3.472462616691943</c:v>
                </c:pt>
                <c:pt idx="409">
                  <c:v>-3.5310319966807553</c:v>
                </c:pt>
                <c:pt idx="410">
                  <c:v>-3.5893444385598055</c:v>
                </c:pt>
                <c:pt idx="411">
                  <c:v>-3.6474031190687333</c:v>
                </c:pt>
                <c:pt idx="412">
                  <c:v>-3.7052111574516697</c:v>
                </c:pt>
                <c:pt idx="413">
                  <c:v>-3.7641030883603301</c:v>
                </c:pt>
                <c:pt idx="414">
                  <c:v>-3.8227390496270806</c:v>
                </c:pt>
                <c:pt idx="415">
                  <c:v>-3.8811222040782161</c:v>
                </c:pt>
                <c:pt idx="416">
                  <c:v>-3.9392556571229091</c:v>
                </c:pt>
                <c:pt idx="417">
                  <c:v>-3.9985106523235485</c:v>
                </c:pt>
                <c:pt idx="418">
                  <c:v>-4.0575103836321906</c:v>
                </c:pt>
                <c:pt idx="419">
                  <c:v>-4.1162580039271894</c:v>
                </c:pt>
                <c:pt idx="420">
                  <c:v>-4.1747566086432437</c:v>
                </c:pt>
                <c:pt idx="421">
                  <c:v>-4.2342957712162361</c:v>
                </c:pt>
                <c:pt idx="422">
                  <c:v>-4.2935811349495259</c:v>
                </c:pt>
                <c:pt idx="423">
                  <c:v>-4.3526158277964919</c:v>
                </c:pt>
                <c:pt idx="424">
                  <c:v>-4.411402920594977</c:v>
                </c:pt>
                <c:pt idx="425">
                  <c:v>-4.4713828849308648</c:v>
                </c:pt>
                <c:pt idx="426">
                  <c:v>-4.5311092630319418</c:v>
                </c:pt>
                <c:pt idx="427">
                  <c:v>-4.590585179974088</c:v>
                </c:pt>
                <c:pt idx="428">
                  <c:v>-4.6498137035015903</c:v>
                </c:pt>
                <c:pt idx="429">
                  <c:v>-4.7101548518858003</c:v>
                </c:pt>
                <c:pt idx="430">
                  <c:v>-4.7702433857778566</c:v>
                </c:pt>
                <c:pt idx="431">
                  <c:v>-4.830082412253609</c:v>
                </c:pt>
                <c:pt idx="432">
                  <c:v>-4.8896749812017095</c:v>
                </c:pt>
                <c:pt idx="433">
                  <c:v>-4.9503587491391015</c:v>
                </c:pt>
                <c:pt idx="434">
                  <c:v>-5.0107910987478022</c:v>
                </c:pt>
                <c:pt idx="435">
                  <c:v>-5.0709751137884016</c:v>
                </c:pt>
                <c:pt idx="436">
                  <c:v>-5.1309138211030012</c:v>
                </c:pt>
                <c:pt idx="437">
                  <c:v>-5.1920325118241166</c:v>
                </c:pt>
                <c:pt idx="438">
                  <c:v>-5.2529002862658478</c:v>
                </c:pt>
                <c:pt idx="439">
                  <c:v>-5.3135202163259496</c:v>
                </c:pt>
                <c:pt idx="440">
                  <c:v>-5.3738953169659487</c:v>
                </c:pt>
                <c:pt idx="441">
                  <c:v>-5.4354278951074866</c:v>
                </c:pt>
                <c:pt idx="442">
                  <c:v>-5.4967103037492713</c:v>
                </c:pt>
                <c:pt idx="443">
                  <c:v>-5.5577455970674805</c:v>
                </c:pt>
                <c:pt idx="444">
                  <c:v>-5.6185367724238731</c:v>
                </c:pt>
                <c:pt idx="445">
                  <c:v>-5.6804637386064547</c:v>
                </c:pt>
                <c:pt idx="446">
                  <c:v>-5.7421415008315977</c:v>
                </c:pt>
                <c:pt idx="447">
                  <c:v>-5.8035730901349183</c:v>
                </c:pt>
                <c:pt idx="448">
                  <c:v>-5.8647614809908841</c:v>
                </c:pt>
                <c:pt idx="449">
                  <c:v>-5.9271690016687071</c:v>
                </c:pt>
                <c:pt idx="450">
                  <c:v>-5.9893276503005008</c:v>
                </c:pt>
                <c:pt idx="451">
                  <c:v>-6.0512404447908033</c:v>
                </c:pt>
                <c:pt idx="452">
                  <c:v>-6.1129103464865224</c:v>
                </c:pt>
                <c:pt idx="453">
                  <c:v>-6.1757254676540088</c:v>
                </c:pt>
                <c:pt idx="454">
                  <c:v>-6.2382926840906769</c:v>
                </c:pt>
                <c:pt idx="455">
                  <c:v>-6.3006149874713122</c:v>
                </c:pt>
                <c:pt idx="456">
                  <c:v>-6.3626953132430835</c:v>
                </c:pt>
                <c:pt idx="457">
                  <c:v>-6.4260012513466434</c:v>
                </c:pt>
                <c:pt idx="458">
                  <c:v>-6.4890596415236885</c:v>
                </c:pt>
                <c:pt idx="459">
                  <c:v>-6.5518734586101068</c:v>
                </c:pt>
                <c:pt idx="460">
                  <c:v>-6.6144456213123881</c:v>
                </c:pt>
                <c:pt idx="461">
                  <c:v>-6.6782211624494838</c:v>
                </c:pt>
                <c:pt idx="462">
                  <c:v>-6.7417497232907317</c:v>
                </c:pt>
                <c:pt idx="463">
                  <c:v>-6.8050342563323039</c:v>
                </c:pt>
                <c:pt idx="464">
                  <c:v>-6.8680776581812939</c:v>
                </c:pt>
                <c:pt idx="465">
                  <c:v>-6.9323519304729864</c:v>
                </c:pt>
                <c:pt idx="466">
                  <c:v>-6.9963796015225359</c:v>
                </c:pt>
                <c:pt idx="467">
                  <c:v>-7.060163603111751</c:v>
                </c:pt>
                <c:pt idx="468">
                  <c:v>-7.1237068113400532</c:v>
                </c:pt>
                <c:pt idx="469">
                  <c:v>-7.188459020893001</c:v>
                </c:pt>
                <c:pt idx="470">
                  <c:v>-7.2529651969893107</c:v>
                </c:pt>
                <c:pt idx="471">
                  <c:v>-7.317228245573375</c:v>
                </c:pt>
                <c:pt idx="472">
                  <c:v>-7.3812510172530033</c:v>
                </c:pt>
                <c:pt idx="473">
                  <c:v>-7.4465566588947265</c:v>
                </c:pt>
                <c:pt idx="474">
                  <c:v>-7.5116162867435072</c:v>
                </c:pt>
                <c:pt idx="475">
                  <c:v>-7.5764327887706546</c:v>
                </c:pt>
                <c:pt idx="476">
                  <c:v>-7.6410089977701423</c:v>
                </c:pt>
                <c:pt idx="477">
                  <c:v>-7.7068454912444393</c:v>
                </c:pt>
                <c:pt idx="478">
                  <c:v>-7.7724361828296562</c:v>
                </c:pt>
                <c:pt idx="479">
                  <c:v>-7.8377839372825351</c:v>
                </c:pt>
                <c:pt idx="480">
                  <c:v>-7.9028915644900302</c:v>
                </c:pt>
                <c:pt idx="481">
                  <c:v>-7.9692375997703699</c:v>
                </c:pt>
                <c:pt idx="482">
                  <c:v>-8.0353382129116842</c:v>
                </c:pt>
                <c:pt idx="483">
                  <c:v>-8.1011962407378562</c:v>
                </c:pt>
                <c:pt idx="484">
                  <c:v>-8.166814465649912</c:v>
                </c:pt>
                <c:pt idx="485">
                  <c:v>-8.2336953432727924</c:v>
                </c:pt>
                <c:pt idx="486">
                  <c:v>-8.3003309914575691</c:v>
                </c:pt>
                <c:pt idx="487">
                  <c:v>-8.3667242205818368</c:v>
                </c:pt>
                <c:pt idx="488">
                  <c:v>-8.4328777870322824</c:v>
                </c:pt>
                <c:pt idx="489">
                  <c:v>-8.5003620377420557</c:v>
                </c:pt>
                <c:pt idx="490">
                  <c:v>-8.5676007491376893</c:v>
                </c:pt>
                <c:pt idx="491">
                  <c:v>-8.6345967119686424</c:v>
                </c:pt>
                <c:pt idx="492">
                  <c:v>-8.701352663277321</c:v>
                </c:pt>
                <c:pt idx="493">
                  <c:v>-8.7694164565617463</c:v>
                </c:pt>
                <c:pt idx="494">
                  <c:v>-8.8372345695475847</c:v>
                </c:pt>
                <c:pt idx="495">
                  <c:v>-8.9048097687040997</c:v>
                </c:pt>
                <c:pt idx="496">
                  <c:v>-8.9721447672261139</c:v>
                </c:pt>
                <c:pt idx="497">
                  <c:v>-9.0408089355068277</c:v>
                </c:pt>
                <c:pt idx="498">
                  <c:v>-9.1092271187119458</c:v>
                </c:pt>
                <c:pt idx="499">
                  <c:v>-9.1774020601106301</c:v>
                </c:pt>
                <c:pt idx="500">
                  <c:v>-9.245336450136838</c:v>
                </c:pt>
                <c:pt idx="501">
                  <c:v>-9.3146204185673227</c:v>
                </c:pt>
                <c:pt idx="502">
                  <c:v>-9.3836579397410844</c:v>
                </c:pt>
                <c:pt idx="503">
                  <c:v>-9.4524517347380659</c:v>
                </c:pt>
                <c:pt idx="504">
                  <c:v>-9.5210044722546208</c:v>
                </c:pt>
                <c:pt idx="505">
                  <c:v>-9.5908839991668913</c:v>
                </c:pt>
                <c:pt idx="506">
                  <c:v>-9.6605167628004036</c:v>
                </c:pt>
                <c:pt idx="507">
                  <c:v>-9.7299054581625732</c:v>
                </c:pt>
                <c:pt idx="508">
                  <c:v>-9.7990527284710698</c:v>
                </c:pt>
                <c:pt idx="509">
                  <c:v>-9.8695463161005215</c:v>
                </c:pt>
                <c:pt idx="510">
                  <c:v>-9.9397926598072512</c:v>
                </c:pt>
                <c:pt idx="511">
                  <c:v>-10.009794429922181</c:v>
                </c:pt>
                <c:pt idx="512">
                  <c:v>-10.079554245591515</c:v>
                </c:pt>
                <c:pt idx="513">
                  <c:v>-10.150720171615292</c:v>
                </c:pt>
                <c:pt idx="514">
                  <c:v>-10.221637929302043</c:v>
                </c:pt>
                <c:pt idx="515">
                  <c:v>-10.292310170259141</c:v>
                </c:pt>
                <c:pt idx="516">
                  <c:v>-10.362739495414443</c:v>
                </c:pt>
                <c:pt idx="517">
                  <c:v>-10.434551313590338</c:v>
                </c:pt>
                <c:pt idx="518">
                  <c:v>-10.506114184807572</c:v>
                </c:pt>
                <c:pt idx="519">
                  <c:v>-10.577430738559045</c:v>
                </c:pt>
                <c:pt idx="520">
                  <c:v>-10.648503554305789</c:v>
                </c:pt>
                <c:pt idx="521">
                  <c:v>-10.720975837219012</c:v>
                </c:pt>
                <c:pt idx="522">
                  <c:v>-10.793198248803566</c:v>
                </c:pt>
                <c:pt idx="523">
                  <c:v>-10.865173397933683</c:v>
                </c:pt>
                <c:pt idx="524">
                  <c:v>-10.93690384412244</c:v>
                </c:pt>
                <c:pt idx="525">
                  <c:v>-11.010049918720735</c:v>
                </c:pt>
                <c:pt idx="526">
                  <c:v>-11.082945058484553</c:v>
                </c:pt>
                <c:pt idx="527">
                  <c:v>-11.155591853251959</c:v>
                </c:pt>
                <c:pt idx="528">
                  <c:v>-11.22799284419626</c:v>
                </c:pt>
                <c:pt idx="529">
                  <c:v>-11.301824829968973</c:v>
                </c:pt>
                <c:pt idx="530">
                  <c:v>-11.375404685182058</c:v>
                </c:pt>
                <c:pt idx="531">
                  <c:v>-11.448734982333487</c:v>
                </c:pt>
                <c:pt idx="532">
                  <c:v>-11.521818245980702</c:v>
                </c:pt>
                <c:pt idx="533">
                  <c:v>-11.596385504732513</c:v>
                </c:pt>
                <c:pt idx="534">
                  <c:v>-11.67069905192584</c:v>
                </c:pt>
                <c:pt idx="535">
                  <c:v>-11.744761448479036</c:v>
                </c:pt>
                <c:pt idx="536">
                  <c:v>-11.818575208027024</c:v>
                </c:pt>
                <c:pt idx="537">
                  <c:v>-11.893810224496965</c:v>
                </c:pt>
                <c:pt idx="538">
                  <c:v>-11.968790357608912</c:v>
                </c:pt>
                <c:pt idx="539">
                  <c:v>-12.043518150753984</c:v>
                </c:pt>
                <c:pt idx="540">
                  <c:v>-12.117996100922477</c:v>
                </c:pt>
                <c:pt idx="541">
                  <c:v>-12.19398393743047</c:v>
                </c:pt>
                <c:pt idx="542">
                  <c:v>-12.269715093253792</c:v>
                </c:pt>
                <c:pt idx="543">
                  <c:v>-12.345192104177762</c:v>
                </c:pt>
                <c:pt idx="544">
                  <c:v>-12.420417460313031</c:v>
                </c:pt>
                <c:pt idx="545">
                  <c:v>-12.497127429885516</c:v>
                </c:pt>
                <c:pt idx="546">
                  <c:v>-12.573579083784098</c:v>
                </c:pt>
                <c:pt idx="547">
                  <c:v>-12.649774948682479</c:v>
                </c:pt>
                <c:pt idx="548">
                  <c:v>-12.725717506431685</c:v>
                </c:pt>
                <c:pt idx="549">
                  <c:v>-12.8031563440511</c:v>
                </c:pt>
                <c:pt idx="550">
                  <c:v>-12.880335142995119</c:v>
                </c:pt>
                <c:pt idx="551">
                  <c:v>-12.9572564234597</c:v>
                </c:pt>
                <c:pt idx="552">
                  <c:v>-13.033922661700529</c:v>
                </c:pt>
                <c:pt idx="553">
                  <c:v>-13.112132081756805</c:v>
                </c:pt>
                <c:pt idx="554">
                  <c:v>-13.190079424277554</c:v>
                </c:pt>
                <c:pt idx="555">
                  <c:v>-13.267767209308873</c:v>
                </c:pt>
                <c:pt idx="556">
                  <c:v>-13.345197913791733</c:v>
                </c:pt>
                <c:pt idx="557">
                  <c:v>-13.502900745575367</c:v>
                </c:pt>
                <c:pt idx="558">
                  <c:v>-13.659556958219358</c:v>
                </c:pt>
                <c:pt idx="559">
                  <c:v>-13.8187415799762</c:v>
                </c:pt>
                <c:pt idx="560">
                  <c:v>-13.976872022202379</c:v>
                </c:pt>
                <c:pt idx="561">
                  <c:v>-14.137682829012171</c:v>
                </c:pt>
                <c:pt idx="562">
                  <c:v>-14.297429977056183</c:v>
                </c:pt>
                <c:pt idx="563">
                  <c:v>-14.459527650026498</c:v>
                </c:pt>
                <c:pt idx="564">
                  <c:v>-14.620556689775963</c:v>
                </c:pt>
                <c:pt idx="565">
                  <c:v>-14.784556679499596</c:v>
                </c:pt>
                <c:pt idx="566">
                  <c:v>-14.947475085117519</c:v>
                </c:pt>
                <c:pt idx="567">
                  <c:v>-15.113298922833948</c:v>
                </c:pt>
                <c:pt idx="568">
                  <c:v>-15.278029483076512</c:v>
                </c:pt>
                <c:pt idx="569">
                  <c:v>-15.44494953423786</c:v>
                </c:pt>
                <c:pt idx="570">
                  <c:v>-15.61077444533705</c:v>
                </c:pt>
                <c:pt idx="571">
                  <c:v>-15.780032293496369</c:v>
                </c:pt>
                <c:pt idx="572">
                  <c:v>-15.948177294408186</c:v>
                </c:pt>
                <c:pt idx="573">
                  <c:v>-16.118408055968978</c:v>
                </c:pt>
                <c:pt idx="574">
                  <c:v>-16.28752665802083</c:v>
                </c:pt>
                <c:pt idx="575">
                  <c:v>-16.459944995802907</c:v>
                </c:pt>
                <c:pt idx="576">
                  <c:v>-16.631236696297425</c:v>
                </c:pt>
                <c:pt idx="577">
                  <c:v>-17.344424404625666</c:v>
                </c:pt>
                <c:pt idx="578">
                  <c:v>-18.03936075794979</c:v>
                </c:pt>
                <c:pt idx="579">
                  <c:v>-19.505315982687954</c:v>
                </c:pt>
                <c:pt idx="580">
                  <c:v>-21.037634058630708</c:v>
                </c:pt>
                <c:pt idx="581">
                  <c:v>-22.644451154484742</c:v>
                </c:pt>
                <c:pt idx="582">
                  <c:v>-24.345026124460869</c:v>
                </c:pt>
                <c:pt idx="583">
                  <c:v>-26.171676750045375</c:v>
                </c:pt>
                <c:pt idx="584">
                  <c:v>-28.190605989842474</c:v>
                </c:pt>
                <c:pt idx="585">
                  <c:v>-30.533945059503868</c:v>
                </c:pt>
                <c:pt idx="586">
                  <c:v>-33.502368112854825</c:v>
                </c:pt>
                <c:pt idx="587">
                  <c:v>-37.890739615198981</c:v>
                </c:pt>
                <c:pt idx="588">
                  <c:v>-46.850577357873519</c:v>
                </c:pt>
                <c:pt idx="589">
                  <c:v>-51.578942233186467</c:v>
                </c:pt>
                <c:pt idx="590">
                  <c:v>-42.753159049807138</c:v>
                </c:pt>
                <c:pt idx="591">
                  <c:v>-40.883904975681858</c:v>
                </c:pt>
                <c:pt idx="592">
                  <c:v>-41.047730700058523</c:v>
                </c:pt>
                <c:pt idx="593">
                  <c:v>-42.215738511699293</c:v>
                </c:pt>
                <c:pt idx="594">
                  <c:v>-44.276817319635128</c:v>
                </c:pt>
                <c:pt idx="595">
                  <c:v>-48.347491672689983</c:v>
                </c:pt>
                <c:pt idx="596">
                  <c:v>-66.666405442907347</c:v>
                </c:pt>
                <c:pt idx="597">
                  <c:v>-52.384215368918831</c:v>
                </c:pt>
                <c:pt idx="598">
                  <c:v>-50.226716961221797</c:v>
                </c:pt>
                <c:pt idx="599">
                  <c:v>-51.596825192158647</c:v>
                </c:pt>
                <c:pt idx="600">
                  <c:v>-57.836377946798017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-10.258398092910317</c:v>
                </c:pt>
                <c:pt idx="1">
                  <c:v>-63.267771292963197</c:v>
                </c:pt>
                <c:pt idx="2">
                  <c:v>-65.331484415030545</c:v>
                </c:pt>
                <c:pt idx="3">
                  <c:v>-67.275291433744371</c:v>
                </c:pt>
                <c:pt idx="4">
                  <c:v>-69.096712639003414</c:v>
                </c:pt>
                <c:pt idx="5">
                  <c:v>-70.799472979606747</c:v>
                </c:pt>
                <c:pt idx="6">
                  <c:v>-72.383499704114655</c:v>
                </c:pt>
                <c:pt idx="7">
                  <c:v>-73.853636758246552</c:v>
                </c:pt>
                <c:pt idx="8">
                  <c:v>-75.213591105475558</c:v>
                </c:pt>
                <c:pt idx="9">
                  <c:v>-76.469835728543487</c:v>
                </c:pt>
                <c:pt idx="10">
                  <c:v>-77.627476574966337</c:v>
                </c:pt>
                <c:pt idx="11">
                  <c:v>-78.692780639665813</c:v>
                </c:pt>
                <c:pt idx="12">
                  <c:v>-79.672371297323423</c:v>
                </c:pt>
                <c:pt idx="13">
                  <c:v>-80.571349373975508</c:v>
                </c:pt>
                <c:pt idx="14">
                  <c:v>-81.396331305368065</c:v>
                </c:pt>
                <c:pt idx="15">
                  <c:v>-82.152623014469143</c:v>
                </c:pt>
                <c:pt idx="16">
                  <c:v>-82.845672741190668</c:v>
                </c:pt>
                <c:pt idx="17">
                  <c:v>-83.480478532754219</c:v>
                </c:pt>
                <c:pt idx="18">
                  <c:v>-84.062001563085644</c:v>
                </c:pt>
                <c:pt idx="19">
                  <c:v>-84.594550993518055</c:v>
                </c:pt>
                <c:pt idx="20">
                  <c:v>-85.082399540144408</c:v>
                </c:pt>
                <c:pt idx="21">
                  <c:v>-85.529318357288986</c:v>
                </c:pt>
                <c:pt idx="22">
                  <c:v>-85.938990817974272</c:v>
                </c:pt>
                <c:pt idx="23">
                  <c:v>-86.314637195169766</c:v>
                </c:pt>
                <c:pt idx="24">
                  <c:v>-86.659423658591635</c:v>
                </c:pt>
                <c:pt idx="25">
                  <c:v>-86.976128742312198</c:v>
                </c:pt>
                <c:pt idx="26">
                  <c:v>-87.267439501867244</c:v>
                </c:pt>
                <c:pt idx="27">
                  <c:v>-87.535680491115556</c:v>
                </c:pt>
                <c:pt idx="28">
                  <c:v>-87.783105856736427</c:v>
                </c:pt>
                <c:pt idx="29">
                  <c:v>-88.011653134287286</c:v>
                </c:pt>
                <c:pt idx="30">
                  <c:v>-88.223618261337094</c:v>
                </c:pt>
                <c:pt idx="31">
                  <c:v>-88.420470415233424</c:v>
                </c:pt>
                <c:pt idx="32">
                  <c:v>-88.604003544923586</c:v>
                </c:pt>
                <c:pt idx="33">
                  <c:v>-88.77563593062446</c:v>
                </c:pt>
                <c:pt idx="34">
                  <c:v>-88.936949802062372</c:v>
                </c:pt>
                <c:pt idx="35">
                  <c:v>-89.089213693586913</c:v>
                </c:pt>
                <c:pt idx="36">
                  <c:v>-89.233740023439793</c:v>
                </c:pt>
                <c:pt idx="37">
                  <c:v>-89.371822689578835</c:v>
                </c:pt>
                <c:pt idx="38">
                  <c:v>-89.504494901562339</c:v>
                </c:pt>
                <c:pt idx="39">
                  <c:v>-89.632983645064854</c:v>
                </c:pt>
                <c:pt idx="40">
                  <c:v>-89.7583202044339</c:v>
                </c:pt>
                <c:pt idx="41">
                  <c:v>-89.881568431446979</c:v>
                </c:pt>
                <c:pt idx="42">
                  <c:v>-90.003743692279485</c:v>
                </c:pt>
                <c:pt idx="43">
                  <c:v>-90.125901204295047</c:v>
                </c:pt>
                <c:pt idx="44">
                  <c:v>-90.24902224200234</c:v>
                </c:pt>
                <c:pt idx="45">
                  <c:v>-90.374146894230677</c:v>
                </c:pt>
                <c:pt idx="46">
                  <c:v>-90.502272685078907</c:v>
                </c:pt>
                <c:pt idx="47">
                  <c:v>-90.634463635159776</c:v>
                </c:pt>
                <c:pt idx="48">
                  <c:v>-90.771741675813928</c:v>
                </c:pt>
                <c:pt idx="49">
                  <c:v>-90.915218894811503</c:v>
                </c:pt>
                <c:pt idx="50">
                  <c:v>-91.065976112434356</c:v>
                </c:pt>
                <c:pt idx="51">
                  <c:v>-91.225178801963565</c:v>
                </c:pt>
                <c:pt idx="52">
                  <c:v>-91.393930295850865</c:v>
                </c:pt>
                <c:pt idx="53">
                  <c:v>-91.573407269072078</c:v>
                </c:pt>
                <c:pt idx="54">
                  <c:v>-91.764668911454407</c:v>
                </c:pt>
                <c:pt idx="55">
                  <c:v>-91.969227178747843</c:v>
                </c:pt>
                <c:pt idx="56">
                  <c:v>-92.187970027334472</c:v>
                </c:pt>
                <c:pt idx="57">
                  <c:v>-92.422157560603324</c:v>
                </c:pt>
                <c:pt idx="58">
                  <c:v>-92.672647459981334</c:v>
                </c:pt>
                <c:pt idx="59">
                  <c:v>-92.940524812459969</c:v>
                </c:pt>
                <c:pt idx="60">
                  <c:v>-93.22633932921741</c:v>
                </c:pt>
                <c:pt idx="61">
                  <c:v>-93.530550252524819</c:v>
                </c:pt>
                <c:pt idx="62">
                  <c:v>-93.85338827200178</c:v>
                </c:pt>
                <c:pt idx="63">
                  <c:v>-94.194124307516276</c:v>
                </c:pt>
                <c:pt idx="64">
                  <c:v>-94.552007247198247</c:v>
                </c:pt>
                <c:pt idx="65">
                  <c:v>-94.925157289719508</c:v>
                </c:pt>
                <c:pt idx="66">
                  <c:v>-95.310996965685533</c:v>
                </c:pt>
                <c:pt idx="67">
                  <c:v>-95.705896141394888</c:v>
                </c:pt>
                <c:pt idx="68">
                  <c:v>-96.10535724021112</c:v>
                </c:pt>
                <c:pt idx="69">
                  <c:v>-96.503615088473751</c:v>
                </c:pt>
                <c:pt idx="70">
                  <c:v>-96.894128697523385</c:v>
                </c:pt>
                <c:pt idx="71">
                  <c:v>-97.269439356474365</c:v>
                </c:pt>
                <c:pt idx="72">
                  <c:v>-97.621820536652663</c:v>
                </c:pt>
                <c:pt idx="73">
                  <c:v>-97.943417345030596</c:v>
                </c:pt>
                <c:pt idx="74">
                  <c:v>-98.227144422046507</c:v>
                </c:pt>
                <c:pt idx="75">
                  <c:v>-98.467000815368635</c:v>
                </c:pt>
                <c:pt idx="76">
                  <c:v>-98.658880612700756</c:v>
                </c:pt>
                <c:pt idx="77">
                  <c:v>-98.800844910971165</c:v>
                </c:pt>
                <c:pt idx="78">
                  <c:v>-98.89360778356864</c:v>
                </c:pt>
                <c:pt idx="79">
                  <c:v>-98.940474353940317</c:v>
                </c:pt>
                <c:pt idx="80">
                  <c:v>-98.94723674440452</c:v>
                </c:pt>
                <c:pt idx="81">
                  <c:v>-98.921605662719642</c:v>
                </c:pt>
                <c:pt idx="82">
                  <c:v>-98.872814516742892</c:v>
                </c:pt>
                <c:pt idx="83">
                  <c:v>-98.811032055750616</c:v>
                </c:pt>
                <c:pt idx="84">
                  <c:v>-98.746666943117873</c:v>
                </c:pt>
                <c:pt idx="85">
                  <c:v>-98.690048932363041</c:v>
                </c:pt>
                <c:pt idx="86">
                  <c:v>-98.650944820318315</c:v>
                </c:pt>
                <c:pt idx="87">
                  <c:v>-98.638395524738343</c:v>
                </c:pt>
                <c:pt idx="88">
                  <c:v>-98.660628991914805</c:v>
                </c:pt>
                <c:pt idx="89">
                  <c:v>-98.725049784992038</c:v>
                </c:pt>
                <c:pt idx="90">
                  <c:v>-98.838302496018485</c:v>
                </c:pt>
                <c:pt idx="91">
                  <c:v>-99.006434918121982</c:v>
                </c:pt>
                <c:pt idx="92">
                  <c:v>-99.23499972154444</c:v>
                </c:pt>
                <c:pt idx="93">
                  <c:v>-99.529363712575076</c:v>
                </c:pt>
                <c:pt idx="94">
                  <c:v>-99.613801836865747</c:v>
                </c:pt>
                <c:pt idx="95">
                  <c:v>-99.657982577501585</c:v>
                </c:pt>
                <c:pt idx="96">
                  <c:v>-99.702789644513331</c:v>
                </c:pt>
                <c:pt idx="97">
                  <c:v>-99.749265789201885</c:v>
                </c:pt>
                <c:pt idx="98">
                  <c:v>-99.796361907446638</c:v>
                </c:pt>
                <c:pt idx="99">
                  <c:v>-99.845185854051564</c:v>
                </c:pt>
                <c:pt idx="100">
                  <c:v>-99.89462337862625</c:v>
                </c:pt>
                <c:pt idx="101">
                  <c:v>-99.945809947642857</c:v>
                </c:pt>
                <c:pt idx="102">
                  <c:v>-99.997602741563583</c:v>
                </c:pt>
                <c:pt idx="103">
                  <c:v>-100.05124256267375</c:v>
                </c:pt>
                <c:pt idx="104">
                  <c:v>-100.10548211803757</c:v>
                </c:pt>
                <c:pt idx="105">
                  <c:v>-100.16158970523567</c:v>
                </c:pt>
                <c:pt idx="106">
                  <c:v>-100.21828959902919</c:v>
                </c:pt>
                <c:pt idx="107">
                  <c:v>-100.27687666530871</c:v>
                </c:pt>
                <c:pt idx="108">
                  <c:v>-100.33604777055746</c:v>
                </c:pt>
                <c:pt idx="109">
                  <c:v>-100.39716522910751</c:v>
                </c:pt>
                <c:pt idx="110">
                  <c:v>-100.45885848485058</c:v>
                </c:pt>
                <c:pt idx="111">
                  <c:v>-100.52260048724598</c:v>
                </c:pt>
                <c:pt idx="112">
                  <c:v>-100.58691079579619</c:v>
                </c:pt>
                <c:pt idx="113">
                  <c:v>-100.65328839725021</c:v>
                </c:pt>
                <c:pt idx="114">
                  <c:v>-100.72022600950335</c:v>
                </c:pt>
                <c:pt idx="115">
                  <c:v>-100.78929175234641</c:v>
                </c:pt>
                <c:pt idx="116">
                  <c:v>-100.85890918746425</c:v>
                </c:pt>
                <c:pt idx="117">
                  <c:v>-100.93071601039767</c:v>
                </c:pt>
                <c:pt idx="118">
                  <c:v>-101.00306617108862</c:v>
                </c:pt>
                <c:pt idx="119">
                  <c:v>-101.07762195499832</c:v>
                </c:pt>
                <c:pt idx="120">
                  <c:v>-101.15271203709402</c:v>
                </c:pt>
                <c:pt idx="121">
                  <c:v>-101.2300683825828</c:v>
                </c:pt>
                <c:pt idx="122">
                  <c:v>-101.30794999995568</c:v>
                </c:pt>
                <c:pt idx="123">
                  <c:v>-101.3882054599397</c:v>
                </c:pt>
                <c:pt idx="124">
                  <c:v>-101.4689777562546</c:v>
                </c:pt>
                <c:pt idx="125">
                  <c:v>-101.55213907244669</c:v>
                </c:pt>
                <c:pt idx="126">
                  <c:v>-101.63580815063895</c:v>
                </c:pt>
                <c:pt idx="127">
                  <c:v>-101.72192764782213</c:v>
                </c:pt>
                <c:pt idx="128">
                  <c:v>-101.80854581835254</c:v>
                </c:pt>
                <c:pt idx="129">
                  <c:v>-101.8976759689773</c:v>
                </c:pt>
                <c:pt idx="130">
                  <c:v>-101.98729568306823</c:v>
                </c:pt>
                <c:pt idx="131">
                  <c:v>-102.0794890555605</c:v>
                </c:pt>
                <c:pt idx="132">
                  <c:v>-102.1257668728433</c:v>
                </c:pt>
                <c:pt idx="133">
                  <c:v>-102.17216285477831</c:v>
                </c:pt>
                <c:pt idx="134">
                  <c:v>-102.21978218710233</c:v>
                </c:pt>
                <c:pt idx="135">
                  <c:v>-102.26752139397281</c:v>
                </c:pt>
                <c:pt idx="136">
                  <c:v>-102.3153785253232</c:v>
                </c:pt>
                <c:pt idx="137">
                  <c:v>-102.3633516705942</c:v>
                </c:pt>
                <c:pt idx="138">
                  <c:v>-102.41253203350951</c:v>
                </c:pt>
                <c:pt idx="139">
                  <c:v>-102.46182981842796</c:v>
                </c:pt>
                <c:pt idx="140">
                  <c:v>-102.51124310365365</c:v>
                </c:pt>
                <c:pt idx="141">
                  <c:v>-102.56077000659306</c:v>
                </c:pt>
                <c:pt idx="142">
                  <c:v>-102.61158712742056</c:v>
                </c:pt>
                <c:pt idx="143">
                  <c:v>-102.66251944711408</c:v>
                </c:pt>
                <c:pt idx="144">
                  <c:v>-102.71356506704672</c:v>
                </c:pt>
                <c:pt idx="145">
                  <c:v>-102.76472212741525</c:v>
                </c:pt>
                <c:pt idx="146">
                  <c:v>-102.8171776384672</c:v>
                </c:pt>
                <c:pt idx="147">
                  <c:v>-102.86974599388195</c:v>
                </c:pt>
                <c:pt idx="148">
                  <c:v>-102.92242532156446</c:v>
                </c:pt>
                <c:pt idx="149">
                  <c:v>-102.97521378785842</c:v>
                </c:pt>
                <c:pt idx="150">
                  <c:v>-103.02933387659843</c:v>
                </c:pt>
                <c:pt idx="151">
                  <c:v>-103.08356444500555</c:v>
                </c:pt>
                <c:pt idx="152">
                  <c:v>-103.13790364798659</c:v>
                </c:pt>
                <c:pt idx="153">
                  <c:v>-103.19234967847339</c:v>
                </c:pt>
                <c:pt idx="154">
                  <c:v>-103.24818617728602</c:v>
                </c:pt>
                <c:pt idx="155">
                  <c:v>-103.30413087939692</c:v>
                </c:pt>
                <c:pt idx="156">
                  <c:v>-103.36018196466438</c:v>
                </c:pt>
                <c:pt idx="157">
                  <c:v>-103.4163376505975</c:v>
                </c:pt>
                <c:pt idx="158">
                  <c:v>-103.47391718480544</c:v>
                </c:pt>
                <c:pt idx="159">
                  <c:v>-103.53160262361403</c:v>
                </c:pt>
                <c:pt idx="160">
                  <c:v>-103.58939217247416</c:v>
                </c:pt>
                <c:pt idx="161">
                  <c:v>-103.64728407408533</c:v>
                </c:pt>
                <c:pt idx="162">
                  <c:v>-103.70660704085267</c:v>
                </c:pt>
                <c:pt idx="163">
                  <c:v>-103.76603350181897</c:v>
                </c:pt>
                <c:pt idx="164">
                  <c:v>-103.82556169091666</c:v>
                </c:pt>
                <c:pt idx="165">
                  <c:v>-103.8851898788312</c:v>
                </c:pt>
                <c:pt idx="166">
                  <c:v>-103.94633461316745</c:v>
                </c:pt>
                <c:pt idx="167">
                  <c:v>-104.00758059399044</c:v>
                </c:pt>
                <c:pt idx="168">
                  <c:v>-104.06892607956577</c:v>
                </c:pt>
                <c:pt idx="169">
                  <c:v>-104.13036936451782</c:v>
                </c:pt>
                <c:pt idx="170">
                  <c:v>-104.19323040860581</c:v>
                </c:pt>
                <c:pt idx="171">
                  <c:v>-104.25619000960889</c:v>
                </c:pt>
                <c:pt idx="172">
                  <c:v>-104.31924646148489</c:v>
                </c:pt>
                <c:pt idx="173">
                  <c:v>-104.38239809382453</c:v>
                </c:pt>
                <c:pt idx="174">
                  <c:v>-104.44723888197503</c:v>
                </c:pt>
                <c:pt idx="175">
                  <c:v>-104.51217626536985</c:v>
                </c:pt>
                <c:pt idx="176">
                  <c:v>-104.57720855471678</c:v>
                </c:pt>
                <c:pt idx="177">
                  <c:v>-104.64233409614552</c:v>
                </c:pt>
                <c:pt idx="178">
                  <c:v>-104.7091561120745</c:v>
                </c:pt>
                <c:pt idx="179">
                  <c:v>-104.77607261757771</c:v>
                </c:pt>
                <c:pt idx="180">
                  <c:v>-104.84308194349286</c:v>
                </c:pt>
                <c:pt idx="181">
                  <c:v>-104.91018245576269</c:v>
                </c:pt>
                <c:pt idx="182">
                  <c:v>-104.97871725945792</c:v>
                </c:pt>
                <c:pt idx="183">
                  <c:v>-105.04734360692623</c:v>
                </c:pt>
                <c:pt idx="184">
                  <c:v>-105.11605987113282</c:v>
                </c:pt>
                <c:pt idx="185">
                  <c:v>-105.18486445920463</c:v>
                </c:pt>
                <c:pt idx="186">
                  <c:v>-105.25564815564027</c:v>
                </c:pt>
                <c:pt idx="187">
                  <c:v>-105.32652178940813</c:v>
                </c:pt>
                <c:pt idx="188">
                  <c:v>-105.39748373965648</c:v>
                </c:pt>
                <c:pt idx="189">
                  <c:v>-105.46853241974286</c:v>
                </c:pt>
                <c:pt idx="190">
                  <c:v>-105.54102461093694</c:v>
                </c:pt>
                <c:pt idx="191">
                  <c:v>-105.61360365143969</c:v>
                </c:pt>
                <c:pt idx="192">
                  <c:v>-105.68626796596301</c:v>
                </c:pt>
                <c:pt idx="193">
                  <c:v>-105.75901601236218</c:v>
                </c:pt>
                <c:pt idx="194">
                  <c:v>-105.83375678111838</c:v>
                </c:pt>
                <c:pt idx="195">
                  <c:v>-105.90858254241915</c:v>
                </c:pt>
                <c:pt idx="196">
                  <c:v>-105.98349173279722</c:v>
                </c:pt>
                <c:pt idx="197">
                  <c:v>-106.05848282179318</c:v>
                </c:pt>
                <c:pt idx="198">
                  <c:v>-106.13519910075814</c:v>
                </c:pt>
                <c:pt idx="199">
                  <c:v>-106.21199777468013</c:v>
                </c:pt>
                <c:pt idx="200">
                  <c:v>-106.28887731156921</c:v>
                </c:pt>
                <c:pt idx="201">
                  <c:v>-106.36583621174671</c:v>
                </c:pt>
                <c:pt idx="202">
                  <c:v>-106.44452463727472</c:v>
                </c:pt>
                <c:pt idx="203">
                  <c:v>-106.52329280043023</c:v>
                </c:pt>
                <c:pt idx="204">
                  <c:v>-106.60213920196924</c:v>
                </c:pt>
                <c:pt idx="205">
                  <c:v>-106.68106237421391</c:v>
                </c:pt>
                <c:pt idx="206">
                  <c:v>-106.76199534259629</c:v>
                </c:pt>
                <c:pt idx="207">
                  <c:v>-106.84300586513803</c:v>
                </c:pt>
                <c:pt idx="208">
                  <c:v>-106.92409246138119</c:v>
                </c:pt>
                <c:pt idx="209">
                  <c:v>-107.00525368206705</c:v>
                </c:pt>
                <c:pt idx="210">
                  <c:v>-107.08870712656137</c:v>
                </c:pt>
                <c:pt idx="211">
                  <c:v>-107.1722363230527</c:v>
                </c:pt>
                <c:pt idx="212">
                  <c:v>-107.25583979772387</c:v>
                </c:pt>
                <c:pt idx="213">
                  <c:v>-107.33951610792109</c:v>
                </c:pt>
                <c:pt idx="214">
                  <c:v>-107.42493394788418</c:v>
                </c:pt>
                <c:pt idx="215">
                  <c:v>-107.51042462009819</c:v>
                </c:pt>
                <c:pt idx="216">
                  <c:v>-107.59598668876902</c:v>
                </c:pt>
                <c:pt idx="217">
                  <c:v>-107.6816187483368</c:v>
                </c:pt>
                <c:pt idx="218">
                  <c:v>-107.76927429913863</c:v>
                </c:pt>
                <c:pt idx="219">
                  <c:v>-107.85700018803965</c:v>
                </c:pt>
                <c:pt idx="220">
                  <c:v>-107.94479500406759</c:v>
                </c:pt>
                <c:pt idx="221">
                  <c:v>-108.03265736591199</c:v>
                </c:pt>
                <c:pt idx="222">
                  <c:v>-108.12254685589372</c:v>
                </c:pt>
                <c:pt idx="223">
                  <c:v>-108.21250410895556</c:v>
                </c:pt>
                <c:pt idx="224">
                  <c:v>-108.30252774035095</c:v>
                </c:pt>
                <c:pt idx="225">
                  <c:v>-108.39261639437208</c:v>
                </c:pt>
                <c:pt idx="226">
                  <c:v>-108.48501633331328</c:v>
                </c:pt>
                <c:pt idx="227">
                  <c:v>-108.57748178272118</c:v>
                </c:pt>
                <c:pt idx="228">
                  <c:v>-108.67001137288446</c:v>
                </c:pt>
                <c:pt idx="229">
                  <c:v>-108.76260376280659</c:v>
                </c:pt>
                <c:pt idx="230">
                  <c:v>-108.95248212119748</c:v>
                </c:pt>
                <c:pt idx="231">
                  <c:v>-109.04751464555945</c:v>
                </c:pt>
                <c:pt idx="232">
                  <c:v>-109.1426076250022</c:v>
                </c:pt>
                <c:pt idx="233">
                  <c:v>-109.24001927573065</c:v>
                </c:pt>
                <c:pt idx="234">
                  <c:v>-109.33749156496424</c:v>
                </c:pt>
                <c:pt idx="235">
                  <c:v>-109.43502315924896</c:v>
                </c:pt>
                <c:pt idx="236">
                  <c:v>-109.53261275298934</c:v>
                </c:pt>
                <c:pt idx="237">
                  <c:v>-109.63224087560064</c:v>
                </c:pt>
                <c:pt idx="238">
                  <c:v>-109.7319267147243</c:v>
                </c:pt>
                <c:pt idx="239">
                  <c:v>-109.83166896853939</c:v>
                </c:pt>
                <c:pt idx="240">
                  <c:v>-109.93146636226449</c:v>
                </c:pt>
                <c:pt idx="241">
                  <c:v>-110.0338713589266</c:v>
                </c:pt>
                <c:pt idx="242">
                  <c:v>-110.13633171942895</c:v>
                </c:pt>
                <c:pt idx="243">
                  <c:v>-110.23884615255838</c:v>
                </c:pt>
                <c:pt idx="244">
                  <c:v>-110.34141339388954</c:v>
                </c:pt>
                <c:pt idx="245">
                  <c:v>-110.44630688090123</c:v>
                </c:pt>
                <c:pt idx="246">
                  <c:v>-110.55125295365407</c:v>
                </c:pt>
                <c:pt idx="247">
                  <c:v>-110.65625034390405</c:v>
                </c:pt>
                <c:pt idx="248">
                  <c:v>-110.76129780958969</c:v>
                </c:pt>
                <c:pt idx="249">
                  <c:v>-110.86895805938552</c:v>
                </c:pt>
                <c:pt idx="250">
                  <c:v>-110.97666829971885</c:v>
                </c:pt>
                <c:pt idx="251">
                  <c:v>-111.08442727629073</c:v>
                </c:pt>
                <c:pt idx="252">
                  <c:v>-111.19223376061561</c:v>
                </c:pt>
                <c:pt idx="253">
                  <c:v>-111.30236963976084</c:v>
                </c:pt>
                <c:pt idx="254">
                  <c:v>-111.41255254896733</c:v>
                </c:pt>
                <c:pt idx="255">
                  <c:v>-111.52278125894908</c:v>
                </c:pt>
                <c:pt idx="256">
                  <c:v>-111.63305456555072</c:v>
                </c:pt>
                <c:pt idx="257">
                  <c:v>-111.74622980180975</c:v>
                </c:pt>
                <c:pt idx="258">
                  <c:v>-111.85944948602845</c:v>
                </c:pt>
                <c:pt idx="259">
                  <c:v>-111.97271239604706</c:v>
                </c:pt>
                <c:pt idx="260">
                  <c:v>-112.08601733462807</c:v>
                </c:pt>
                <c:pt idx="261">
                  <c:v>-112.20193963532034</c:v>
                </c:pt>
                <c:pt idx="262">
                  <c:v>-112.31790344055344</c:v>
                </c:pt>
                <c:pt idx="263">
                  <c:v>-112.43390754612581</c:v>
                </c:pt>
                <c:pt idx="264">
                  <c:v>-112.54995077224116</c:v>
                </c:pt>
                <c:pt idx="265">
                  <c:v>-112.66861196734285</c:v>
                </c:pt>
                <c:pt idx="266">
                  <c:v>-112.78731162316924</c:v>
                </c:pt>
                <c:pt idx="267">
                  <c:v>-112.90604855433504</c:v>
                </c:pt>
                <c:pt idx="268">
                  <c:v>-113.02482159931074</c:v>
                </c:pt>
                <c:pt idx="269">
                  <c:v>-113.14649980197683</c:v>
                </c:pt>
                <c:pt idx="270">
                  <c:v>-113.26821349199039</c:v>
                </c:pt>
                <c:pt idx="271">
                  <c:v>-113.38996149522951</c:v>
                </c:pt>
                <c:pt idx="272">
                  <c:v>-113.5117426610679</c:v>
                </c:pt>
                <c:pt idx="273">
                  <c:v>-113.63642919221559</c:v>
                </c:pt>
                <c:pt idx="274">
                  <c:v>-113.76114810184177</c:v>
                </c:pt>
                <c:pt idx="275">
                  <c:v>-113.88589822834605</c:v>
                </c:pt>
                <c:pt idx="276">
                  <c:v>-114.01067843321792</c:v>
                </c:pt>
                <c:pt idx="277">
                  <c:v>-114.13807610763486</c:v>
                </c:pt>
                <c:pt idx="278">
                  <c:v>-114.26550279465299</c:v>
                </c:pt>
                <c:pt idx="279">
                  <c:v>-114.39295735389213</c:v>
                </c:pt>
                <c:pt idx="280">
                  <c:v>-114.52043866741577</c:v>
                </c:pt>
                <c:pt idx="281">
                  <c:v>-114.65139989935555</c:v>
                </c:pt>
                <c:pt idx="282">
                  <c:v>-114.78238703418378</c:v>
                </c:pt>
                <c:pt idx="283">
                  <c:v>-114.91339893060979</c:v>
                </c:pt>
                <c:pt idx="284">
                  <c:v>-115.04443446970926</c:v>
                </c:pt>
                <c:pt idx="285">
                  <c:v>-115.1780851320803</c:v>
                </c:pt>
                <c:pt idx="286">
                  <c:v>-115.31175809986084</c:v>
                </c:pt>
                <c:pt idx="287">
                  <c:v>-115.44545225441861</c:v>
                </c:pt>
                <c:pt idx="288">
                  <c:v>-115.57916649878401</c:v>
                </c:pt>
                <c:pt idx="289">
                  <c:v>-115.71635861854429</c:v>
                </c:pt>
                <c:pt idx="290">
                  <c:v>-115.85356960939015</c:v>
                </c:pt>
                <c:pt idx="291">
                  <c:v>-115.99079835429548</c:v>
                </c:pt>
                <c:pt idx="292">
                  <c:v>-116.12804375772846</c:v>
                </c:pt>
                <c:pt idx="293">
                  <c:v>-116.26847691845826</c:v>
                </c:pt>
                <c:pt idx="294">
                  <c:v>-116.40892526294756</c:v>
                </c:pt>
                <c:pt idx="295">
                  <c:v>-116.54938768406669</c:v>
                </c:pt>
                <c:pt idx="296">
                  <c:v>-116.68986309578577</c:v>
                </c:pt>
                <c:pt idx="297">
                  <c:v>-116.83352378741399</c:v>
                </c:pt>
                <c:pt idx="298">
                  <c:v>-116.97719583127274</c:v>
                </c:pt>
                <c:pt idx="299">
                  <c:v>-117.12087813087075</c:v>
                </c:pt>
                <c:pt idx="300">
                  <c:v>-117.26456961039422</c:v>
                </c:pt>
                <c:pt idx="301">
                  <c:v>-117.41144338557162</c:v>
                </c:pt>
                <c:pt idx="302">
                  <c:v>-117.55832454185443</c:v>
                </c:pt>
                <c:pt idx="303">
                  <c:v>-117.70521199396701</c:v>
                </c:pt>
                <c:pt idx="304">
                  <c:v>-117.85210467686679</c:v>
                </c:pt>
                <c:pt idx="305">
                  <c:v>-118.00275337732353</c:v>
                </c:pt>
                <c:pt idx="306">
                  <c:v>-118.15340537325092</c:v>
                </c:pt>
                <c:pt idx="307">
                  <c:v>-118.30405957870119</c:v>
                </c:pt>
                <c:pt idx="308">
                  <c:v>-118.4547149278002</c:v>
                </c:pt>
                <c:pt idx="309">
                  <c:v>-118.60854509941008</c:v>
                </c:pt>
                <c:pt idx="310">
                  <c:v>-118.76237427911668</c:v>
                </c:pt>
                <c:pt idx="311">
                  <c:v>-118.91620139360758</c:v>
                </c:pt>
                <c:pt idx="312">
                  <c:v>-119.07002538915063</c:v>
                </c:pt>
                <c:pt idx="313">
                  <c:v>-119.22759687404479</c:v>
                </c:pt>
                <c:pt idx="314">
                  <c:v>-119.38516290826284</c:v>
                </c:pt>
                <c:pt idx="315">
                  <c:v>-119.54272241964269</c:v>
                </c:pt>
                <c:pt idx="316">
                  <c:v>-119.70027435538266</c:v>
                </c:pt>
                <c:pt idx="317">
                  <c:v>-119.86156859978306</c:v>
                </c:pt>
                <c:pt idx="318">
                  <c:v>-120.02285273015339</c:v>
                </c:pt>
                <c:pt idx="319">
                  <c:v>-120.18412567646885</c:v>
                </c:pt>
                <c:pt idx="320">
                  <c:v>-120.34538638781287</c:v>
                </c:pt>
                <c:pt idx="321">
                  <c:v>-120.51038360640447</c:v>
                </c:pt>
                <c:pt idx="322">
                  <c:v>-120.67536584714765</c:v>
                </c:pt>
                <c:pt idx="323">
                  <c:v>-120.84033204299905</c:v>
                </c:pt>
                <c:pt idx="324">
                  <c:v>-121.00528114574743</c:v>
                </c:pt>
                <c:pt idx="325">
                  <c:v>-121.17396033829311</c:v>
                </c:pt>
                <c:pt idx="326">
                  <c:v>-121.34261949242917</c:v>
                </c:pt>
                <c:pt idx="327">
                  <c:v>-121.51125754481282</c:v>
                </c:pt>
                <c:pt idx="328">
                  <c:v>-121.67987345063655</c:v>
                </c:pt>
                <c:pt idx="329">
                  <c:v>-121.85250058872079</c:v>
                </c:pt>
                <c:pt idx="330">
                  <c:v>-122.02510234800553</c:v>
                </c:pt>
                <c:pt idx="331">
                  <c:v>-122.19767766418255</c:v>
                </c:pt>
                <c:pt idx="332">
                  <c:v>-122.37022549128871</c:v>
                </c:pt>
                <c:pt idx="333">
                  <c:v>-122.54648863613087</c:v>
                </c:pt>
                <c:pt idx="334">
                  <c:v>-122.72272093492407</c:v>
                </c:pt>
                <c:pt idx="335">
                  <c:v>-122.8989213284412</c:v>
                </c:pt>
                <c:pt idx="336">
                  <c:v>-123.07508877547249</c:v>
                </c:pt>
                <c:pt idx="337">
                  <c:v>-123.25553881428222</c:v>
                </c:pt>
                <c:pt idx="338">
                  <c:v>-123.4359521152651</c:v>
                </c:pt>
                <c:pt idx="339">
                  <c:v>-123.61632761464193</c:v>
                </c:pt>
                <c:pt idx="340">
                  <c:v>-123.79666426654079</c:v>
                </c:pt>
                <c:pt idx="341">
                  <c:v>-123.98127386576142</c:v>
                </c:pt>
                <c:pt idx="342">
                  <c:v>-124.16584057288455</c:v>
                </c:pt>
                <c:pt idx="343">
                  <c:v>-124.35036332062765</c:v>
                </c:pt>
                <c:pt idx="344">
                  <c:v>-124.53484105948684</c:v>
                </c:pt>
                <c:pt idx="345">
                  <c:v>-124.72329411171712</c:v>
                </c:pt>
                <c:pt idx="346">
                  <c:v>-124.9116980100972</c:v>
                </c:pt>
                <c:pt idx="347">
                  <c:v>-125.10005168965051</c:v>
                </c:pt>
                <c:pt idx="348">
                  <c:v>-125.2883541029269</c:v>
                </c:pt>
                <c:pt idx="349">
                  <c:v>-125.48119502393325</c:v>
                </c:pt>
                <c:pt idx="350">
                  <c:v>-125.67397997675802</c:v>
                </c:pt>
                <c:pt idx="351">
                  <c:v>-125.8667078898594</c:v>
                </c:pt>
                <c:pt idx="352">
                  <c:v>-126.05937770917232</c:v>
                </c:pt>
                <c:pt idx="353">
                  <c:v>-126.25657363733782</c:v>
                </c:pt>
                <c:pt idx="354">
                  <c:v>-126.45370649070689</c:v>
                </c:pt>
                <c:pt idx="355">
                  <c:v>-126.65077519232838</c:v>
                </c:pt>
                <c:pt idx="356">
                  <c:v>-126.84777868266352</c:v>
                </c:pt>
                <c:pt idx="357">
                  <c:v>-127.04900886319703</c:v>
                </c:pt>
                <c:pt idx="358">
                  <c:v>-127.25016877515981</c:v>
                </c:pt>
                <c:pt idx="359">
                  <c:v>-127.45125734187259</c:v>
                </c:pt>
                <c:pt idx="360">
                  <c:v>-127.65227350389571</c:v>
                </c:pt>
                <c:pt idx="361">
                  <c:v>-127.85807451265207</c:v>
                </c:pt>
                <c:pt idx="362">
                  <c:v>-128.06379737681075</c:v>
                </c:pt>
                <c:pt idx="363">
                  <c:v>-128.26944101183281</c:v>
                </c:pt>
                <c:pt idx="364">
                  <c:v>-128.47500435043727</c:v>
                </c:pt>
                <c:pt idx="365">
                  <c:v>-128.68505167680232</c:v>
                </c:pt>
                <c:pt idx="366">
                  <c:v>-128.89501289658293</c:v>
                </c:pt>
                <c:pt idx="367">
                  <c:v>-129.10488692313058</c:v>
                </c:pt>
                <c:pt idx="368">
                  <c:v>-129.31467268697213</c:v>
                </c:pt>
                <c:pt idx="369">
                  <c:v>-129.52949645349614</c:v>
                </c:pt>
                <c:pt idx="370">
                  <c:v>-129.74422536862505</c:v>
                </c:pt>
                <c:pt idx="371">
                  <c:v>-129.95885833606329</c:v>
                </c:pt>
                <c:pt idx="372">
                  <c:v>-130.17339427679104</c:v>
                </c:pt>
                <c:pt idx="373">
                  <c:v>-130.39266579549678</c:v>
                </c:pt>
                <c:pt idx="374">
                  <c:v>-130.61183363472711</c:v>
                </c:pt>
                <c:pt idx="375">
                  <c:v>-130.83089669441063</c:v>
                </c:pt>
                <c:pt idx="376">
                  <c:v>-131.04985389175704</c:v>
                </c:pt>
                <c:pt idx="377">
                  <c:v>-131.27409599920003</c:v>
                </c:pt>
                <c:pt idx="378">
                  <c:v>-131.49822471479794</c:v>
                </c:pt>
                <c:pt idx="379">
                  <c:v>-131.7222389277679</c:v>
                </c:pt>
                <c:pt idx="380">
                  <c:v>-131.94613754479033</c:v>
                </c:pt>
                <c:pt idx="381">
                  <c:v>-132.17473376025475</c:v>
                </c:pt>
                <c:pt idx="382">
                  <c:v>-132.40320709906979</c:v>
                </c:pt>
                <c:pt idx="383">
                  <c:v>-132.63155644989828</c:v>
                </c:pt>
                <c:pt idx="384">
                  <c:v>-132.85978071887433</c:v>
                </c:pt>
                <c:pt idx="385">
                  <c:v>-133.09353020718143</c:v>
                </c:pt>
                <c:pt idx="386">
                  <c:v>-133.32714606570386</c:v>
                </c:pt>
                <c:pt idx="387">
                  <c:v>-133.56062717200143</c:v>
                </c:pt>
                <c:pt idx="388">
                  <c:v>-133.79397242137574</c:v>
                </c:pt>
                <c:pt idx="389">
                  <c:v>-134.03253697790231</c:v>
                </c:pt>
                <c:pt idx="390">
                  <c:v>-134.27095707996011</c:v>
                </c:pt>
                <c:pt idx="391">
                  <c:v>-134.50923160029998</c:v>
                </c:pt>
                <c:pt idx="392">
                  <c:v>-134.74735942960211</c:v>
                </c:pt>
                <c:pt idx="393">
                  <c:v>-134.99068247654483</c:v>
                </c:pt>
                <c:pt idx="394">
                  <c:v>-135.23384987991165</c:v>
                </c:pt>
                <c:pt idx="395">
                  <c:v>-135.47686050985124</c:v>
                </c:pt>
                <c:pt idx="396">
                  <c:v>-135.71971325463497</c:v>
                </c:pt>
                <c:pt idx="397">
                  <c:v>-135.96829702196817</c:v>
                </c:pt>
                <c:pt idx="398">
                  <c:v>-136.21671284075404</c:v>
                </c:pt>
                <c:pt idx="399">
                  <c:v>-136.4649595732356</c:v>
                </c:pt>
                <c:pt idx="400">
                  <c:v>-136.71303610014601</c:v>
                </c:pt>
                <c:pt idx="401">
                  <c:v>-136.96653538941032</c:v>
                </c:pt>
                <c:pt idx="402">
                  <c:v>-137.2198543927199</c:v>
                </c:pt>
                <c:pt idx="403">
                  <c:v>-137.47299197109103</c:v>
                </c:pt>
                <c:pt idx="404">
                  <c:v>-137.72594700432236</c:v>
                </c:pt>
                <c:pt idx="405">
                  <c:v>-137.98457514368678</c:v>
                </c:pt>
                <c:pt idx="406">
                  <c:v>-138.24300986361143</c:v>
                </c:pt>
                <c:pt idx="407">
                  <c:v>-138.50125002308212</c:v>
                </c:pt>
                <c:pt idx="408">
                  <c:v>-138.75929450025086</c:v>
                </c:pt>
                <c:pt idx="409">
                  <c:v>-139.02325915535866</c:v>
                </c:pt>
                <c:pt idx="410">
                  <c:v>-139.28701641065746</c:v>
                </c:pt>
                <c:pt idx="411">
                  <c:v>-139.55056512279683</c:v>
                </c:pt>
                <c:pt idx="412">
                  <c:v>-139.81390416806693</c:v>
                </c:pt>
                <c:pt idx="413">
                  <c:v>-140.08312985146986</c:v>
                </c:pt>
                <c:pt idx="414">
                  <c:v>-140.35213371565447</c:v>
                </c:pt>
                <c:pt idx="415">
                  <c:v>-140.62091461865344</c:v>
                </c:pt>
                <c:pt idx="416">
                  <c:v>-140.8894714386235</c:v>
                </c:pt>
                <c:pt idx="417">
                  <c:v>-141.16415628463753</c:v>
                </c:pt>
                <c:pt idx="418">
                  <c:v>-141.43860399033267</c:v>
                </c:pt>
                <c:pt idx="419">
                  <c:v>-141.71281341565054</c:v>
                </c:pt>
                <c:pt idx="420">
                  <c:v>-141.98678344123158</c:v>
                </c:pt>
                <c:pt idx="421">
                  <c:v>-142.26656863945269</c:v>
                </c:pt>
                <c:pt idx="422">
                  <c:v>-142.54610142344913</c:v>
                </c:pt>
                <c:pt idx="423">
                  <c:v>-142.82538066281194</c:v>
                </c:pt>
                <c:pt idx="424">
                  <c:v>-143.10440524833047</c:v>
                </c:pt>
                <c:pt idx="425">
                  <c:v>-143.39003032825298</c:v>
                </c:pt>
                <c:pt idx="426">
                  <c:v>-143.6753857772006</c:v>
                </c:pt>
                <c:pt idx="427">
                  <c:v>-143.96047046917317</c:v>
                </c:pt>
                <c:pt idx="428">
                  <c:v>-144.24528330012836</c:v>
                </c:pt>
                <c:pt idx="429">
                  <c:v>-144.53637995771658</c:v>
                </c:pt>
                <c:pt idx="430">
                  <c:v>-144.82718980564098</c:v>
                </c:pt>
                <c:pt idx="431">
                  <c:v>-145.11771173093129</c:v>
                </c:pt>
                <c:pt idx="432">
                  <c:v>-145.40794464325558</c:v>
                </c:pt>
                <c:pt idx="433">
                  <c:v>-145.70441804720292</c:v>
                </c:pt>
                <c:pt idx="434">
                  <c:v>-146.00058703074029</c:v>
                </c:pt>
                <c:pt idx="435">
                  <c:v>-146.29645049942241</c:v>
                </c:pt>
                <c:pt idx="436">
                  <c:v>-146.59200738212613</c:v>
                </c:pt>
                <c:pt idx="437">
                  <c:v>-146.8943019718343</c:v>
                </c:pt>
                <c:pt idx="438">
                  <c:v>-147.19627296214995</c:v>
                </c:pt>
                <c:pt idx="439">
                  <c:v>-147.49791927719272</c:v>
                </c:pt>
                <c:pt idx="440">
                  <c:v>-147.79923986526416</c:v>
                </c:pt>
                <c:pt idx="441">
                  <c:v>-148.10724848212172</c:v>
                </c:pt>
                <c:pt idx="442">
                  <c:v>-148.41491385179324</c:v>
                </c:pt>
                <c:pt idx="443">
                  <c:v>-148.72223492369153</c:v>
                </c:pt>
                <c:pt idx="444">
                  <c:v>-149.02921067226794</c:v>
                </c:pt>
                <c:pt idx="445">
                  <c:v>-149.34282322673744</c:v>
                </c:pt>
                <c:pt idx="446">
                  <c:v>-149.65607244937232</c:v>
                </c:pt>
                <c:pt idx="447">
                  <c:v>-149.96895732191126</c:v>
                </c:pt>
                <c:pt idx="448">
                  <c:v>-150.28147685198235</c:v>
                </c:pt>
                <c:pt idx="449">
                  <c:v>-150.60111510242371</c:v>
                </c:pt>
                <c:pt idx="450">
                  <c:v>-150.92036824419159</c:v>
                </c:pt>
                <c:pt idx="451">
                  <c:v>-151.23923529380582</c:v>
                </c:pt>
                <c:pt idx="452">
                  <c:v>-151.55771529469391</c:v>
                </c:pt>
                <c:pt idx="453">
                  <c:v>-151.88298984407453</c:v>
                </c:pt>
                <c:pt idx="454">
                  <c:v>-152.20785771842128</c:v>
                </c:pt>
                <c:pt idx="455">
                  <c:v>-152.53231797973035</c:v>
                </c:pt>
                <c:pt idx="456">
                  <c:v>-152.85636971781895</c:v>
                </c:pt>
                <c:pt idx="457">
                  <c:v>-153.18768761600529</c:v>
                </c:pt>
                <c:pt idx="458">
                  <c:v>-153.51857552833204</c:v>
                </c:pt>
                <c:pt idx="459">
                  <c:v>-153.84903256637625</c:v>
                </c:pt>
                <c:pt idx="460">
                  <c:v>-154.1790578706098</c:v>
                </c:pt>
                <c:pt idx="461">
                  <c:v>-154.51628591275679</c:v>
                </c:pt>
                <c:pt idx="462">
                  <c:v>-154.85306024302156</c:v>
                </c:pt>
                <c:pt idx="463">
                  <c:v>-155.18938003203331</c:v>
                </c:pt>
                <c:pt idx="464">
                  <c:v>-155.52524448035985</c:v>
                </c:pt>
                <c:pt idx="465">
                  <c:v>-155.86850847463498</c:v>
                </c:pt>
                <c:pt idx="466">
                  <c:v>-156.2112939339417</c:v>
                </c:pt>
                <c:pt idx="467">
                  <c:v>-156.5536000960046</c:v>
                </c:pt>
                <c:pt idx="468">
                  <c:v>-156.89542622958683</c:v>
                </c:pt>
                <c:pt idx="469">
                  <c:v>-157.2445830684407</c:v>
                </c:pt>
                <c:pt idx="470">
                  <c:v>-157.59323619082991</c:v>
                </c:pt>
                <c:pt idx="471">
                  <c:v>-157.94138491208494</c:v>
                </c:pt>
                <c:pt idx="472">
                  <c:v>-158.28902857962734</c:v>
                </c:pt>
                <c:pt idx="473">
                  <c:v>-158.64445024800619</c:v>
                </c:pt>
                <c:pt idx="474">
                  <c:v>-158.99934116921611</c:v>
                </c:pt>
                <c:pt idx="475">
                  <c:v>-159.35370074438688</c:v>
                </c:pt>
                <c:pt idx="476">
                  <c:v>-159.70752840792693</c:v>
                </c:pt>
                <c:pt idx="477">
                  <c:v>-160.06905739058899</c:v>
                </c:pt>
                <c:pt idx="478">
                  <c:v>-160.43002826632903</c:v>
                </c:pt>
                <c:pt idx="479">
                  <c:v>-160.79044053413764</c:v>
                </c:pt>
                <c:pt idx="480">
                  <c:v>-161.15029372740179</c:v>
                </c:pt>
                <c:pt idx="481">
                  <c:v>-161.51776991859606</c:v>
                </c:pt>
                <c:pt idx="482">
                  <c:v>-161.88466038052232</c:v>
                </c:pt>
                <c:pt idx="483">
                  <c:v>-162.25096472228498</c:v>
                </c:pt>
                <c:pt idx="484">
                  <c:v>-162.61668258842127</c:v>
                </c:pt>
                <c:pt idx="485">
                  <c:v>-162.99019765371207</c:v>
                </c:pt>
                <c:pt idx="486">
                  <c:v>-163.36309833734666</c:v>
                </c:pt>
                <c:pt idx="487">
                  <c:v>-163.73538437040406</c:v>
                </c:pt>
                <c:pt idx="488">
                  <c:v>-164.10705552043797</c:v>
                </c:pt>
                <c:pt idx="489">
                  <c:v>-164.48694476998708</c:v>
                </c:pt>
                <c:pt idx="490">
                  <c:v>-164.86618910897727</c:v>
                </c:pt>
                <c:pt idx="491">
                  <c:v>-165.24478840308174</c:v>
                </c:pt>
                <c:pt idx="492">
                  <c:v>-165.62274255558106</c:v>
                </c:pt>
                <c:pt idx="493">
                  <c:v>-166.00882428543247</c:v>
                </c:pt>
                <c:pt idx="494">
                  <c:v>-166.39423041086161</c:v>
                </c:pt>
                <c:pt idx="495">
                  <c:v>-166.77896094660719</c:v>
                </c:pt>
                <c:pt idx="496">
                  <c:v>-167.16301594602271</c:v>
                </c:pt>
                <c:pt idx="497">
                  <c:v>-167.55535535946257</c:v>
                </c:pt>
                <c:pt idx="498">
                  <c:v>-167.94698749708499</c:v>
                </c:pt>
                <c:pt idx="499">
                  <c:v>-168.33791253754208</c:v>
                </c:pt>
                <c:pt idx="500">
                  <c:v>-168.72813069907059</c:v>
                </c:pt>
                <c:pt idx="501">
                  <c:v>-169.12678417597223</c:v>
                </c:pt>
                <c:pt idx="502">
                  <c:v>-169.52469775844332</c:v>
                </c:pt>
                <c:pt idx="503">
                  <c:v>-169.92187180488003</c:v>
                </c:pt>
                <c:pt idx="504">
                  <c:v>-170.31830671417691</c:v>
                </c:pt>
                <c:pt idx="505">
                  <c:v>-170.72307661371048</c:v>
                </c:pt>
                <c:pt idx="506">
                  <c:v>-171.1270740271745</c:v>
                </c:pt>
                <c:pt idx="507">
                  <c:v>-171.53029950845982</c:v>
                </c:pt>
                <c:pt idx="508">
                  <c:v>-171.93275365269821</c:v>
                </c:pt>
                <c:pt idx="509">
                  <c:v>-172.34368451744621</c:v>
                </c:pt>
                <c:pt idx="510">
                  <c:v>-172.75380947475759</c:v>
                </c:pt>
                <c:pt idx="511">
                  <c:v>-173.16312929094673</c:v>
                </c:pt>
                <c:pt idx="512">
                  <c:v>-173.57164477422353</c:v>
                </c:pt>
                <c:pt idx="513">
                  <c:v>-173.98901417842546</c:v>
                </c:pt>
                <c:pt idx="514">
                  <c:v>-174.40554250002089</c:v>
                </c:pt>
                <c:pt idx="515">
                  <c:v>-174.82123073732211</c:v>
                </c:pt>
                <c:pt idx="516">
                  <c:v>-175.23607993118418</c:v>
                </c:pt>
                <c:pt idx="517">
                  <c:v>-175.65967038668401</c:v>
                </c:pt>
                <c:pt idx="518">
                  <c:v>-176.08238481878456</c:v>
                </c:pt>
                <c:pt idx="519">
                  <c:v>-176.50422447515396</c:v>
                </c:pt>
                <c:pt idx="520">
                  <c:v>-176.92519064642684</c:v>
                </c:pt>
                <c:pt idx="521">
                  <c:v>-177.35502183571342</c:v>
                </c:pt>
                <c:pt idx="522">
                  <c:v>-177.78394140212052</c:v>
                </c:pt>
                <c:pt idx="523">
                  <c:v>-178.21195086213726</c:v>
                </c:pt>
                <c:pt idx="524">
                  <c:v>-178.63905177550095</c:v>
                </c:pt>
                <c:pt idx="525">
                  <c:v>-179.07513550205661</c:v>
                </c:pt>
                <c:pt idx="526">
                  <c:v>-179.51027141912454</c:v>
                </c:pt>
                <c:pt idx="527">
                  <c:v>-179.94446133224275</c:v>
                </c:pt>
                <c:pt idx="528">
                  <c:v>-180.37770709032321</c:v>
                </c:pt>
                <c:pt idx="529">
                  <c:v>-180.82004753020811</c:v>
                </c:pt>
                <c:pt idx="530">
                  <c:v>-181.26140346612073</c:v>
                </c:pt>
                <c:pt idx="531">
                  <c:v>-181.70177701359989</c:v>
                </c:pt>
                <c:pt idx="532">
                  <c:v>-182.14117033150802</c:v>
                </c:pt>
                <c:pt idx="533">
                  <c:v>-182.58999565480232</c:v>
                </c:pt>
                <c:pt idx="534">
                  <c:v>-183.03779830494199</c:v>
                </c:pt>
                <c:pt idx="535">
                  <c:v>-183.48458073292022</c:v>
                </c:pt>
                <c:pt idx="536">
                  <c:v>-183.93034543290253</c:v>
                </c:pt>
                <c:pt idx="537">
                  <c:v>-184.38518068730141</c:v>
                </c:pt>
                <c:pt idx="538">
                  <c:v>-184.83895688676589</c:v>
                </c:pt>
                <c:pt idx="539">
                  <c:v>-185.29167683243909</c:v>
                </c:pt>
                <c:pt idx="540">
                  <c:v>-185.74334336810418</c:v>
                </c:pt>
                <c:pt idx="541">
                  <c:v>-186.20463229890024</c:v>
                </c:pt>
                <c:pt idx="542">
                  <c:v>-186.66482343075123</c:v>
                </c:pt>
                <c:pt idx="543">
                  <c:v>-187.12391994627225</c:v>
                </c:pt>
                <c:pt idx="544">
                  <c:v>-187.58192507014036</c:v>
                </c:pt>
                <c:pt idx="545">
                  <c:v>-188.04941327989823</c:v>
                </c:pt>
                <c:pt idx="546">
                  <c:v>-188.51576590985547</c:v>
                </c:pt>
                <c:pt idx="547">
                  <c:v>-188.98098654331596</c:v>
                </c:pt>
                <c:pt idx="548">
                  <c:v>-189.44507880475493</c:v>
                </c:pt>
                <c:pt idx="549">
                  <c:v>-189.91873753718306</c:v>
                </c:pt>
                <c:pt idx="550">
                  <c:v>-190.39122291797705</c:v>
                </c:pt>
                <c:pt idx="551">
                  <c:v>-190.86253895505195</c:v>
                </c:pt>
                <c:pt idx="552">
                  <c:v>-191.3326896963699</c:v>
                </c:pt>
                <c:pt idx="553">
                  <c:v>-191.81270551594204</c:v>
                </c:pt>
                <c:pt idx="554">
                  <c:v>-192.29150923546459</c:v>
                </c:pt>
                <c:pt idx="555">
                  <c:v>-192.76910531805939</c:v>
                </c:pt>
                <c:pt idx="556">
                  <c:v>-193.24549826560531</c:v>
                </c:pt>
                <c:pt idx="557">
                  <c:v>-194.21690290778409</c:v>
                </c:pt>
                <c:pt idx="558">
                  <c:v>-195.18332502356239</c:v>
                </c:pt>
                <c:pt idx="559">
                  <c:v>-196.16678539115733</c:v>
                </c:pt>
                <c:pt idx="560">
                  <c:v>-197.14511746057545</c:v>
                </c:pt>
                <c:pt idx="561">
                  <c:v>-198.14139493921942</c:v>
                </c:pt>
                <c:pt idx="562">
                  <c:v>-199.13239172462306</c:v>
                </c:pt>
                <c:pt idx="563">
                  <c:v>-200.13925285638356</c:v>
                </c:pt>
                <c:pt idx="564">
                  <c:v>-201.14070659741074</c:v>
                </c:pt>
                <c:pt idx="565">
                  <c:v>-202.16184843152834</c:v>
                </c:pt>
                <c:pt idx="566">
                  <c:v>-203.17741902127298</c:v>
                </c:pt>
                <c:pt idx="567">
                  <c:v>-204.2122443785214</c:v>
                </c:pt>
                <c:pt idx="568">
                  <c:v>-205.24134382747368</c:v>
                </c:pt>
                <c:pt idx="569">
                  <c:v>-206.28519150289546</c:v>
                </c:pt>
                <c:pt idx="570">
                  <c:v>-207.32321420816234</c:v>
                </c:pt>
                <c:pt idx="571">
                  <c:v>-208.38373544029491</c:v>
                </c:pt>
                <c:pt idx="572">
                  <c:v>-209.43825204535128</c:v>
                </c:pt>
                <c:pt idx="573">
                  <c:v>-210.50679176841888</c:v>
                </c:pt>
                <c:pt idx="574">
                  <c:v>-211.56925046196005</c:v>
                </c:pt>
                <c:pt idx="575">
                  <c:v>-212.65332410045045</c:v>
                </c:pt>
                <c:pt idx="576">
                  <c:v>-213.73116176144799</c:v>
                </c:pt>
                <c:pt idx="577">
                  <c:v>-218.227156995044</c:v>
                </c:pt>
                <c:pt idx="578">
                  <c:v>-222.61943814971426</c:v>
                </c:pt>
                <c:pt idx="579">
                  <c:v>-231.91392150224161</c:v>
                </c:pt>
                <c:pt idx="580">
                  <c:v>-241.6599734120976</c:v>
                </c:pt>
                <c:pt idx="581">
                  <c:v>-251.8997281576419</c:v>
                </c:pt>
                <c:pt idx="582">
                  <c:v>-262.73741852771786</c:v>
                </c:pt>
                <c:pt idx="583">
                  <c:v>-274.330186934003</c:v>
                </c:pt>
                <c:pt idx="584">
                  <c:v>-286.96085213886408</c:v>
                </c:pt>
                <c:pt idx="585">
                  <c:v>-301.06811846868965</c:v>
                </c:pt>
                <c:pt idx="586">
                  <c:v>-317.34751444770734</c:v>
                </c:pt>
                <c:pt idx="587">
                  <c:v>-336.7571356904611</c:v>
                </c:pt>
                <c:pt idx="588">
                  <c:v>-360.0758386826746</c:v>
                </c:pt>
                <c:pt idx="589">
                  <c:v>-206.68497968587957</c:v>
                </c:pt>
                <c:pt idx="590">
                  <c:v>-233.62064309142463</c:v>
                </c:pt>
                <c:pt idx="591">
                  <c:v>-257.94870492977765</c:v>
                </c:pt>
                <c:pt idx="592">
                  <c:v>-279.2857468692934</c:v>
                </c:pt>
                <c:pt idx="593">
                  <c:v>-299.24265132303884</c:v>
                </c:pt>
                <c:pt idx="594">
                  <c:v>-320.62692597386302</c:v>
                </c:pt>
                <c:pt idx="595">
                  <c:v>-348.30137568370043</c:v>
                </c:pt>
                <c:pt idx="596">
                  <c:v>-388.84602394271474</c:v>
                </c:pt>
                <c:pt idx="597">
                  <c:v>-254.91344154655866</c:v>
                </c:pt>
                <c:pt idx="598">
                  <c:v>-290.30726697353657</c:v>
                </c:pt>
                <c:pt idx="599">
                  <c:v>-320.86903930360103</c:v>
                </c:pt>
                <c:pt idx="600">
                  <c:v>-363.16494944082314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de-DE"/>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de-DE"/>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1.0944874779541447</c:v>
                </c:pt>
                <c:pt idx="2">
                  <c:v>1.1889749559082894</c:v>
                </c:pt>
                <c:pt idx="3">
                  <c:v>1.2202081867300618</c:v>
                </c:pt>
                <c:pt idx="4">
                  <c:v>1.2405233528056767</c:v>
                </c:pt>
                <c:pt idx="5">
                  <c:v>1.2584213734137271</c:v>
                </c:pt>
                <c:pt idx="6">
                  <c:v>1.2746024208971878</c:v>
                </c:pt>
                <c:pt idx="7">
                  <c:v>1.2894824297440977</c:v>
                </c:pt>
                <c:pt idx="8">
                  <c:v>1.303332404283184</c:v>
                </c:pt>
                <c:pt idx="9">
                  <c:v>1.3163405847640706</c:v>
                </c:pt>
                <c:pt idx="10">
                  <c:v>1.328644027766722</c:v>
                </c:pt>
                <c:pt idx="11">
                  <c:v>1.3403461999382238</c:v>
                </c:pt>
                <c:pt idx="12">
                  <c:v>1.3515274845712351</c:v>
                </c:pt>
                <c:pt idx="13">
                  <c:v>1.3622518062786253</c:v>
                </c:pt>
                <c:pt idx="14">
                  <c:v>1.3725709948907667</c:v>
                </c:pt>
                <c:pt idx="15">
                  <c:v>1.3825277656192934</c:v>
                </c:pt>
                <c:pt idx="16">
                  <c:v>1.3921578167224646</c:v>
                </c:pt>
                <c:pt idx="17">
                  <c:v>1.4014913444953019</c:v>
                </c:pt>
                <c:pt idx="18">
                  <c:v>1.4105541619803315</c:v>
                </c:pt>
                <c:pt idx="19">
                  <c:v>1.4193685411745103</c:v>
                </c:pt>
                <c:pt idx="20">
                  <c:v>1.4279538579385656</c:v>
                </c:pt>
                <c:pt idx="21">
                  <c:v>1.4363270933202541</c:v>
                </c:pt>
                <c:pt idx="22">
                  <c:v>1.4445032285327284</c:v>
                </c:pt>
                <c:pt idx="23">
                  <c:v>1.4524955599252669</c:v>
                </c:pt>
                <c:pt idx="24">
                  <c:v>1.4603159529054865</c:v>
                </c:pt>
                <c:pt idx="25">
                  <c:v>1.4679750486808585</c:v>
                </c:pt>
                <c:pt idx="26">
                  <c:v>1.47548243411133</c:v>
                </c:pt>
                <c:pt idx="27">
                  <c:v>1.4828467824124081</c:v>
                </c:pt>
                <c:pt idx="28">
                  <c:v>1.4900759705993067</c:v>
                </c:pt>
                <c:pt idx="29">
                  <c:v>1.4971771782055852</c:v>
                </c:pt>
                <c:pt idx="30">
                  <c:v>1.5041569708010281</c:v>
                </c:pt>
                <c:pt idx="31">
                  <c:v>1.5110213710752518</c:v>
                </c:pt>
                <c:pt idx="32">
                  <c:v>1.5177759196774789</c:v>
                </c:pt>
                <c:pt idx="33">
                  <c:v>1.5244257275609878</c:v>
                </c:pt>
                <c:pt idx="34">
                  <c:v>1.5309755212386116</c:v>
                </c:pt>
                <c:pt idx="35">
                  <c:v>1.5374296820885172</c:v>
                </c:pt>
                <c:pt idx="36">
                  <c:v>1.5437922806392523</c:v>
                </c:pt>
                <c:pt idx="37">
                  <c:v>1.5500671065963361</c:v>
                </c:pt>
                <c:pt idx="38">
                  <c:v>1.5562576952395593</c:v>
                </c:pt>
                <c:pt idx="39">
                  <c:v>1.5623673507131659</c:v>
                </c:pt>
                <c:pt idx="40">
                  <c:v>1.5683991666445551</c:v>
                </c:pt>
                <c:pt idx="41">
                  <c:v>1.5743560444567493</c:v>
                </c:pt>
                <c:pt idx="42">
                  <c:v>1.5802407096822813</c:v>
                </c:pt>
                <c:pt idx="43">
                  <c:v>1.586055726538802</c:v>
                </c:pt>
                <c:pt idx="44">
                  <c:v>1.5918035109875588</c:v>
                </c:pt>
                <c:pt idx="45">
                  <c:v>1.5974863424634038</c:v>
                </c:pt>
                <c:pt idx="46">
                  <c:v>1.6031063744378673</c:v>
                </c:pt>
                <c:pt idx="47">
                  <c:v>1.6086656439541251</c:v>
                </c:pt>
                <c:pt idx="48">
                  <c:v>1.6141660802535811</c:v>
                </c:pt>
                <c:pt idx="49">
                  <c:v>1.6196095125976464</c:v>
                </c:pt>
                <c:pt idx="50">
                  <c:v>1.6249976773746266</c:v>
                </c:pt>
                <c:pt idx="51">
                  <c:v>1.6303322245699907</c:v>
                </c:pt>
                <c:pt idx="52">
                  <c:v>1.6356147236683616</c:v>
                </c:pt>
                <c:pt idx="53">
                  <c:v>1.6408466690470673</c:v>
                </c:pt>
                <c:pt idx="54">
                  <c:v>1.6460294849137855</c:v>
                </c:pt>
                <c:pt idx="55">
                  <c:v>1.6511645298345108</c:v>
                </c:pt>
                <c:pt idx="56">
                  <c:v>1.6562531008926449</c:v>
                </c:pt>
                <c:pt idx="57">
                  <c:v>1.6612964375152812</c:v>
                </c:pt>
                <c:pt idx="58">
                  <c:v>1.6662957249986707</c:v>
                </c:pt>
                <c:pt idx="59">
                  <c:v>1.6712520977612744</c:v>
                </c:pt>
                <c:pt idx="60">
                  <c:v>1.6761666423496977</c:v>
                </c:pt>
                <c:pt idx="61">
                  <c:v>1.6810404002200747</c:v>
                </c:pt>
                <c:pt idx="62">
                  <c:v>1.6858743703150625</c:v>
                </c:pt>
                <c:pt idx="63">
                  <c:v>1.6906695114545156</c:v>
                </c:pt>
                <c:pt idx="64">
                  <c:v>1.6954267445560403</c:v>
                </c:pt>
                <c:pt idx="65">
                  <c:v>1.7001469546999988</c:v>
                </c:pt>
                <c:pt idx="66">
                  <c:v>1.7048309930520738</c:v>
                </c:pt>
                <c:pt idx="67">
                  <c:v>1.7094796786552249</c:v>
                </c:pt>
                <c:pt idx="68">
                  <c:v>1.7140938001017147</c:v>
                </c:pt>
                <c:pt idx="69">
                  <c:v>1.7186741170948787</c:v>
                </c:pt>
                <c:pt idx="70">
                  <c:v>1.7232213619093888</c:v>
                </c:pt>
                <c:pt idx="71">
                  <c:v>1.7277362407579691</c:v>
                </c:pt>
                <c:pt idx="72">
                  <c:v>1.7322194350717739</c:v>
                </c:pt>
                <c:pt idx="73">
                  <c:v>1.7366716027010143</c:v>
                </c:pt>
                <c:pt idx="74">
                  <c:v>1.7410933790418126</c:v>
                </c:pt>
                <c:pt idx="75">
                  <c:v>1.7454853780947541</c:v>
                </c:pt>
                <c:pt idx="76">
                  <c:v>1.7498481934601315</c:v>
                </c:pt>
                <c:pt idx="77">
                  <c:v>1.7541823992744434</c:v>
                </c:pt>
                <c:pt idx="78">
                  <c:v>1.7584885510923334</c:v>
                </c:pt>
                <c:pt idx="79">
                  <c:v>1.7627671867178067</c:v>
                </c:pt>
                <c:pt idx="80">
                  <c:v>1.7670188269882421</c:v>
                </c:pt>
                <c:pt idx="81">
                  <c:v>1.7712439765144339</c:v>
                </c:pt>
                <c:pt idx="82">
                  <c:v>1.7754431243796462</c:v>
                </c:pt>
                <c:pt idx="83">
                  <c:v>1.779616744800413</c:v>
                </c:pt>
                <c:pt idx="84">
                  <c:v>1.7837652977516192</c:v>
                </c:pt>
                <c:pt idx="85">
                  <c:v>1.7878892295581887</c:v>
                </c:pt>
                <c:pt idx="86">
                  <c:v>1.7919889734555388</c:v>
                </c:pt>
                <c:pt idx="87">
                  <c:v>1.7960649501207882</c:v>
                </c:pt>
                <c:pt idx="88">
                  <c:v>1.8001175681765678</c:v>
                </c:pt>
                <c:pt idx="89">
                  <c:v>1.8041472246691361</c:v>
                </c:pt>
                <c:pt idx="90">
                  <c:v>1.8081543055223883</c:v>
                </c:pt>
                <c:pt idx="91">
                  <c:v>1.8121391859692251</c:v>
                </c:pt>
                <c:pt idx="92">
                  <c:v>1.816102230961645</c:v>
                </c:pt>
                <c:pt idx="93">
                  <c:v>1.8200437955608337</c:v>
                </c:pt>
                <c:pt idx="94">
                  <c:v>1.8239642253084243</c:v>
                </c:pt>
                <c:pt idx="95">
                  <c:v>1.827863856580032</c:v>
                </c:pt>
                <c:pt idx="96">
                  <c:v>1.8317430169220843</c:v>
                </c:pt>
                <c:pt idx="97">
                  <c:v>1.8356020253729017</c:v>
                </c:pt>
                <c:pt idx="98">
                  <c:v>1.8394411927689216</c:v>
                </c:pt>
                <c:pt idx="99">
                  <c:v>1.8432608220368938</c:v>
                </c:pt>
                <c:pt idx="100">
                  <c:v>1.847061208472828</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Dual'!$AJ$5:$AJ$105</c:f>
              <c:numCache>
                <c:formatCode>0.000</c:formatCode>
                <c:ptCount val="101"/>
                <c:pt idx="0">
                  <c:v>1.0057142857142858</c:v>
                </c:pt>
                <c:pt idx="1">
                  <c:v>1.0944874779541447</c:v>
                </c:pt>
                <c:pt idx="2">
                  <c:v>1.1889749559082894</c:v>
                </c:pt>
                <c:pt idx="3">
                  <c:v>1.2202081867300618</c:v>
                </c:pt>
                <c:pt idx="4">
                  <c:v>1.2405233528056767</c:v>
                </c:pt>
                <c:pt idx="5">
                  <c:v>1.2584213734137271</c:v>
                </c:pt>
                <c:pt idx="6">
                  <c:v>1.2746024208971878</c:v>
                </c:pt>
                <c:pt idx="7">
                  <c:v>1.2894824297440977</c:v>
                </c:pt>
                <c:pt idx="8">
                  <c:v>1.303332404283184</c:v>
                </c:pt>
                <c:pt idx="9">
                  <c:v>1.3163405847640706</c:v>
                </c:pt>
                <c:pt idx="10">
                  <c:v>1.328644027766722</c:v>
                </c:pt>
                <c:pt idx="11">
                  <c:v>1.3403461999382238</c:v>
                </c:pt>
                <c:pt idx="12">
                  <c:v>1.3515274845712351</c:v>
                </c:pt>
                <c:pt idx="13">
                  <c:v>1.3622518062786253</c:v>
                </c:pt>
                <c:pt idx="14">
                  <c:v>1.3725709948907667</c:v>
                </c:pt>
                <c:pt idx="15">
                  <c:v>1.3825277656192934</c:v>
                </c:pt>
                <c:pt idx="16">
                  <c:v>1.3921578167224646</c:v>
                </c:pt>
                <c:pt idx="17">
                  <c:v>1.4014913444953019</c:v>
                </c:pt>
                <c:pt idx="18">
                  <c:v>1.4105541619803315</c:v>
                </c:pt>
                <c:pt idx="19">
                  <c:v>1.4193685411745103</c:v>
                </c:pt>
                <c:pt idx="20">
                  <c:v>1.4279538579385656</c:v>
                </c:pt>
                <c:pt idx="21">
                  <c:v>1.4363270933202541</c:v>
                </c:pt>
                <c:pt idx="22">
                  <c:v>1.4445032285327284</c:v>
                </c:pt>
                <c:pt idx="23">
                  <c:v>1.4524955599252669</c:v>
                </c:pt>
                <c:pt idx="24">
                  <c:v>1.4603159529054865</c:v>
                </c:pt>
                <c:pt idx="25">
                  <c:v>1.4679750486808585</c:v>
                </c:pt>
                <c:pt idx="26">
                  <c:v>1.47548243411133</c:v>
                </c:pt>
                <c:pt idx="27">
                  <c:v>1.4828467824124081</c:v>
                </c:pt>
                <c:pt idx="28">
                  <c:v>1.4900759705993067</c:v>
                </c:pt>
                <c:pt idx="29">
                  <c:v>1.4971771782055852</c:v>
                </c:pt>
                <c:pt idx="30">
                  <c:v>1.5041569708010281</c:v>
                </c:pt>
                <c:pt idx="31">
                  <c:v>1.5110213710752518</c:v>
                </c:pt>
                <c:pt idx="32">
                  <c:v>1.5177759196774789</c:v>
                </c:pt>
                <c:pt idx="33">
                  <c:v>1.5244257275609878</c:v>
                </c:pt>
                <c:pt idx="34">
                  <c:v>1.5309755212386116</c:v>
                </c:pt>
                <c:pt idx="35">
                  <c:v>1.5374296820885172</c:v>
                </c:pt>
                <c:pt idx="36">
                  <c:v>1.5437922806392523</c:v>
                </c:pt>
                <c:pt idx="37">
                  <c:v>1.5500671065963361</c:v>
                </c:pt>
                <c:pt idx="38">
                  <c:v>1.5562576952395593</c:v>
                </c:pt>
                <c:pt idx="39">
                  <c:v>1.5623673507131659</c:v>
                </c:pt>
                <c:pt idx="40">
                  <c:v>1.5683991666445551</c:v>
                </c:pt>
                <c:pt idx="41">
                  <c:v>1.5743560444567493</c:v>
                </c:pt>
                <c:pt idx="42">
                  <c:v>1.5802407096822813</c:v>
                </c:pt>
                <c:pt idx="43">
                  <c:v>1.586055726538802</c:v>
                </c:pt>
                <c:pt idx="44">
                  <c:v>1.5918035109875588</c:v>
                </c:pt>
                <c:pt idx="45">
                  <c:v>1.5974863424634038</c:v>
                </c:pt>
                <c:pt idx="46">
                  <c:v>1.6031063744378673</c:v>
                </c:pt>
                <c:pt idx="47">
                  <c:v>1.6086656439541251</c:v>
                </c:pt>
                <c:pt idx="48">
                  <c:v>1.6141660802535811</c:v>
                </c:pt>
                <c:pt idx="49">
                  <c:v>1.6196095125976464</c:v>
                </c:pt>
                <c:pt idx="50">
                  <c:v>1.6249976773746266</c:v>
                </c:pt>
                <c:pt idx="51">
                  <c:v>1.6303322245699907</c:v>
                </c:pt>
                <c:pt idx="52">
                  <c:v>1.6356147236683616</c:v>
                </c:pt>
                <c:pt idx="53">
                  <c:v>1.6408466690470673</c:v>
                </c:pt>
                <c:pt idx="54">
                  <c:v>1.6460294849137855</c:v>
                </c:pt>
                <c:pt idx="55">
                  <c:v>1.6511645298345108</c:v>
                </c:pt>
                <c:pt idx="56">
                  <c:v>1.6562531008926449</c:v>
                </c:pt>
                <c:pt idx="57">
                  <c:v>1.6612964375152812</c:v>
                </c:pt>
                <c:pt idx="58">
                  <c:v>1.6662957249986707</c:v>
                </c:pt>
                <c:pt idx="59">
                  <c:v>1.6712520977612744</c:v>
                </c:pt>
                <c:pt idx="60">
                  <c:v>1.6761666423496977</c:v>
                </c:pt>
                <c:pt idx="61">
                  <c:v>1.6810404002200747</c:v>
                </c:pt>
                <c:pt idx="62">
                  <c:v>1.6858743703150625</c:v>
                </c:pt>
                <c:pt idx="63">
                  <c:v>1.6906695114545156</c:v>
                </c:pt>
                <c:pt idx="64">
                  <c:v>1.6954267445560403</c:v>
                </c:pt>
                <c:pt idx="65">
                  <c:v>1.7001469546999988</c:v>
                </c:pt>
                <c:pt idx="66">
                  <c:v>1.7048309930520738</c:v>
                </c:pt>
                <c:pt idx="67">
                  <c:v>1.7094796786552249</c:v>
                </c:pt>
                <c:pt idx="68">
                  <c:v>1.7140938001017147</c:v>
                </c:pt>
                <c:pt idx="69">
                  <c:v>1.7186741170948787</c:v>
                </c:pt>
                <c:pt idx="70">
                  <c:v>1.7232213619093888</c:v>
                </c:pt>
                <c:pt idx="71">
                  <c:v>1.7277362407579691</c:v>
                </c:pt>
                <c:pt idx="72">
                  <c:v>1.7322194350717739</c:v>
                </c:pt>
                <c:pt idx="73">
                  <c:v>1.7366716027010143</c:v>
                </c:pt>
                <c:pt idx="74">
                  <c:v>1.7410933790418126</c:v>
                </c:pt>
                <c:pt idx="75">
                  <c:v>1.7454853780947541</c:v>
                </c:pt>
                <c:pt idx="76">
                  <c:v>1.7498481934601315</c:v>
                </c:pt>
                <c:pt idx="77">
                  <c:v>1.7541823992744434</c:v>
                </c:pt>
                <c:pt idx="78">
                  <c:v>1.7584885510923334</c:v>
                </c:pt>
                <c:pt idx="79">
                  <c:v>1.7627671867178067</c:v>
                </c:pt>
                <c:pt idx="80">
                  <c:v>1.7670188269882421</c:v>
                </c:pt>
                <c:pt idx="81">
                  <c:v>1.7712439765144339</c:v>
                </c:pt>
                <c:pt idx="82">
                  <c:v>1.7754431243796462</c:v>
                </c:pt>
                <c:pt idx="83">
                  <c:v>1.779616744800413</c:v>
                </c:pt>
                <c:pt idx="84">
                  <c:v>1.7837652977516192</c:v>
                </c:pt>
                <c:pt idx="85">
                  <c:v>1.7878892295581887</c:v>
                </c:pt>
                <c:pt idx="86">
                  <c:v>1.7919889734555388</c:v>
                </c:pt>
                <c:pt idx="87">
                  <c:v>1.7960649501207882</c:v>
                </c:pt>
                <c:pt idx="88">
                  <c:v>1.8001175681765678</c:v>
                </c:pt>
                <c:pt idx="89">
                  <c:v>1.8041472246691361</c:v>
                </c:pt>
                <c:pt idx="90">
                  <c:v>1.8081543055223883</c:v>
                </c:pt>
                <c:pt idx="91">
                  <c:v>1.8121391859692251</c:v>
                </c:pt>
                <c:pt idx="92">
                  <c:v>1.816102230961645</c:v>
                </c:pt>
                <c:pt idx="93">
                  <c:v>1.8200437955608337</c:v>
                </c:pt>
                <c:pt idx="94">
                  <c:v>1.8239642253084243</c:v>
                </c:pt>
                <c:pt idx="95">
                  <c:v>1.827863856580032</c:v>
                </c:pt>
                <c:pt idx="96">
                  <c:v>1.8317430169220843</c:v>
                </c:pt>
                <c:pt idx="97">
                  <c:v>1.8356020253729017</c:v>
                </c:pt>
                <c:pt idx="98">
                  <c:v>1.8394411927689216</c:v>
                </c:pt>
                <c:pt idx="99">
                  <c:v>1.8432608220368938</c:v>
                </c:pt>
                <c:pt idx="100">
                  <c:v>1.847061208472828</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1.0944874779541447</c:v>
                </c:pt>
                <c:pt idx="2">
                  <c:v>1.1889749559082894</c:v>
                </c:pt>
                <c:pt idx="3">
                  <c:v>1.2202081867300618</c:v>
                </c:pt>
                <c:pt idx="4">
                  <c:v>1.2405233528056767</c:v>
                </c:pt>
                <c:pt idx="5">
                  <c:v>1.2584213734137271</c:v>
                </c:pt>
                <c:pt idx="6">
                  <c:v>1.2746024208971878</c:v>
                </c:pt>
                <c:pt idx="7">
                  <c:v>1.2894824297440977</c:v>
                </c:pt>
                <c:pt idx="8">
                  <c:v>1.303332404283184</c:v>
                </c:pt>
                <c:pt idx="9">
                  <c:v>1.3163405847640706</c:v>
                </c:pt>
                <c:pt idx="10">
                  <c:v>1.328644027766722</c:v>
                </c:pt>
                <c:pt idx="11">
                  <c:v>1.3403461999382238</c:v>
                </c:pt>
                <c:pt idx="12">
                  <c:v>1.3515274845712351</c:v>
                </c:pt>
                <c:pt idx="13">
                  <c:v>1.3622518062786253</c:v>
                </c:pt>
                <c:pt idx="14">
                  <c:v>1.3725709948907667</c:v>
                </c:pt>
                <c:pt idx="15">
                  <c:v>1.3825277656192934</c:v>
                </c:pt>
                <c:pt idx="16">
                  <c:v>1.3921578167224646</c:v>
                </c:pt>
                <c:pt idx="17">
                  <c:v>1.4014913444953019</c:v>
                </c:pt>
                <c:pt idx="18">
                  <c:v>1.4105541619803315</c:v>
                </c:pt>
                <c:pt idx="19">
                  <c:v>1.4193685411745103</c:v>
                </c:pt>
                <c:pt idx="20">
                  <c:v>1.4279538579385656</c:v>
                </c:pt>
                <c:pt idx="21">
                  <c:v>1.4363270933202541</c:v>
                </c:pt>
                <c:pt idx="22">
                  <c:v>1.4445032285327284</c:v>
                </c:pt>
                <c:pt idx="23">
                  <c:v>1.4524955599252669</c:v>
                </c:pt>
                <c:pt idx="24">
                  <c:v>1.4603159529054865</c:v>
                </c:pt>
                <c:pt idx="25">
                  <c:v>1.4679750486808585</c:v>
                </c:pt>
                <c:pt idx="26">
                  <c:v>1.47548243411133</c:v>
                </c:pt>
                <c:pt idx="27">
                  <c:v>1.4828467824124081</c:v>
                </c:pt>
                <c:pt idx="28">
                  <c:v>1.4900759705993067</c:v>
                </c:pt>
                <c:pt idx="29">
                  <c:v>1.4971771782055852</c:v>
                </c:pt>
                <c:pt idx="30">
                  <c:v>1.5041569708010281</c:v>
                </c:pt>
                <c:pt idx="31">
                  <c:v>1.5110213710752518</c:v>
                </c:pt>
                <c:pt idx="32">
                  <c:v>1.5177759196774789</c:v>
                </c:pt>
                <c:pt idx="33">
                  <c:v>1.5244257275609878</c:v>
                </c:pt>
                <c:pt idx="34">
                  <c:v>1.5309755212386116</c:v>
                </c:pt>
                <c:pt idx="35">
                  <c:v>1.5374296820885172</c:v>
                </c:pt>
                <c:pt idx="36">
                  <c:v>1.5437922806392523</c:v>
                </c:pt>
                <c:pt idx="37">
                  <c:v>1.5500671065963361</c:v>
                </c:pt>
                <c:pt idx="38">
                  <c:v>1.5562576952395593</c:v>
                </c:pt>
                <c:pt idx="39">
                  <c:v>1.5623673507131659</c:v>
                </c:pt>
                <c:pt idx="40">
                  <c:v>1.5683991666445551</c:v>
                </c:pt>
                <c:pt idx="41">
                  <c:v>1.5743560444567493</c:v>
                </c:pt>
                <c:pt idx="42">
                  <c:v>1.5802407096822813</c:v>
                </c:pt>
                <c:pt idx="43">
                  <c:v>1.586055726538802</c:v>
                </c:pt>
                <c:pt idx="44">
                  <c:v>1.5918035109875588</c:v>
                </c:pt>
                <c:pt idx="45">
                  <c:v>1.5974863424634038</c:v>
                </c:pt>
                <c:pt idx="46">
                  <c:v>1.6031063744378673</c:v>
                </c:pt>
                <c:pt idx="47">
                  <c:v>1.6086656439541251</c:v>
                </c:pt>
                <c:pt idx="48">
                  <c:v>1.6141660802535811</c:v>
                </c:pt>
                <c:pt idx="49">
                  <c:v>1.6196095125976464</c:v>
                </c:pt>
                <c:pt idx="50">
                  <c:v>1.6249976773746266</c:v>
                </c:pt>
                <c:pt idx="51">
                  <c:v>1.6303322245699907</c:v>
                </c:pt>
                <c:pt idx="52">
                  <c:v>1.6356147236683616</c:v>
                </c:pt>
                <c:pt idx="53">
                  <c:v>1.6408466690470673</c:v>
                </c:pt>
                <c:pt idx="54">
                  <c:v>1.6460294849137855</c:v>
                </c:pt>
                <c:pt idx="55">
                  <c:v>1.6511645298345108</c:v>
                </c:pt>
                <c:pt idx="56">
                  <c:v>1.6562531008926449</c:v>
                </c:pt>
                <c:pt idx="57">
                  <c:v>1.6612964375152812</c:v>
                </c:pt>
                <c:pt idx="58">
                  <c:v>1.6662957249986707</c:v>
                </c:pt>
                <c:pt idx="59">
                  <c:v>1.6712520977612744</c:v>
                </c:pt>
                <c:pt idx="60">
                  <c:v>1.6761666423496977</c:v>
                </c:pt>
                <c:pt idx="61">
                  <c:v>1.6810404002200747</c:v>
                </c:pt>
                <c:pt idx="62">
                  <c:v>1.6858743703150625</c:v>
                </c:pt>
                <c:pt idx="63">
                  <c:v>1.6906695114545156</c:v>
                </c:pt>
                <c:pt idx="64">
                  <c:v>1.6954267445560403</c:v>
                </c:pt>
                <c:pt idx="65">
                  <c:v>1.7001469546999988</c:v>
                </c:pt>
                <c:pt idx="66">
                  <c:v>1.7048309930520738</c:v>
                </c:pt>
                <c:pt idx="67">
                  <c:v>1.7094796786552249</c:v>
                </c:pt>
                <c:pt idx="68">
                  <c:v>1.7140938001017147</c:v>
                </c:pt>
                <c:pt idx="69">
                  <c:v>1.7186741170948787</c:v>
                </c:pt>
                <c:pt idx="70">
                  <c:v>1.7232213619093888</c:v>
                </c:pt>
                <c:pt idx="71">
                  <c:v>1.7277362407579691</c:v>
                </c:pt>
                <c:pt idx="72">
                  <c:v>1.7322194350717739</c:v>
                </c:pt>
                <c:pt idx="73">
                  <c:v>1.7366716027010143</c:v>
                </c:pt>
                <c:pt idx="74">
                  <c:v>1.7410933790418126</c:v>
                </c:pt>
                <c:pt idx="75">
                  <c:v>1.7454853780947541</c:v>
                </c:pt>
                <c:pt idx="76">
                  <c:v>1.7498481934601315</c:v>
                </c:pt>
                <c:pt idx="77">
                  <c:v>1.7541823992744434</c:v>
                </c:pt>
                <c:pt idx="78">
                  <c:v>1.7584885510923334</c:v>
                </c:pt>
                <c:pt idx="79">
                  <c:v>1.7627671867178067</c:v>
                </c:pt>
                <c:pt idx="80">
                  <c:v>1.7670188269882421</c:v>
                </c:pt>
                <c:pt idx="81">
                  <c:v>1.7712439765144339</c:v>
                </c:pt>
                <c:pt idx="82">
                  <c:v>1.7754431243796462</c:v>
                </c:pt>
                <c:pt idx="83">
                  <c:v>1.779616744800413</c:v>
                </c:pt>
                <c:pt idx="84">
                  <c:v>1.7837652977516192</c:v>
                </c:pt>
                <c:pt idx="85">
                  <c:v>1.7878892295581887</c:v>
                </c:pt>
                <c:pt idx="86">
                  <c:v>1.7919889734555388</c:v>
                </c:pt>
                <c:pt idx="87">
                  <c:v>1.7960649501207882</c:v>
                </c:pt>
                <c:pt idx="88">
                  <c:v>1.8001175681765678</c:v>
                </c:pt>
                <c:pt idx="89">
                  <c:v>1.8041472246691361</c:v>
                </c:pt>
                <c:pt idx="90">
                  <c:v>1.8081543055223883</c:v>
                </c:pt>
                <c:pt idx="91">
                  <c:v>1.8121391859692251</c:v>
                </c:pt>
                <c:pt idx="92">
                  <c:v>1.816102230961645</c:v>
                </c:pt>
                <c:pt idx="93">
                  <c:v>1.8200437955608337</c:v>
                </c:pt>
                <c:pt idx="94">
                  <c:v>1.8239642253084243</c:v>
                </c:pt>
                <c:pt idx="95">
                  <c:v>1.827863856580032</c:v>
                </c:pt>
                <c:pt idx="96">
                  <c:v>1.8317430169220843</c:v>
                </c:pt>
                <c:pt idx="97">
                  <c:v>1.8356020253729017</c:v>
                </c:pt>
                <c:pt idx="98">
                  <c:v>1.8394411927689216</c:v>
                </c:pt>
                <c:pt idx="99">
                  <c:v>1.8432608220368938</c:v>
                </c:pt>
                <c:pt idx="100">
                  <c:v>1.847061208472828</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1.0096989194549519E-13</c:v>
                </c:pt>
                <c:pt idx="1">
                  <c:v>2.1253657228023635E-7</c:v>
                </c:pt>
                <c:pt idx="2">
                  <c:v>3.7701810758161373E-7</c:v>
                </c:pt>
                <c:pt idx="3">
                  <c:v>4.3933088449736015E-7</c:v>
                </c:pt>
                <c:pt idx="4">
                  <c:v>4.7058165244458375E-7</c:v>
                </c:pt>
                <c:pt idx="5">
                  <c:v>4.931233701353969E-7</c:v>
                </c:pt>
                <c:pt idx="6">
                  <c:v>5.1063810921697003E-7</c:v>
                </c:pt>
                <c:pt idx="7">
                  <c:v>5.2496161271416401E-7</c:v>
                </c:pt>
                <c:pt idx="8">
                  <c:v>5.3711746797330762E-7</c:v>
                </c:pt>
                <c:pt idx="9">
                  <c:v>5.477245070355266E-7</c:v>
                </c:pt>
                <c:pt idx="10">
                  <c:v>5.5718055679334442E-7</c:v>
                </c:pt>
                <c:pt idx="11">
                  <c:v>5.6575402455399727E-7</c:v>
                </c:pt>
                <c:pt idx="12">
                  <c:v>5.7363320822249636E-7</c:v>
                </c:pt>
                <c:pt idx="13">
                  <c:v>5.8095453091356192E-7</c:v>
                </c:pt>
                <c:pt idx="14">
                  <c:v>5.8781954272117874E-7</c:v>
                </c:pt>
                <c:pt idx="15">
                  <c:v>5.9430559764965039E-7</c:v>
                </c:pt>
                <c:pt idx="16">
                  <c:v>6.0047280158970542E-7</c:v>
                </c:pt>
                <c:pt idx="17">
                  <c:v>6.0636867406036179E-7</c:v>
                </c:pt>
                <c:pt idx="18">
                  <c:v>6.1203136017624116E-7</c:v>
                </c:pt>
                <c:pt idx="19">
                  <c:v>6.1749189585569179E-7</c:v>
                </c:pt>
                <c:pt idx="20">
                  <c:v>6.2277583857755567E-7</c:v>
                </c:pt>
                <c:pt idx="21">
                  <c:v>6.2790446312384876E-7</c:v>
                </c:pt>
                <c:pt idx="22">
                  <c:v>6.3289565289179622E-7</c:v>
                </c:pt>
                <c:pt idx="23">
                  <c:v>6.3776457420993731E-7</c:v>
                </c:pt>
                <c:pt idx="24">
                  <c:v>6.4252419339252161E-7</c:v>
                </c:pt>
                <c:pt idx="25">
                  <c:v>6.4718567809222183E-7</c:v>
                </c:pt>
                <c:pt idx="26">
                  <c:v>6.5175871234966674E-7</c:v>
                </c:pt>
                <c:pt idx="27">
                  <c:v>6.5625174645277707E-7</c:v>
                </c:pt>
                <c:pt idx="28">
                  <c:v>6.6067219698047867E-7</c:v>
                </c:pt>
                <c:pt idx="29">
                  <c:v>6.6502660837070063E-7</c:v>
                </c:pt>
                <c:pt idx="30">
                  <c:v>6.6932078447599165E-7</c:v>
                </c:pt>
                <c:pt idx="31">
                  <c:v>6.7355989649270985E-7</c:v>
                </c:pt>
                <c:pt idx="32">
                  <c:v>6.7774857213148513E-7</c:v>
                </c:pt>
                <c:pt idx="33">
                  <c:v>6.8189096977465604E-7</c:v>
                </c:pt>
                <c:pt idx="34">
                  <c:v>6.8599084052862807E-7</c:v>
                </c:pt>
                <c:pt idx="35">
                  <c:v>6.9005158044746069E-7</c:v>
                </c:pt>
                <c:pt idx="36">
                  <c:v>6.9407627472345366E-7</c:v>
                </c:pt>
                <c:pt idx="37">
                  <c:v>6.980677352717847E-7</c:v>
                </c:pt>
                <c:pt idx="38">
                  <c:v>7.0202853285105568E-7</c:v>
                </c:pt>
                <c:pt idx="39">
                  <c:v>7.0596102463936234E-7</c:v>
                </c:pt>
                <c:pt idx="40">
                  <c:v>7.0986737801104701E-7</c:v>
                </c:pt>
                <c:pt idx="41">
                  <c:v>7.1374959112146828E-7</c:v>
                </c:pt>
                <c:pt idx="42">
                  <c:v>7.1760951079749031E-7</c:v>
                </c:pt>
                <c:pt idx="43">
                  <c:v>7.214488481437157E-7</c:v>
                </c:pt>
                <c:pt idx="44">
                  <c:v>7.2526919220389885E-7</c:v>
                </c:pt>
                <c:pt idx="45">
                  <c:v>7.2907202195990027E-7</c:v>
                </c:pt>
                <c:pt idx="46">
                  <c:v>7.3285871690409858E-7</c:v>
                </c:pt>
                <c:pt idx="47">
                  <c:v>7.3663056638323433E-7</c:v>
                </c:pt>
                <c:pt idx="48">
                  <c:v>7.403887778804919E-7</c:v>
                </c:pt>
                <c:pt idx="49">
                  <c:v>7.4413448437691478E-7</c:v>
                </c:pt>
                <c:pt idx="50">
                  <c:v>7.4786875091196216E-7</c:v>
                </c:pt>
                <c:pt idx="51">
                  <c:v>7.5159258044528428E-7</c:v>
                </c:pt>
                <c:pt idx="52">
                  <c:v>7.5530691910700662E-7</c:v>
                </c:pt>
                <c:pt idx="53">
                  <c:v>7.5901266091139139E-7</c:v>
                </c:pt>
                <c:pt idx="54">
                  <c:v>7.6271065199832808E-7</c:v>
                </c:pt>
                <c:pt idx="55">
                  <c:v>7.6640169445826387E-7</c:v>
                </c:pt>
                <c:pt idx="56">
                  <c:v>7.700865497887365E-7</c:v>
                </c:pt>
                <c:pt idx="57">
                  <c:v>7.7376594202431262E-7</c:v>
                </c:pt>
                <c:pt idx="58">
                  <c:v>7.7744056057632177E-7</c:v>
                </c:pt>
                <c:pt idx="59">
                  <c:v>7.8111106281415549E-7</c:v>
                </c:pt>
                <c:pt idx="60">
                  <c:v>7.8477807641592301E-7</c:v>
                </c:pt>
                <c:pt idx="61">
                  <c:v>7.884422015128338E-7</c:v>
                </c:pt>
                <c:pt idx="62">
                  <c:v>7.9210401264875932E-7</c:v>
                </c:pt>
                <c:pt idx="63">
                  <c:v>7.9576406057383744E-7</c:v>
                </c:pt>
                <c:pt idx="64">
                  <c:v>7.9942287388881516E-7</c:v>
                </c:pt>
                <c:pt idx="65">
                  <c:v>8.0308096055488351E-7</c:v>
                </c:pt>
                <c:pt idx="66">
                  <c:v>8.0673880928209872E-7</c:v>
                </c:pt>
                <c:pt idx="67">
                  <c:v>8.1039689080801506E-7</c:v>
                </c:pt>
                <c:pt idx="68">
                  <c:v>8.1405565907689296E-7</c:v>
                </c:pt>
                <c:pt idx="69">
                  <c:v>8.1771555232871126E-7</c:v>
                </c:pt>
                <c:pt idx="70">
                  <c:v>8.2137699410624299E-7</c:v>
                </c:pt>
                <c:pt idx="71">
                  <c:v>8.2504039418757993E-7</c:v>
                </c:pt>
                <c:pt idx="72">
                  <c:v>8.2870614945072822E-7</c:v>
                </c:pt>
                <c:pt idx="73">
                  <c:v>8.3237464467623076E-7</c:v>
                </c:pt>
                <c:pt idx="74">
                  <c:v>8.3604625329316603E-7</c:v>
                </c:pt>
                <c:pt idx="75">
                  <c:v>8.3972133807334129E-7</c:v>
                </c:pt>
                <c:pt idx="76">
                  <c:v>8.4340025177803884E-7</c:v>
                </c:pt>
                <c:pt idx="77">
                  <c:v>8.4708333776124473E-7</c:v>
                </c:pt>
                <c:pt idx="78">
                  <c:v>8.5077093053291996E-7</c:v>
                </c:pt>
                <c:pt idx="79">
                  <c:v>8.5446335628554009E-7</c:v>
                </c:pt>
                <c:pt idx="80">
                  <c:v>8.5816093338682263E-7</c:v>
                </c:pt>
                <c:pt idx="81">
                  <c:v>8.6186397284132344E-7</c:v>
                </c:pt>
                <c:pt idx="82">
                  <c:v>8.6557277872329346E-7</c:v>
                </c:pt>
                <c:pt idx="83">
                  <c:v>8.6928764858302756E-7</c:v>
                </c:pt>
                <c:pt idx="84">
                  <c:v>8.7300887382869579E-7</c:v>
                </c:pt>
                <c:pt idx="85">
                  <c:v>8.7673674008551378E-7</c:v>
                </c:pt>
                <c:pt idx="86">
                  <c:v>8.8047152753391507E-7</c:v>
                </c:pt>
                <c:pt idx="87">
                  <c:v>8.8421351122827012E-7</c:v>
                </c:pt>
                <c:pt idx="88">
                  <c:v>8.8796296139756731E-7</c:v>
                </c:pt>
                <c:pt idx="89">
                  <c:v>8.9172014372933527E-7</c:v>
                </c:pt>
                <c:pt idx="90">
                  <c:v>8.9548531963800803E-7</c:v>
                </c:pt>
                <c:pt idx="91">
                  <c:v>8.9925874651881316E-7</c:v>
                </c:pt>
                <c:pt idx="92">
                  <c:v>9.0304067798819632E-7</c:v>
                </c:pt>
                <c:pt idx="93">
                  <c:v>9.0683136411170215E-7</c:v>
                </c:pt>
                <c:pt idx="94">
                  <c:v>9.106310516201719E-7</c:v>
                </c:pt>
                <c:pt idx="95">
                  <c:v>9.1443998411503223E-7</c:v>
                </c:pt>
                <c:pt idx="96">
                  <c:v>9.1825840226342899E-7</c:v>
                </c:pt>
                <c:pt idx="97">
                  <c:v>9.2208654398384415E-7</c:v>
                </c:pt>
                <c:pt idx="98">
                  <c:v>9.2592464462285237E-7</c:v>
                </c:pt>
                <c:pt idx="99">
                  <c:v>9.2977293712357814E-7</c:v>
                </c:pt>
                <c:pt idx="100">
                  <c:v>9.336316521863881E-7</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22537278278.003361</c:v>
                </c:pt>
                <c:pt idx="1">
                  <c:v>21879563363.005646</c:v>
                </c:pt>
                <c:pt idx="2">
                  <c:v>21179511669.777481</c:v>
                </c:pt>
                <c:pt idx="3">
                  <c:v>29093539930.610878</c:v>
                </c:pt>
                <c:pt idx="4">
                  <c:v>38286807081.37793</c:v>
                </c:pt>
                <c:pt idx="5">
                  <c:v>47302829530.274719</c:v>
                </c:pt>
                <c:pt idx="6">
                  <c:v>56160548427.747429</c:v>
                </c:pt>
                <c:pt idx="7">
                  <c:v>64873868954.163567</c:v>
                </c:pt>
                <c:pt idx="8">
                  <c:v>73453564913.05542</c:v>
                </c:pt>
                <c:pt idx="9">
                  <c:v>81908304250.282318</c:v>
                </c:pt>
                <c:pt idx="10">
                  <c:v>90245257675.876099</c:v>
                </c:pt>
                <c:pt idx="11">
                  <c:v>98470486051.027023</c:v>
                </c:pt>
                <c:pt idx="12">
                  <c:v>106589200379.90515</c:v>
                </c:pt>
                <c:pt idx="13">
                  <c:v>114605943720.08307</c:v>
                </c:pt>
                <c:pt idx="14">
                  <c:v>122524722814.46877</c:v>
                </c:pt>
                <c:pt idx="15">
                  <c:v>130349106022.49304</c:v>
                </c:pt>
                <c:pt idx="16">
                  <c:v>138082297897.71414</c:v>
                </c:pt>
                <c:pt idx="17">
                  <c:v>145727197121.05853</c:v>
                </c:pt>
                <c:pt idx="18">
                  <c:v>153286442282.82559</c:v>
                </c:pt>
                <c:pt idx="19">
                  <c:v>160762448607.09949</c:v>
                </c:pt>
                <c:pt idx="20">
                  <c:v>168157437800.56122</c:v>
                </c:pt>
                <c:pt idx="21">
                  <c:v>175473462597.55774</c:v>
                </c:pt>
                <c:pt idx="22">
                  <c:v>182712427155.11044</c:v>
                </c:pt>
                <c:pt idx="23">
                  <c:v>189876104158.84082</c:v>
                </c:pt>
                <c:pt idx="24">
                  <c:v>196966149292.01556</c:v>
                </c:pt>
                <c:pt idx="25">
                  <c:v>203984113568.46152</c:v>
                </c:pt>
                <c:pt idx="26">
                  <c:v>210931453918.54337</c:v>
                </c:pt>
                <c:pt idx="27">
                  <c:v>217809542334.07523</c:v>
                </c:pt>
                <c:pt idx="28">
                  <c:v>224619673815.01733</c:v>
                </c:pt>
                <c:pt idx="29">
                  <c:v>231363073312.57773</c:v>
                </c:pt>
                <c:pt idx="30">
                  <c:v>238040901826.04224</c:v>
                </c:pt>
                <c:pt idx="31">
                  <c:v>244654261781.51956</c:v>
                </c:pt>
                <c:pt idx="32">
                  <c:v>251204201797.82489</c:v>
                </c:pt>
                <c:pt idx="33">
                  <c:v>257691720926.47351</c:v>
                </c:pt>
                <c:pt idx="34">
                  <c:v>264117772438.12354</c:v>
                </c:pt>
                <c:pt idx="35">
                  <c:v>270483267216.00974</c:v>
                </c:pt>
                <c:pt idx="36">
                  <c:v>276789076807.31244</c:v>
                </c:pt>
                <c:pt idx="37">
                  <c:v>283036036175.55927</c:v>
                </c:pt>
                <c:pt idx="38">
                  <c:v>289224946190.70306</c:v>
                </c:pt>
                <c:pt idx="39">
                  <c:v>295356575888.17047</c:v>
                </c:pt>
                <c:pt idx="40">
                  <c:v>301431664523.73553</c:v>
                </c:pt>
                <c:pt idx="41">
                  <c:v>307450923447.34631</c:v>
                </c:pt>
                <c:pt idx="42">
                  <c:v>313415037815.91669</c:v>
                </c:pt>
                <c:pt idx="43">
                  <c:v>319324668162.44769</c:v>
                </c:pt>
                <c:pt idx="44">
                  <c:v>325180451836.61548</c:v>
                </c:pt>
                <c:pt idx="45">
                  <c:v>330983004330.05292</c:v>
                </c:pt>
                <c:pt idx="46">
                  <c:v>336732920497.92712</c:v>
                </c:pt>
                <c:pt idx="47">
                  <c:v>342430775687.01984</c:v>
                </c:pt>
                <c:pt idx="48">
                  <c:v>348077126779.31354</c:v>
                </c:pt>
                <c:pt idx="49">
                  <c:v>353672513159.05463</c:v>
                </c:pt>
                <c:pt idx="50">
                  <c:v>359217457610.35376</c:v>
                </c:pt>
                <c:pt idx="51">
                  <c:v>364712467151.61786</c:v>
                </c:pt>
                <c:pt idx="52">
                  <c:v>370158033812.40961</c:v>
                </c:pt>
                <c:pt idx="53">
                  <c:v>375554635357.74969</c:v>
                </c:pt>
                <c:pt idx="54">
                  <c:v>380902735964.34283</c:v>
                </c:pt>
                <c:pt idx="55">
                  <c:v>386202786852.75537</c:v>
                </c:pt>
                <c:pt idx="56">
                  <c:v>391455226879.16772</c:v>
                </c:pt>
                <c:pt idx="57">
                  <c:v>396660483089.96393</c:v>
                </c:pt>
                <c:pt idx="58">
                  <c:v>401818971242.10773</c:v>
                </c:pt>
                <c:pt idx="59">
                  <c:v>406931096291.97186</c:v>
                </c:pt>
                <c:pt idx="60">
                  <c:v>411997252855.03479</c:v>
                </c:pt>
                <c:pt idx="61">
                  <c:v>417017825638.64807</c:v>
                </c:pt>
                <c:pt idx="62">
                  <c:v>421993189849.85724</c:v>
                </c:pt>
                <c:pt idx="63">
                  <c:v>426923711580.1059</c:v>
                </c:pt>
                <c:pt idx="64">
                  <c:v>431809748168.47614</c:v>
                </c:pt>
                <c:pt idx="65">
                  <c:v>436651648544.98114</c:v>
                </c:pt>
                <c:pt idx="66">
                  <c:v>441449753555.29614</c:v>
                </c:pt>
                <c:pt idx="67">
                  <c:v>446204396268.20245</c:v>
                </c:pt>
                <c:pt idx="68">
                  <c:v>450915902266.90375</c:v>
                </c:pt>
                <c:pt idx="69">
                  <c:v>455584589925.2926</c:v>
                </c:pt>
                <c:pt idx="70">
                  <c:v>460210770670.14783</c:v>
                </c:pt>
                <c:pt idx="71">
                  <c:v>464794749230.17297</c:v>
                </c:pt>
                <c:pt idx="72">
                  <c:v>469336823872.71295</c:v>
                </c:pt>
                <c:pt idx="73">
                  <c:v>473837286628.92108</c:v>
                </c:pt>
                <c:pt idx="74">
                  <c:v>478296423508.09039</c:v>
                </c:pt>
                <c:pt idx="75">
                  <c:v>482714514701.81244</c:v>
                </c:pt>
                <c:pt idx="76">
                  <c:v>487091834778.57635</c:v>
                </c:pt>
                <c:pt idx="77">
                  <c:v>491428652869.37305</c:v>
                </c:pt>
                <c:pt idx="78">
                  <c:v>495725232844.83362</c:v>
                </c:pt>
                <c:pt idx="79">
                  <c:v>499981833484.39429</c:v>
                </c:pt>
                <c:pt idx="80">
                  <c:v>504198708637.94318</c:v>
                </c:pt>
                <c:pt idx="81">
                  <c:v>508376107380.36511</c:v>
                </c:pt>
                <c:pt idx="82">
                  <c:v>512514274159.39532</c:v>
                </c:pt>
                <c:pt idx="83">
                  <c:v>516613448937.13531</c:v>
                </c:pt>
                <c:pt idx="84">
                  <c:v>520673867325.5885</c:v>
                </c:pt>
                <c:pt idx="85">
                  <c:v>524695760716.5235</c:v>
                </c:pt>
                <c:pt idx="86">
                  <c:v>528679356405.98035</c:v>
                </c:pt>
                <c:pt idx="87">
                  <c:v>532624877713.69141</c:v>
                </c:pt>
                <c:pt idx="88">
                  <c:v>536532544097.6825</c:v>
                </c:pt>
                <c:pt idx="89">
                  <c:v>540402571264.30511</c:v>
                </c:pt>
                <c:pt idx="90">
                  <c:v>544235171273.92493</c:v>
                </c:pt>
                <c:pt idx="91">
                  <c:v>548030552642.49371</c:v>
                </c:pt>
                <c:pt idx="92">
                  <c:v>551788920439.19751</c:v>
                </c:pt>
                <c:pt idx="93">
                  <c:v>555510476380.38416</c:v>
                </c:pt>
                <c:pt idx="94">
                  <c:v>559195418919.94299</c:v>
                </c:pt>
                <c:pt idx="95">
                  <c:v>562843943336.31213</c:v>
                </c:pt>
                <c:pt idx="96">
                  <c:v>566456241816.26819</c:v>
                </c:pt>
                <c:pt idx="97">
                  <c:v>570032503535.65747</c:v>
                </c:pt>
                <c:pt idx="98">
                  <c:v>573572914737.20337</c:v>
                </c:pt>
                <c:pt idx="99">
                  <c:v>577077658805.52649</c:v>
                </c:pt>
                <c:pt idx="100">
                  <c:v>580546916339.50964</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241803379.63662833</c:v>
                </c:pt>
                <c:pt idx="1">
                  <c:v>3998349811.1911373</c:v>
                </c:pt>
                <c:pt idx="2">
                  <c:v>7996819693.3213625</c:v>
                </c:pt>
                <c:pt idx="3">
                  <c:v>8463587647.2053003</c:v>
                </c:pt>
                <c:pt idx="4">
                  <c:v>8463860672.0662355</c:v>
                </c:pt>
                <c:pt idx="5">
                  <c:v>8464161922.8861313</c:v>
                </c:pt>
                <c:pt idx="6">
                  <c:v>8464489116.9225035</c:v>
                </c:pt>
                <c:pt idx="7">
                  <c:v>8464840418.5986557</c:v>
                </c:pt>
                <c:pt idx="8">
                  <c:v>8465214322.6472197</c:v>
                </c:pt>
                <c:pt idx="9">
                  <c:v>8465609570.0887146</c:v>
                </c:pt>
                <c:pt idx="10">
                  <c:v>8466025089.6368675</c:v>
                </c:pt>
                <c:pt idx="11">
                  <c:v>8466459956.2842102</c:v>
                </c:pt>
                <c:pt idx="12">
                  <c:v>8466913361.3691368</c:v>
                </c:pt>
                <c:pt idx="13">
                  <c:v>8467384590.4389305</c:v>
                </c:pt>
                <c:pt idx="14">
                  <c:v>8467873006.525178</c:v>
                </c:pt>
                <c:pt idx="15">
                  <c:v>8468378037.2632589</c:v>
                </c:pt>
                <c:pt idx="16">
                  <c:v>8468899164.8012104</c:v>
                </c:pt>
                <c:pt idx="17">
                  <c:v>8469435917.7725859</c:v>
                </c:pt>
                <c:pt idx="18">
                  <c:v>8469987864.8240061</c:v>
                </c:pt>
                <c:pt idx="19">
                  <c:v>8470554609.3326006</c:v>
                </c:pt>
                <c:pt idx="20">
                  <c:v>8471135785.0473557</c:v>
                </c:pt>
                <c:pt idx="21">
                  <c:v>8471731052.4573326</c:v>
                </c:pt>
                <c:pt idx="22">
                  <c:v>8472340095.7384853</c:v>
                </c:pt>
                <c:pt idx="23">
                  <c:v>8472962620.1660805</c:v>
                </c:pt>
                <c:pt idx="24">
                  <c:v>8473598349.9054689</c:v>
                </c:pt>
                <c:pt idx="25">
                  <c:v>8474247026.1130981</c:v>
                </c:pt>
                <c:pt idx="26">
                  <c:v>8474908405.2940331</c:v>
                </c:pt>
                <c:pt idx="27">
                  <c:v>8475582257.8731537</c:v>
                </c:pt>
                <c:pt idx="28">
                  <c:v>8476268366.9456615</c:v>
                </c:pt>
                <c:pt idx="29">
                  <c:v>8476966527.1789913</c:v>
                </c:pt>
                <c:pt idx="30">
                  <c:v>8477676543.8433609</c:v>
                </c:pt>
                <c:pt idx="31">
                  <c:v>8478398231.9522333</c:v>
                </c:pt>
                <c:pt idx="32">
                  <c:v>8479131415.4972191</c:v>
                </c:pt>
                <c:pt idx="33">
                  <c:v>8479875926.7644625</c:v>
                </c:pt>
                <c:pt idx="34">
                  <c:v>8480631605.7217121</c:v>
                </c:pt>
                <c:pt idx="35">
                  <c:v>8481398299.46696</c:v>
                </c:pt>
                <c:pt idx="36">
                  <c:v>8482175861.730937</c:v>
                </c:pt>
                <c:pt idx="37">
                  <c:v>8482964152.4268484</c:v>
                </c:pt>
                <c:pt idx="38">
                  <c:v>8483763037.2417889</c:v>
                </c:pt>
                <c:pt idx="39">
                  <c:v>8484572387.2649889</c:v>
                </c:pt>
                <c:pt idx="40">
                  <c:v>8485392078.6487293</c:v>
                </c:pt>
                <c:pt idx="41">
                  <c:v>8486221992.298316</c:v>
                </c:pt>
                <c:pt idx="42">
                  <c:v>8487062013.5880299</c:v>
                </c:pt>
                <c:pt idx="43">
                  <c:v>8487912032.1002712</c:v>
                </c:pt>
                <c:pt idx="44">
                  <c:v>8488771941.3855743</c:v>
                </c:pt>
                <c:pt idx="45">
                  <c:v>8489641638.7413387</c:v>
                </c:pt>
                <c:pt idx="46">
                  <c:v>8490521025.0074902</c:v>
                </c:pt>
                <c:pt idx="47">
                  <c:v>8491410004.377408</c:v>
                </c:pt>
                <c:pt idx="48">
                  <c:v>8492308484.2227097</c:v>
                </c:pt>
                <c:pt idx="49">
                  <c:v>8493216374.9306011</c:v>
                </c:pt>
                <c:pt idx="50">
                  <c:v>8494133589.7526445</c:v>
                </c:pt>
                <c:pt idx="51">
                  <c:v>8495060044.6639748</c:v>
                </c:pt>
                <c:pt idx="52">
                  <c:v>8495995658.2320147</c:v>
                </c:pt>
                <c:pt idx="53">
                  <c:v>8496940351.4938965</c:v>
                </c:pt>
                <c:pt idx="54">
                  <c:v>8497894047.8418636</c:v>
                </c:pt>
                <c:pt idx="55">
                  <c:v>8498856672.9159937</c:v>
                </c:pt>
                <c:pt idx="56">
                  <c:v>8499828154.5036469</c:v>
                </c:pt>
                <c:pt idx="57">
                  <c:v>8500808422.4451408</c:v>
                </c:pt>
                <c:pt idx="58">
                  <c:v>8501797408.5451012</c:v>
                </c:pt>
                <c:pt idx="59">
                  <c:v>8502795046.4891081</c:v>
                </c:pt>
                <c:pt idx="60">
                  <c:v>8503801271.765254</c:v>
                </c:pt>
                <c:pt idx="61">
                  <c:v>8504816021.5901585</c:v>
                </c:pt>
                <c:pt idx="62">
                  <c:v>8505839234.8392305</c:v>
                </c:pt>
                <c:pt idx="63">
                  <c:v>8506870851.9808054</c:v>
                </c:pt>
                <c:pt idx="64">
                  <c:v>8507910815.013876</c:v>
                </c:pt>
                <c:pt idx="65">
                  <c:v>8508959067.4092245</c:v>
                </c:pt>
                <c:pt idx="66">
                  <c:v>8510015554.0536566</c:v>
                </c:pt>
                <c:pt idx="67">
                  <c:v>8511080221.1971788</c:v>
                </c:pt>
                <c:pt idx="68">
                  <c:v>8512153016.4029093</c:v>
                </c:pt>
                <c:pt idx="69">
                  <c:v>8513233888.4995241</c:v>
                </c:pt>
                <c:pt idx="70">
                  <c:v>8514322787.5360861</c:v>
                </c:pt>
                <c:pt idx="71">
                  <c:v>8515419664.7391453</c:v>
                </c:pt>
                <c:pt idx="72">
                  <c:v>8516524472.4718838</c:v>
                </c:pt>
                <c:pt idx="73">
                  <c:v>8517637164.1952658</c:v>
                </c:pt>
                <c:pt idx="74">
                  <c:v>8518757694.4310102</c:v>
                </c:pt>
                <c:pt idx="75">
                  <c:v>8519886018.7263174</c:v>
                </c:pt>
                <c:pt idx="76">
                  <c:v>8521022093.6201925</c:v>
                </c:pt>
                <c:pt idx="77">
                  <c:v>8522165876.6113462</c:v>
                </c:pt>
                <c:pt idx="78">
                  <c:v>8523317326.1275215</c:v>
                </c:pt>
                <c:pt idx="79">
                  <c:v>8524476401.4961853</c:v>
                </c:pt>
                <c:pt idx="80">
                  <c:v>8525643062.9164953</c:v>
                </c:pt>
                <c:pt idx="81">
                  <c:v>8526817271.4325171</c:v>
                </c:pt>
                <c:pt idx="82">
                  <c:v>8527998988.9075565</c:v>
                </c:pt>
                <c:pt idx="83">
                  <c:v>8529188177.9995899</c:v>
                </c:pt>
                <c:pt idx="84">
                  <c:v>8530384802.1377344</c:v>
                </c:pt>
                <c:pt idx="85">
                  <c:v>8531588825.4996538</c:v>
                </c:pt>
                <c:pt idx="86">
                  <c:v>8532800212.9899483</c:v>
                </c:pt>
                <c:pt idx="87">
                  <c:v>8534018930.2193537</c:v>
                </c:pt>
                <c:pt idx="88">
                  <c:v>8535244943.4848204</c:v>
                </c:pt>
                <c:pt idx="89">
                  <c:v>8536478219.7503414</c:v>
                </c:pt>
                <c:pt idx="90">
                  <c:v>8537718726.6285534</c:v>
                </c:pt>
                <c:pt idx="91">
                  <c:v>8538966432.3630505</c:v>
                </c:pt>
                <c:pt idx="92">
                  <c:v>8540221305.8113546</c:v>
                </c:pt>
                <c:pt idx="93">
                  <c:v>8541483316.428544</c:v>
                </c:pt>
                <c:pt idx="94">
                  <c:v>8542752434.2514887</c:v>
                </c:pt>
                <c:pt idx="95">
                  <c:v>8544028629.883667</c:v>
                </c:pt>
                <c:pt idx="96">
                  <c:v>8545311874.4805508</c:v>
                </c:pt>
                <c:pt idx="97">
                  <c:v>8546602139.735507</c:v>
                </c:pt>
                <c:pt idx="98">
                  <c:v>8547899397.8662004</c:v>
                </c:pt>
                <c:pt idx="99">
                  <c:v>8549203621.6015053</c:v>
                </c:pt>
                <c:pt idx="100">
                  <c:v>8550514784.1688547</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-14000.109298836087</c:v>
                </c:pt>
                <c:pt idx="1">
                  <c:v>-13999.938150427995</c:v>
                </c:pt>
                <c:pt idx="2">
                  <c:v>-13999.756232553031</c:v>
                </c:pt>
                <c:pt idx="3">
                  <c:v>-13999.543382840315</c:v>
                </c:pt>
                <c:pt idx="4">
                  <c:v>-13999.337626698314</c:v>
                </c:pt>
                <c:pt idx="5">
                  <c:v>-13999.140768172738</c:v>
                </c:pt>
                <c:pt idx="6">
                  <c:v>-13998.948376106282</c:v>
                </c:pt>
                <c:pt idx="7">
                  <c:v>-13998.758545275767</c:v>
                </c:pt>
                <c:pt idx="8">
                  <c:v>-13998.570320325764</c:v>
                </c:pt>
                <c:pt idx="9">
                  <c:v>-13998.38316911189</c:v>
                </c:pt>
                <c:pt idx="10">
                  <c:v>-13998.196771573937</c:v>
                </c:pt>
                <c:pt idx="11">
                  <c:v>-13998.010923576207</c:v>
                </c:pt>
                <c:pt idx="12">
                  <c:v>-13997.825488738152</c:v>
                </c:pt>
                <c:pt idx="13">
                  <c:v>-13997.640372451759</c:v>
                </c:pt>
                <c:pt idx="14">
                  <c:v>-13997.4555070099</c:v>
                </c:pt>
                <c:pt idx="15">
                  <c:v>-13997.270842669346</c:v>
                </c:pt>
                <c:pt idx="16">
                  <c:v>-13997.08634205686</c:v>
                </c:pt>
                <c:pt idx="17">
                  <c:v>-13996.901976544372</c:v>
                </c:pt>
                <c:pt idx="18">
                  <c:v>-13996.71772382913</c:v>
                </c:pt>
                <c:pt idx="19">
                  <c:v>-13996.533566275843</c:v>
                </c:pt>
                <c:pt idx="20">
                  <c:v>-13996.349489754617</c:v>
                </c:pt>
                <c:pt idx="21">
                  <c:v>-13996.165482809969</c:v>
                </c:pt>
                <c:pt idx="22">
                  <c:v>-13995.98153605568</c:v>
                </c:pt>
                <c:pt idx="23">
                  <c:v>-13995.797641727013</c:v>
                </c:pt>
                <c:pt idx="24">
                  <c:v>-13995.613793344481</c:v>
                </c:pt>
                <c:pt idx="25">
                  <c:v>-13995.429985458062</c:v>
                </c:pt>
                <c:pt idx="26">
                  <c:v>-13995.246213450169</c:v>
                </c:pt>
                <c:pt idx="27">
                  <c:v>-13995.062473382312</c:v>
                </c:pt>
                <c:pt idx="28">
                  <c:v>-13994.878761874415</c:v>
                </c:pt>
                <c:pt idx="29">
                  <c:v>-13994.695076009084</c:v>
                </c:pt>
                <c:pt idx="30">
                  <c:v>-13994.51141325489</c:v>
                </c:pt>
                <c:pt idx="31">
                  <c:v>-13994.327771404456</c:v>
                </c:pt>
                <c:pt idx="32">
                  <c:v>-13994.144148524127</c:v>
                </c:pt>
                <c:pt idx="33">
                  <c:v>-13993.960542912702</c:v>
                </c:pt>
                <c:pt idx="34">
                  <c:v>-13993.776953067474</c:v>
                </c:pt>
                <c:pt idx="35">
                  <c:v>-13993.593377656032</c:v>
                </c:pt>
                <c:pt idx="36">
                  <c:v>-13993.409815492751</c:v>
                </c:pt>
                <c:pt idx="37">
                  <c:v>-13993.226265519064</c:v>
                </c:pt>
                <c:pt idx="38">
                  <c:v>-13993.042726786874</c:v>
                </c:pt>
                <c:pt idx="39">
                  <c:v>-13992.859198444454</c:v>
                </c:pt>
                <c:pt idx="40">
                  <c:v>-13992.675679724485</c:v>
                </c:pt>
                <c:pt idx="41">
                  <c:v>-13992.492169933841</c:v>
                </c:pt>
                <c:pt idx="42">
                  <c:v>-13992.308668444799</c:v>
                </c:pt>
                <c:pt idx="43">
                  <c:v>-13992.12517468748</c:v>
                </c:pt>
                <c:pt idx="44">
                  <c:v>-13991.941688143341</c:v>
                </c:pt>
                <c:pt idx="45">
                  <c:v>-13991.758208339488</c:v>
                </c:pt>
                <c:pt idx="46">
                  <c:v>-13991.574734843767</c:v>
                </c:pt>
                <c:pt idx="47">
                  <c:v>-13991.391267260435</c:v>
                </c:pt>
                <c:pt idx="48">
                  <c:v>-13991.207805226421</c:v>
                </c:pt>
                <c:pt idx="49">
                  <c:v>-13991.024348407998</c:v>
                </c:pt>
                <c:pt idx="50">
                  <c:v>-13990.840896497877</c:v>
                </c:pt>
                <c:pt idx="51">
                  <c:v>-13990.657449212633</c:v>
                </c:pt>
                <c:pt idx="52">
                  <c:v>-13990.474006290418</c:v>
                </c:pt>
                <c:pt idx="53">
                  <c:v>-13990.290567488953</c:v>
                </c:pt>
                <c:pt idx="54">
                  <c:v>-13990.107132583726</c:v>
                </c:pt>
                <c:pt idx="55">
                  <c:v>-13989.923701366386</c:v>
                </c:pt>
                <c:pt idx="56">
                  <c:v>-13989.740273643316</c:v>
                </c:pt>
                <c:pt idx="57">
                  <c:v>-13989.556849234337</c:v>
                </c:pt>
                <c:pt idx="58">
                  <c:v>-13989.373427971579</c:v>
                </c:pt>
                <c:pt idx="59">
                  <c:v>-13989.190009698428</c:v>
                </c:pt>
                <c:pt idx="60">
                  <c:v>-13989.006594268607</c:v>
                </c:pt>
                <c:pt idx="61">
                  <c:v>-13988.823181545333</c:v>
                </c:pt>
                <c:pt idx="62">
                  <c:v>-13988.639771400549</c:v>
                </c:pt>
                <c:pt idx="63">
                  <c:v>-13988.456363714249</c:v>
                </c:pt>
                <c:pt idx="64">
                  <c:v>-13988.272958373846</c:v>
                </c:pt>
                <c:pt idx="65">
                  <c:v>-13988.089555273613</c:v>
                </c:pt>
                <c:pt idx="66">
                  <c:v>-13987.906154314152</c:v>
                </c:pt>
                <c:pt idx="67">
                  <c:v>-13987.722755401954</c:v>
                </c:pt>
                <c:pt idx="68">
                  <c:v>-13987.539358448941</c:v>
                </c:pt>
                <c:pt idx="69">
                  <c:v>-13987.355963372094</c:v>
                </c:pt>
                <c:pt idx="70">
                  <c:v>-13987.172570093077</c:v>
                </c:pt>
                <c:pt idx="71">
                  <c:v>-13986.989178537933</c:v>
                </c:pt>
                <c:pt idx="72">
                  <c:v>-13986.805788636768</c:v>
                </c:pt>
                <c:pt idx="73">
                  <c:v>-13986.622400323477</c:v>
                </c:pt>
                <c:pt idx="74">
                  <c:v>-13986.439013535486</c:v>
                </c:pt>
                <c:pt idx="75">
                  <c:v>-13986.255628213534</c:v>
                </c:pt>
                <c:pt idx="76">
                  <c:v>-13986.072244301438</c:v>
                </c:pt>
                <c:pt idx="77">
                  <c:v>-13985.888861745909</c:v>
                </c:pt>
                <c:pt idx="78">
                  <c:v>-13985.705480496363</c:v>
                </c:pt>
                <c:pt idx="79">
                  <c:v>-13985.522100504748</c:v>
                </c:pt>
                <c:pt idx="80">
                  <c:v>-13985.338721725391</c:v>
                </c:pt>
                <c:pt idx="81">
                  <c:v>-13985.155344114859</c:v>
                </c:pt>
                <c:pt idx="82">
                  <c:v>-13984.971967631807</c:v>
                </c:pt>
                <c:pt idx="83">
                  <c:v>-13984.788592236866</c:v>
                </c:pt>
                <c:pt idx="84">
                  <c:v>-13984.605217892533</c:v>
                </c:pt>
                <c:pt idx="85">
                  <c:v>-13984.421844563039</c:v>
                </c:pt>
                <c:pt idx="86">
                  <c:v>-13984.238472214276</c:v>
                </c:pt>
                <c:pt idx="87">
                  <c:v>-13984.055100813675</c:v>
                </c:pt>
                <c:pt idx="88">
                  <c:v>-13983.871730330155</c:v>
                </c:pt>
                <c:pt idx="89">
                  <c:v>-13983.688360734001</c:v>
                </c:pt>
                <c:pt idx="90">
                  <c:v>-13983.504991996811</c:v>
                </c:pt>
                <c:pt idx="91">
                  <c:v>-13983.321624091433</c:v>
                </c:pt>
                <c:pt idx="92">
                  <c:v>-13983.138256991868</c:v>
                </c:pt>
                <c:pt idx="93">
                  <c:v>-13982.954890673242</c:v>
                </c:pt>
                <c:pt idx="94">
                  <c:v>-13982.771525111715</c:v>
                </c:pt>
                <c:pt idx="95">
                  <c:v>-13982.588160284464</c:v>
                </c:pt>
                <c:pt idx="96">
                  <c:v>-13982.404796169592</c:v>
                </c:pt>
                <c:pt idx="97">
                  <c:v>-13982.22143274611</c:v>
                </c:pt>
                <c:pt idx="98">
                  <c:v>-13982.038069993872</c:v>
                </c:pt>
                <c:pt idx="99">
                  <c:v>-13981.854707893544</c:v>
                </c:pt>
                <c:pt idx="100">
                  <c:v>-13981.67134642657</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de-DE"/>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de-DE"/>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de-DE"/>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de-DE"/>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20</c:v>
                </c:pt>
                <c:pt idx="1">
                  <c:v>20.079999999999998</c:v>
                </c:pt>
                <c:pt idx="2">
                  <c:v>20.16</c:v>
                </c:pt>
                <c:pt idx="3">
                  <c:v>20.239999999999998</c:v>
                </c:pt>
                <c:pt idx="4">
                  <c:v>20.32</c:v>
                </c:pt>
                <c:pt idx="5">
                  <c:v>20.399999999999999</c:v>
                </c:pt>
                <c:pt idx="6">
                  <c:v>20.48</c:v>
                </c:pt>
                <c:pt idx="7">
                  <c:v>20.56</c:v>
                </c:pt>
                <c:pt idx="8">
                  <c:v>20.64</c:v>
                </c:pt>
                <c:pt idx="9">
                  <c:v>20.72</c:v>
                </c:pt>
                <c:pt idx="10">
                  <c:v>20.8</c:v>
                </c:pt>
                <c:pt idx="11">
                  <c:v>20.88</c:v>
                </c:pt>
                <c:pt idx="12">
                  <c:v>20.96</c:v>
                </c:pt>
                <c:pt idx="13">
                  <c:v>21.04</c:v>
                </c:pt>
                <c:pt idx="14">
                  <c:v>21.12</c:v>
                </c:pt>
                <c:pt idx="15">
                  <c:v>21.2</c:v>
                </c:pt>
                <c:pt idx="16">
                  <c:v>21.28</c:v>
                </c:pt>
                <c:pt idx="17">
                  <c:v>21.36</c:v>
                </c:pt>
                <c:pt idx="18">
                  <c:v>21.44</c:v>
                </c:pt>
                <c:pt idx="19">
                  <c:v>21.52</c:v>
                </c:pt>
                <c:pt idx="20">
                  <c:v>21.6</c:v>
                </c:pt>
                <c:pt idx="21">
                  <c:v>21.68</c:v>
                </c:pt>
                <c:pt idx="22">
                  <c:v>21.76</c:v>
                </c:pt>
                <c:pt idx="23">
                  <c:v>21.84</c:v>
                </c:pt>
                <c:pt idx="24">
                  <c:v>21.92</c:v>
                </c:pt>
                <c:pt idx="25">
                  <c:v>22</c:v>
                </c:pt>
                <c:pt idx="26">
                  <c:v>22.08</c:v>
                </c:pt>
                <c:pt idx="27">
                  <c:v>22.16</c:v>
                </c:pt>
                <c:pt idx="28">
                  <c:v>22.240000000000002</c:v>
                </c:pt>
                <c:pt idx="29">
                  <c:v>22.32</c:v>
                </c:pt>
                <c:pt idx="30">
                  <c:v>22.4</c:v>
                </c:pt>
                <c:pt idx="31">
                  <c:v>22.48</c:v>
                </c:pt>
                <c:pt idx="32">
                  <c:v>22.56</c:v>
                </c:pt>
                <c:pt idx="33">
                  <c:v>22.64</c:v>
                </c:pt>
                <c:pt idx="34">
                  <c:v>22.72</c:v>
                </c:pt>
                <c:pt idx="35">
                  <c:v>22.8</c:v>
                </c:pt>
                <c:pt idx="36">
                  <c:v>22.88</c:v>
                </c:pt>
                <c:pt idx="37">
                  <c:v>22.96</c:v>
                </c:pt>
                <c:pt idx="38">
                  <c:v>23.04</c:v>
                </c:pt>
                <c:pt idx="39">
                  <c:v>23.12</c:v>
                </c:pt>
                <c:pt idx="40">
                  <c:v>23.2</c:v>
                </c:pt>
                <c:pt idx="41">
                  <c:v>23.28</c:v>
                </c:pt>
                <c:pt idx="42">
                  <c:v>23.36</c:v>
                </c:pt>
                <c:pt idx="43">
                  <c:v>23.44</c:v>
                </c:pt>
                <c:pt idx="44">
                  <c:v>23.52</c:v>
                </c:pt>
                <c:pt idx="45">
                  <c:v>23.6</c:v>
                </c:pt>
                <c:pt idx="46">
                  <c:v>23.68</c:v>
                </c:pt>
                <c:pt idx="47">
                  <c:v>23.759999999999998</c:v>
                </c:pt>
                <c:pt idx="48">
                  <c:v>23.84</c:v>
                </c:pt>
                <c:pt idx="49">
                  <c:v>23.92</c:v>
                </c:pt>
                <c:pt idx="50">
                  <c:v>24</c:v>
                </c:pt>
                <c:pt idx="51">
                  <c:v>24.08</c:v>
                </c:pt>
                <c:pt idx="52">
                  <c:v>24.16</c:v>
                </c:pt>
                <c:pt idx="53">
                  <c:v>24.240000000000002</c:v>
                </c:pt>
                <c:pt idx="54">
                  <c:v>24.32</c:v>
                </c:pt>
                <c:pt idx="55">
                  <c:v>24.4</c:v>
                </c:pt>
                <c:pt idx="56">
                  <c:v>24.48</c:v>
                </c:pt>
                <c:pt idx="57">
                  <c:v>24.56</c:v>
                </c:pt>
                <c:pt idx="58">
                  <c:v>24.64</c:v>
                </c:pt>
                <c:pt idx="59">
                  <c:v>24.72</c:v>
                </c:pt>
                <c:pt idx="60">
                  <c:v>24.8</c:v>
                </c:pt>
                <c:pt idx="61">
                  <c:v>24.88</c:v>
                </c:pt>
                <c:pt idx="62">
                  <c:v>24.96</c:v>
                </c:pt>
                <c:pt idx="63">
                  <c:v>25.04</c:v>
                </c:pt>
                <c:pt idx="64">
                  <c:v>25.12</c:v>
                </c:pt>
                <c:pt idx="65">
                  <c:v>25.2</c:v>
                </c:pt>
                <c:pt idx="66">
                  <c:v>25.28</c:v>
                </c:pt>
                <c:pt idx="67">
                  <c:v>25.36</c:v>
                </c:pt>
                <c:pt idx="68">
                  <c:v>25.44</c:v>
                </c:pt>
                <c:pt idx="69">
                  <c:v>25.52</c:v>
                </c:pt>
                <c:pt idx="70">
                  <c:v>25.6</c:v>
                </c:pt>
                <c:pt idx="71">
                  <c:v>25.68</c:v>
                </c:pt>
                <c:pt idx="72">
                  <c:v>25.759999999999998</c:v>
                </c:pt>
                <c:pt idx="73">
                  <c:v>25.84</c:v>
                </c:pt>
                <c:pt idx="74">
                  <c:v>25.92</c:v>
                </c:pt>
                <c:pt idx="75">
                  <c:v>26</c:v>
                </c:pt>
                <c:pt idx="76">
                  <c:v>26.08</c:v>
                </c:pt>
                <c:pt idx="77">
                  <c:v>26.16</c:v>
                </c:pt>
                <c:pt idx="78">
                  <c:v>26.240000000000002</c:v>
                </c:pt>
                <c:pt idx="79">
                  <c:v>26.32</c:v>
                </c:pt>
                <c:pt idx="80">
                  <c:v>26.4</c:v>
                </c:pt>
                <c:pt idx="81">
                  <c:v>26.48</c:v>
                </c:pt>
                <c:pt idx="82">
                  <c:v>26.56</c:v>
                </c:pt>
                <c:pt idx="83">
                  <c:v>26.64</c:v>
                </c:pt>
                <c:pt idx="84">
                  <c:v>26.72</c:v>
                </c:pt>
                <c:pt idx="85">
                  <c:v>26.8</c:v>
                </c:pt>
                <c:pt idx="86">
                  <c:v>26.88</c:v>
                </c:pt>
                <c:pt idx="87">
                  <c:v>26.96</c:v>
                </c:pt>
                <c:pt idx="88">
                  <c:v>27.04</c:v>
                </c:pt>
                <c:pt idx="89">
                  <c:v>27.12</c:v>
                </c:pt>
                <c:pt idx="90">
                  <c:v>27.2</c:v>
                </c:pt>
                <c:pt idx="91">
                  <c:v>27.28</c:v>
                </c:pt>
                <c:pt idx="92">
                  <c:v>27.36</c:v>
                </c:pt>
                <c:pt idx="93">
                  <c:v>27.44</c:v>
                </c:pt>
                <c:pt idx="94">
                  <c:v>27.52</c:v>
                </c:pt>
                <c:pt idx="95">
                  <c:v>27.6</c:v>
                </c:pt>
                <c:pt idx="96">
                  <c:v>27.68</c:v>
                </c:pt>
                <c:pt idx="97">
                  <c:v>27.759999999999998</c:v>
                </c:pt>
                <c:pt idx="98">
                  <c:v>27.84</c:v>
                </c:pt>
                <c:pt idx="99">
                  <c:v>27.92</c:v>
                </c:pt>
                <c:pt idx="100">
                  <c:v>28</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de-DE"/>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de-DE"/>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de-DE"/>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de-DE"/>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de-DE"/>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de-DE"/>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de-DE"/>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de-DE"/>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de-DE"/>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de-DE"/>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de-DE"/>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de-DE"/>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de-DE"/>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de-DE"/>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de-DE"/>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de-DE"/>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de-DE"/>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de-DE"/>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de-DE"/>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de-DE"/>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de-DE"/>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de-DE"/>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de-DE"/>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de-DE"/>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de-DE"/>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de-DE"/>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de-DE"/>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2.2500000000000003E-3</c:v>
                </c:pt>
                <c:pt idx="1">
                  <c:v>8.4555555555555582E-3</c:v>
                </c:pt>
                <c:pt idx="2">
                  <c:v>1.6911111111111116E-2</c:v>
                </c:pt>
                <c:pt idx="3">
                  <c:v>2.5366666666666676E-2</c:v>
                </c:pt>
                <c:pt idx="4">
                  <c:v>3.3822222222222233E-2</c:v>
                </c:pt>
                <c:pt idx="5">
                  <c:v>4.2277777777777803E-2</c:v>
                </c:pt>
                <c:pt idx="6">
                  <c:v>5.0733333333333352E-2</c:v>
                </c:pt>
                <c:pt idx="7">
                  <c:v>5.9252184720371928E-2</c:v>
                </c:pt>
                <c:pt idx="8">
                  <c:v>7.0231100001405408E-2</c:v>
                </c:pt>
                <c:pt idx="9">
                  <c:v>7.449133059177647E-2</c:v>
                </c:pt>
                <c:pt idx="10">
                  <c:v>7.8520756868864033E-2</c:v>
                </c:pt>
                <c:pt idx="11">
                  <c:v>8.2353264569081805E-2</c:v>
                </c:pt>
                <c:pt idx="12">
                  <c:v>8.6015179538911107E-2</c:v>
                </c:pt>
                <c:pt idx="13">
                  <c:v>8.9527437342063101E-2</c:v>
                </c:pt>
                <c:pt idx="14">
                  <c:v>9.2907012453113377E-2</c:v>
                </c:pt>
                <c:pt idx="15">
                  <c:v>9.6167894272927101E-2</c:v>
                </c:pt>
                <c:pt idx="16">
                  <c:v>9.9321774122368645E-2</c:v>
                </c:pt>
                <c:pt idx="17">
                  <c:v>0.10237854140756616</c:v>
                </c:pt>
                <c:pt idx="18">
                  <c:v>0.10534665000210811</c:v>
                </c:pt>
                <c:pt idx="19">
                  <c:v>0.1082333940731445</c:v>
                </c:pt>
                <c:pt idx="20">
                  <c:v>0.11104511929174789</c:v>
                </c:pt>
                <c:pt idx="21">
                  <c:v>0.1137873870182651</c:v>
                </c:pt>
                <c:pt idx="22">
                  <c:v>0.11646510365929519</c:v>
                </c:pt>
                <c:pt idx="23">
                  <c:v>0.11908262382185027</c:v>
                </c:pt>
                <c:pt idx="24">
                  <c:v>0.1216438334738848</c:v>
                </c:pt>
                <c:pt idx="25">
                  <c:v>0.12415221765296078</c:v>
                </c:pt>
                <c:pt idx="26">
                  <c:v>0.12661091609365313</c:v>
                </c:pt>
                <c:pt idx="27">
                  <c:v>0.12902276930836665</c:v>
                </c:pt>
                <c:pt idx="28">
                  <c:v>0.13139035705075899</c:v>
                </c:pt>
                <c:pt idx="29">
                  <c:v>0.13371603064648552</c:v>
                </c:pt>
                <c:pt idx="30">
                  <c:v>0.13600194034563545</c:v>
                </c:pt>
                <c:pt idx="31">
                  <c:v>0.13825005860289427</c:v>
                </c:pt>
                <c:pt idx="32">
                  <c:v>0.14046220000281082</c:v>
                </c:pt>
                <c:pt idx="33">
                  <c:v>0.14264003840281156</c:v>
                </c:pt>
                <c:pt idx="34">
                  <c:v>0.1447851217545556</c:v>
                </c:pt>
                <c:pt idx="35">
                  <c:v>0.1468988849767329</c:v>
                </c:pt>
                <c:pt idx="36">
                  <c:v>0.14898266118355294</c:v>
                </c:pt>
                <c:pt idx="37">
                  <c:v>0.1510376915185718</c:v>
                </c:pt>
                <c:pt idx="38">
                  <c:v>0.15306513379991277</c:v>
                </c:pt>
                <c:pt idx="39">
                  <c:v>0.1550660701478925</c:v>
                </c:pt>
                <c:pt idx="40">
                  <c:v>0.15704151373772807</c:v>
                </c:pt>
                <c:pt idx="41">
                  <c:v>0.15899241479694232</c:v>
                </c:pt>
                <c:pt idx="42">
                  <c:v>0.16091966594822674</c:v>
                </c:pt>
                <c:pt idx="43">
                  <c:v>0.16282410698301039</c:v>
                </c:pt>
                <c:pt idx="44">
                  <c:v>0.16470652913816361</c:v>
                </c:pt>
                <c:pt idx="45">
                  <c:v>0.16656767893762184</c:v>
                </c:pt>
                <c:pt idx="46">
                  <c:v>0.16840826165183403</c:v>
                </c:pt>
                <c:pt idx="47">
                  <c:v>0.17022894442050246</c:v>
                </c:pt>
                <c:pt idx="48">
                  <c:v>0.17203035907782221</c:v>
                </c:pt>
                <c:pt idx="49">
                  <c:v>0.1738131047141451</c:v>
                </c:pt>
                <c:pt idx="50">
                  <c:v>0.17557775000351356</c:v>
                </c:pt>
                <c:pt idx="51">
                  <c:v>0.17732483532269874</c:v>
                </c:pt>
                <c:pt idx="52">
                  <c:v>0.1790548746841262</c:v>
                </c:pt>
                <c:pt idx="53">
                  <c:v>0.18076835750228543</c:v>
                </c:pt>
                <c:pt idx="54">
                  <c:v>0.18246575021082723</c:v>
                </c:pt>
                <c:pt idx="55">
                  <c:v>0.18414749774549186</c:v>
                </c:pt>
                <c:pt idx="56">
                  <c:v>0.18581402490622675</c:v>
                </c:pt>
                <c:pt idx="57">
                  <c:v>0.18746573761031049</c:v>
                </c:pt>
                <c:pt idx="58">
                  <c:v>0.18910302404695623</c:v>
                </c:pt>
                <c:pt idx="59">
                  <c:v>0.19072625574269952</c:v>
                </c:pt>
                <c:pt idx="60">
                  <c:v>0.1923357885458542</c:v>
                </c:pt>
                <c:pt idx="61">
                  <c:v>0.19393196353742589</c:v>
                </c:pt>
                <c:pt idx="62">
                  <c:v>0.1955151078750883</c:v>
                </c:pt>
                <c:pt idx="63">
                  <c:v>0.19708553557613848</c:v>
                </c:pt>
                <c:pt idx="64">
                  <c:v>0.19864354824473729</c:v>
                </c:pt>
                <c:pt idx="65">
                  <c:v>0.20018943574820622</c:v>
                </c:pt>
                <c:pt idx="66">
                  <c:v>0.20172347684667524</c:v>
                </c:pt>
                <c:pt idx="67">
                  <c:v>0.20324593977995489</c:v>
                </c:pt>
                <c:pt idx="68">
                  <c:v>0.20475708281513233</c:v>
                </c:pt>
                <c:pt idx="69">
                  <c:v>0.20625715475805653</c:v>
                </c:pt>
                <c:pt idx="70">
                  <c:v>0.20774639543158099</c:v>
                </c:pt>
                <c:pt idx="71">
                  <c:v>0.20922503612316748</c:v>
                </c:pt>
                <c:pt idx="72">
                  <c:v>0.21069330000421621</c:v>
                </c:pt>
                <c:pt idx="73">
                  <c:v>0.21215140252327488</c:v>
                </c:pt>
                <c:pt idx="74">
                  <c:v>0.21359955177508805</c:v>
                </c:pt>
                <c:pt idx="75">
                  <c:v>0.21503794884727775</c:v>
                </c:pt>
                <c:pt idx="76">
                  <c:v>0.216466788146289</c:v>
                </c:pt>
                <c:pt idx="77">
                  <c:v>0.21788625770409731</c:v>
                </c:pt>
                <c:pt idx="78">
                  <c:v>0.21929653946704727</c:v>
                </c:pt>
                <c:pt idx="79">
                  <c:v>0.22069780956807919</c:v>
                </c:pt>
                <c:pt idx="80">
                  <c:v>0.22209023858349577</c:v>
                </c:pt>
                <c:pt idx="81">
                  <c:v>0.22347399177532942</c:v>
                </c:pt>
                <c:pt idx="82">
                  <c:v>0.22484922932028459</c:v>
                </c:pt>
                <c:pt idx="83">
                  <c:v>0.22621610652615312</c:v>
                </c:pt>
                <c:pt idx="84">
                  <c:v>0.2275747740365302</c:v>
                </c:pt>
                <c:pt idx="85">
                  <c:v>0.22892537802459495</c:v>
                </c:pt>
                <c:pt idx="86">
                  <c:v>0.23026806037666106</c:v>
                </c:pt>
                <c:pt idx="87">
                  <c:v>0.23160295886614995</c:v>
                </c:pt>
                <c:pt idx="88">
                  <c:v>0.23293020731859038</c:v>
                </c:pt>
                <c:pt idx="89">
                  <c:v>0.23424993576820338</c:v>
                </c:pt>
                <c:pt idx="90">
                  <c:v>0.2355622706065921</c:v>
                </c:pt>
                <c:pt idx="91">
                  <c:v>0.23686733472401647</c:v>
                </c:pt>
                <c:pt idx="92">
                  <c:v>0.23816524764370053</c:v>
                </c:pt>
                <c:pt idx="93">
                  <c:v>0.23945612564958765</c:v>
                </c:pt>
                <c:pt idx="94">
                  <c:v>0.24074008190793036</c:v>
                </c:pt>
                <c:pt idx="95">
                  <c:v>0.24201722658307392</c:v>
                </c:pt>
                <c:pt idx="96">
                  <c:v>0.2432876669477696</c:v>
                </c:pt>
                <c:pt idx="97">
                  <c:v>0.24455150748833016</c:v>
                </c:pt>
                <c:pt idx="98">
                  <c:v>0.24580885000491898</c:v>
                </c:pt>
                <c:pt idx="99">
                  <c:v>0.24705979370724548</c:v>
                </c:pt>
                <c:pt idx="100">
                  <c:v>0.24830443530592156</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2.7000000000000001E-3</c:v>
                </c:pt>
                <c:pt idx="1">
                  <c:v>1.014666666666667E-2</c:v>
                </c:pt>
                <c:pt idx="2">
                  <c:v>2.029333333333334E-2</c:v>
                </c:pt>
                <c:pt idx="3">
                  <c:v>3.0440000000000012E-2</c:v>
                </c:pt>
                <c:pt idx="4">
                  <c:v>4.0586666666666681E-2</c:v>
                </c:pt>
                <c:pt idx="5">
                  <c:v>5.0733333333333366E-2</c:v>
                </c:pt>
                <c:pt idx="6">
                  <c:v>6.0880000000000024E-2</c:v>
                </c:pt>
                <c:pt idx="7">
                  <c:v>7.1026666666666696E-2</c:v>
                </c:pt>
                <c:pt idx="8">
                  <c:v>7.9952485890058489E-2</c:v>
                </c:pt>
                <c:pt idx="9">
                  <c:v>8.4802417418373174E-2</c:v>
                </c:pt>
                <c:pt idx="10">
                  <c:v>8.9389596710131761E-2</c:v>
                </c:pt>
                <c:pt idx="11">
                  <c:v>9.375259996394765E-2</c:v>
                </c:pt>
                <c:pt idx="12">
                  <c:v>9.7921397048857509E-2</c:v>
                </c:pt>
                <c:pt idx="13">
                  <c:v>0.10191982142841501</c:v>
                </c:pt>
                <c:pt idx="14">
                  <c:v>0.10576719718324773</c:v>
                </c:pt>
                <c:pt idx="15">
                  <c:v>0.10947945012649635</c:v>
                </c:pt>
                <c:pt idx="16">
                  <c:v>0.11306988989116422</c:v>
                </c:pt>
                <c:pt idx="17">
                  <c:v>0.11654977477455716</c:v>
                </c:pt>
                <c:pt idx="18">
                  <c:v>0.11992872883508771</c:v>
                </c:pt>
                <c:pt idx="19">
                  <c:v>0.12321505589821401</c:v>
                </c:pt>
                <c:pt idx="20">
                  <c:v>0.12641598000252974</c:v>
                </c:pt>
                <c:pt idx="21">
                  <c:v>0.12953783231164553</c:v>
                </c:pt>
                <c:pt idx="22">
                  <c:v>0.13258619837675412</c:v>
                </c:pt>
                <c:pt idx="23">
                  <c:v>0.13556603556938593</c:v>
                </c:pt>
                <c:pt idx="24">
                  <c:v>0.13848176775301507</c:v>
                </c:pt>
                <c:pt idx="25">
                  <c:v>0.14133736236395528</c:v>
                </c:pt>
                <c:pt idx="26">
                  <c:v>0.14413639373870848</c:v>
                </c:pt>
                <c:pt idx="27">
                  <c:v>0.14688209557328627</c:v>
                </c:pt>
                <c:pt idx="28">
                  <c:v>0.14957740471073833</c:v>
                </c:pt>
                <c:pt idx="29">
                  <c:v>0.15222499794711772</c:v>
                </c:pt>
                <c:pt idx="30">
                  <c:v>0.15482732317004</c:v>
                </c:pt>
                <c:pt idx="31">
                  <c:v>0.15738662586128468</c:v>
                </c:pt>
                <c:pt idx="32">
                  <c:v>0.15990497178011698</c:v>
                </c:pt>
                <c:pt idx="33">
                  <c:v>0.16238426647923745</c:v>
                </c:pt>
                <c:pt idx="34">
                  <c:v>0.16482627217770837</c:v>
                </c:pt>
                <c:pt idx="35">
                  <c:v>0.16723262241560408</c:v>
                </c:pt>
                <c:pt idx="36">
                  <c:v>0.16960483483674635</c:v>
                </c:pt>
                <c:pt idx="37">
                  <c:v>0.17194432238372978</c:v>
                </c:pt>
                <c:pt idx="38">
                  <c:v>0.17425240313981324</c:v>
                </c:pt>
                <c:pt idx="39">
                  <c:v>0.17653030901236197</c:v>
                </c:pt>
                <c:pt idx="40">
                  <c:v>0.17877919342026352</c:v>
                </c:pt>
                <c:pt idx="41">
                  <c:v>0.18100013812149429</c:v>
                </c:pt>
                <c:pt idx="42">
                  <c:v>0.18319415929554089</c:v>
                </c:pt>
                <c:pt idx="43">
                  <c:v>0.18536221297772637</c:v>
                </c:pt>
                <c:pt idx="44">
                  <c:v>0.1875051999278953</c:v>
                </c:pt>
                <c:pt idx="45">
                  <c:v>0.18962397000379466</c:v>
                </c:pt>
                <c:pt idx="46">
                  <c:v>0.19171932609937892</c:v>
                </c:pt>
                <c:pt idx="47">
                  <c:v>0.19379202769979989</c:v>
                </c:pt>
                <c:pt idx="48">
                  <c:v>0.19584279409771502</c:v>
                </c:pt>
                <c:pt idx="49">
                  <c:v>0.19787230730953742</c:v>
                </c:pt>
                <c:pt idx="50">
                  <c:v>0.19988121472514622</c:v>
                </c:pt>
                <c:pt idx="51">
                  <c:v>0.20187013152024247</c:v>
                </c:pt>
                <c:pt idx="52">
                  <c:v>0.20383964285683001</c:v>
                </c:pt>
                <c:pt idx="53">
                  <c:v>0.20579030589413097</c:v>
                </c:pt>
                <c:pt idx="54">
                  <c:v>0.20772265162952261</c:v>
                </c:pt>
                <c:pt idx="55">
                  <c:v>0.20963718658673131</c:v>
                </c:pt>
                <c:pt idx="56">
                  <c:v>0.21153439436649546</c:v>
                </c:pt>
                <c:pt idx="57">
                  <c:v>0.21341473707314593</c:v>
                </c:pt>
                <c:pt idx="58">
                  <c:v>0.21527865662903045</c:v>
                </c:pt>
                <c:pt idx="59">
                  <c:v>0.21712657598737192</c:v>
                </c:pt>
                <c:pt idx="60">
                  <c:v>0.21895890025299269</c:v>
                </c:pt>
                <c:pt idx="61">
                  <c:v>0.2207760177193166</c:v>
                </c:pt>
                <c:pt idx="62">
                  <c:v>0.22257830082916885</c:v>
                </c:pt>
                <c:pt idx="63">
                  <c:v>0.22436610706610749</c:v>
                </c:pt>
                <c:pt idx="64">
                  <c:v>0.22613977978232844</c:v>
                </c:pt>
                <c:pt idx="65">
                  <c:v>0.22789964896857565</c:v>
                </c:pt>
                <c:pt idx="66">
                  <c:v>0.22964603197094438</c:v>
                </c:pt>
                <c:pt idx="67">
                  <c:v>0.23137923415898848</c:v>
                </c:pt>
                <c:pt idx="68">
                  <c:v>0.23309954954911433</c:v>
                </c:pt>
                <c:pt idx="69">
                  <c:v>0.23480726138686595</c:v>
                </c:pt>
                <c:pt idx="70">
                  <c:v>0.23650264269136617</c:v>
                </c:pt>
                <c:pt idx="71">
                  <c:v>0.2381859567648773</c:v>
                </c:pt>
                <c:pt idx="72">
                  <c:v>0.23985745767017541</c:v>
                </c:pt>
                <c:pt idx="73">
                  <c:v>0.24151739067818698</c:v>
                </c:pt>
                <c:pt idx="74">
                  <c:v>0.24316599268812236</c:v>
                </c:pt>
                <c:pt idx="75">
                  <c:v>0.24480349262214382</c:v>
                </c:pt>
                <c:pt idx="76">
                  <c:v>0.24643011179642801</c:v>
                </c:pt>
                <c:pt idx="77">
                  <c:v>0.24804606427032863</c:v>
                </c:pt>
                <c:pt idx="78">
                  <c:v>0.24965155717519569</c:v>
                </c:pt>
                <c:pt idx="79">
                  <c:v>0.2512467910242836</c:v>
                </c:pt>
                <c:pt idx="80">
                  <c:v>0.25283196000505948</c:v>
                </c:pt>
                <c:pt idx="81">
                  <c:v>0.25440725225511951</c:v>
                </c:pt>
                <c:pt idx="82">
                  <c:v>0.25597285012282067</c:v>
                </c:pt>
                <c:pt idx="83">
                  <c:v>0.25752893041365277</c:v>
                </c:pt>
                <c:pt idx="84">
                  <c:v>0.25907566462329107</c:v>
                </c:pt>
                <c:pt idx="85">
                  <c:v>0.26061321915820007</c:v>
                </c:pt>
                <c:pt idx="86">
                  <c:v>0.26214175554459079</c:v>
                </c:pt>
                <c:pt idx="87">
                  <c:v>0.26366143062647596</c:v>
                </c:pt>
                <c:pt idx="88">
                  <c:v>0.26517239675350823</c:v>
                </c:pt>
                <c:pt idx="89">
                  <c:v>0.26667480195924026</c:v>
                </c:pt>
                <c:pt idx="90">
                  <c:v>0.2681687901303953</c:v>
                </c:pt>
                <c:pt idx="91">
                  <c:v>0.26965450116769796</c:v>
                </c:pt>
                <c:pt idx="92">
                  <c:v>0.27113207113877186</c:v>
                </c:pt>
                <c:pt idx="93">
                  <c:v>0.27260163242357882</c:v>
                </c:pt>
                <c:pt idx="94">
                  <c:v>0.2740633138528395</c:v>
                </c:pt>
                <c:pt idx="95">
                  <c:v>0.27551724083984286</c:v>
                </c:pt>
                <c:pt idx="96">
                  <c:v>0.27696353550603015</c:v>
                </c:pt>
                <c:pt idx="97">
                  <c:v>0.27840231680070476</c:v>
                </c:pt>
                <c:pt idx="98">
                  <c:v>0.27983370061520468</c:v>
                </c:pt>
                <c:pt idx="99">
                  <c:v>0.28125779989184302</c:v>
                </c:pt>
                <c:pt idx="100">
                  <c:v>0.28267472472791055</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1.9285714285714288E-3</c:v>
                </c:pt>
                <c:pt idx="1">
                  <c:v>7.2476190476190505E-3</c:v>
                </c:pt>
                <c:pt idx="2">
                  <c:v>1.4495238095238101E-2</c:v>
                </c:pt>
                <c:pt idx="3">
                  <c:v>2.1742857142857154E-2</c:v>
                </c:pt>
                <c:pt idx="4">
                  <c:v>2.8990476190476202E-2</c:v>
                </c:pt>
                <c:pt idx="5">
                  <c:v>3.6238095238095264E-2</c:v>
                </c:pt>
                <c:pt idx="6">
                  <c:v>4.3485714285714308E-2</c:v>
                </c:pt>
                <c:pt idx="7">
                  <c:v>5.0733333333333352E-2</c:v>
                </c:pt>
                <c:pt idx="8">
                  <c:v>5.7108918492898911E-2</c:v>
                </c:pt>
                <c:pt idx="9">
                  <c:v>6.0573155298837972E-2</c:v>
                </c:pt>
                <c:pt idx="10">
                  <c:v>6.3849711935808406E-2</c:v>
                </c:pt>
                <c:pt idx="11">
                  <c:v>6.6966142831391184E-2</c:v>
                </c:pt>
                <c:pt idx="12">
                  <c:v>6.9943855034898222E-2</c:v>
                </c:pt>
                <c:pt idx="13">
                  <c:v>7.2799872448867861E-2</c:v>
                </c:pt>
                <c:pt idx="14">
                  <c:v>7.5547997988034077E-2</c:v>
                </c:pt>
                <c:pt idx="15">
                  <c:v>7.8199607233211677E-2</c:v>
                </c:pt>
                <c:pt idx="16">
                  <c:v>8.0764207065117305E-2</c:v>
                </c:pt>
                <c:pt idx="17">
                  <c:v>8.3249839124683686E-2</c:v>
                </c:pt>
                <c:pt idx="18">
                  <c:v>8.5663377739348373E-2</c:v>
                </c:pt>
                <c:pt idx="19">
                  <c:v>8.8010754213010023E-2</c:v>
                </c:pt>
                <c:pt idx="20">
                  <c:v>9.0297128573235533E-2</c:v>
                </c:pt>
                <c:pt idx="21">
                  <c:v>9.252702307974682E-2</c:v>
                </c:pt>
                <c:pt idx="22">
                  <c:v>9.4704427411967218E-2</c:v>
                </c:pt>
                <c:pt idx="23">
                  <c:v>9.6832882549561364E-2</c:v>
                </c:pt>
                <c:pt idx="24">
                  <c:v>9.8915548395010766E-2</c:v>
                </c:pt>
                <c:pt idx="25">
                  <c:v>0.10095525883139662</c:v>
                </c:pt>
                <c:pt idx="26">
                  <c:v>0.10295456695622035</c:v>
                </c:pt>
                <c:pt idx="27">
                  <c:v>0.10491578255234733</c:v>
                </c:pt>
                <c:pt idx="28">
                  <c:v>0.10684100336481307</c:v>
                </c:pt>
                <c:pt idx="29">
                  <c:v>0.10873214139079837</c:v>
                </c:pt>
                <c:pt idx="30">
                  <c:v>0.11059094512145715</c:v>
                </c:pt>
                <c:pt idx="31">
                  <c:v>0.11241901847234619</c:v>
                </c:pt>
                <c:pt idx="32">
                  <c:v>0.11421783698579782</c:v>
                </c:pt>
                <c:pt idx="33">
                  <c:v>0.11598876177088391</c:v>
                </c:pt>
                <c:pt idx="34">
                  <c:v>0.11773305155550598</c:v>
                </c:pt>
                <c:pt idx="35">
                  <c:v>0.11945187315400289</c:v>
                </c:pt>
                <c:pt idx="36">
                  <c:v>0.12114631059767594</c:v>
                </c:pt>
                <c:pt idx="37">
                  <c:v>0.12281737313123559</c:v>
                </c:pt>
                <c:pt idx="38">
                  <c:v>0.12446600224272376</c:v>
                </c:pt>
                <c:pt idx="39">
                  <c:v>0.12609307786597285</c:v>
                </c:pt>
                <c:pt idx="40">
                  <c:v>0.12769942387161681</c:v>
                </c:pt>
                <c:pt idx="41">
                  <c:v>0.12928581294392447</c:v>
                </c:pt>
                <c:pt idx="42">
                  <c:v>0.13085297092538636</c:v>
                </c:pt>
                <c:pt idx="43">
                  <c:v>0.13240158069837599</c:v>
                </c:pt>
                <c:pt idx="44">
                  <c:v>0.13393228566278237</c:v>
                </c:pt>
                <c:pt idx="45">
                  <c:v>0.13544569285985333</c:v>
                </c:pt>
                <c:pt idx="46">
                  <c:v>0.13694237578527066</c:v>
                </c:pt>
                <c:pt idx="47">
                  <c:v>0.13842287692842847</c:v>
                </c:pt>
                <c:pt idx="48">
                  <c:v>0.13988771006979644</c:v>
                </c:pt>
                <c:pt idx="49">
                  <c:v>0.14133736236395528</c:v>
                </c:pt>
                <c:pt idx="50">
                  <c:v>0.1427722962322473</c:v>
                </c:pt>
                <c:pt idx="51">
                  <c:v>0.14419295108588751</c:v>
                </c:pt>
                <c:pt idx="52">
                  <c:v>0.14559974489773572</c:v>
                </c:pt>
                <c:pt idx="53">
                  <c:v>0.14699307563866498</c:v>
                </c:pt>
                <c:pt idx="54">
                  <c:v>0.14837332259251618</c:v>
                </c:pt>
                <c:pt idx="55">
                  <c:v>0.14974084756195094</c:v>
                </c:pt>
                <c:pt idx="56">
                  <c:v>0.15109599597606815</c:v>
                </c:pt>
                <c:pt idx="57">
                  <c:v>0.15243909790938995</c:v>
                </c:pt>
                <c:pt idx="58">
                  <c:v>0.15377046902073602</c:v>
                </c:pt>
                <c:pt idx="59">
                  <c:v>0.15509041141955138</c:v>
                </c:pt>
                <c:pt idx="60">
                  <c:v>0.15639921446642335</c:v>
                </c:pt>
                <c:pt idx="61">
                  <c:v>0.15769715551379759</c:v>
                </c:pt>
                <c:pt idx="62">
                  <c:v>0.15898450059226346</c:v>
                </c:pt>
                <c:pt idx="63">
                  <c:v>0.16026150504721964</c:v>
                </c:pt>
                <c:pt idx="64">
                  <c:v>0.16152841413023461</c:v>
                </c:pt>
                <c:pt idx="65">
                  <c:v>0.1627854635489826</c:v>
                </c:pt>
                <c:pt idx="66">
                  <c:v>0.16403287997924598</c:v>
                </c:pt>
                <c:pt idx="67">
                  <c:v>0.1652708815421346</c:v>
                </c:pt>
                <c:pt idx="68">
                  <c:v>0.16649967824936737</c:v>
                </c:pt>
                <c:pt idx="69">
                  <c:v>0.16771947241918994</c:v>
                </c:pt>
                <c:pt idx="70">
                  <c:v>0.16893045906526152</c:v>
                </c:pt>
                <c:pt idx="71">
                  <c:v>0.17013282626062665</c:v>
                </c:pt>
                <c:pt idx="72">
                  <c:v>0.17132675547869675</c:v>
                </c:pt>
                <c:pt idx="73">
                  <c:v>0.17251242191299071</c:v>
                </c:pt>
                <c:pt idx="74">
                  <c:v>0.17368999477723027</c:v>
                </c:pt>
                <c:pt idx="75">
                  <c:v>0.17485963758724557</c:v>
                </c:pt>
                <c:pt idx="76">
                  <c:v>0.17602150842602005</c:v>
                </c:pt>
                <c:pt idx="77">
                  <c:v>0.17717576019309189</c:v>
                </c:pt>
                <c:pt idx="78">
                  <c:v>0.17832254083942548</c:v>
                </c:pt>
                <c:pt idx="79">
                  <c:v>0.17946199358877399</c:v>
                </c:pt>
                <c:pt idx="80">
                  <c:v>0.18059425714647107</c:v>
                </c:pt>
                <c:pt idx="81">
                  <c:v>0.18171946589651394</c:v>
                </c:pt>
                <c:pt idx="82">
                  <c:v>0.18283775008772904</c:v>
                </c:pt>
                <c:pt idx="83">
                  <c:v>0.18394923600975197</c:v>
                </c:pt>
                <c:pt idx="84">
                  <c:v>0.18505404615949364</c:v>
                </c:pt>
                <c:pt idx="85">
                  <c:v>0.18615229939871433</c:v>
                </c:pt>
                <c:pt idx="86">
                  <c:v>0.18724411110327915</c:v>
                </c:pt>
                <c:pt idx="87">
                  <c:v>0.1883295933046257</c:v>
                </c:pt>
                <c:pt idx="88">
                  <c:v>0.18940885482393444</c:v>
                </c:pt>
                <c:pt idx="89">
                  <c:v>0.19048200139945734</c:v>
                </c:pt>
                <c:pt idx="90">
                  <c:v>0.19154913580742519</c:v>
                </c:pt>
                <c:pt idx="91">
                  <c:v>0.1926103579769271</c:v>
                </c:pt>
                <c:pt idx="92">
                  <c:v>0.19366576509912273</c:v>
                </c:pt>
                <c:pt idx="93">
                  <c:v>0.19471545173112775</c:v>
                </c:pt>
                <c:pt idx="94">
                  <c:v>0.19575950989488536</c:v>
                </c:pt>
                <c:pt idx="95">
                  <c:v>0.19679802917131636</c:v>
                </c:pt>
                <c:pt idx="96">
                  <c:v>0.19783109679002153</c:v>
                </c:pt>
                <c:pt idx="97">
                  <c:v>0.19885879771478909</c:v>
                </c:pt>
                <c:pt idx="98">
                  <c:v>0.19988121472514622</c:v>
                </c:pt>
                <c:pt idx="99">
                  <c:v>0.20089842849417358</c:v>
                </c:pt>
                <c:pt idx="100">
                  <c:v>0.20191051766279325</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de-DE"/>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Single'!$CD$5:$CD$105</c:f>
              <c:numCache>
                <c:formatCode>0.00</c:formatCode>
                <c:ptCount val="101"/>
                <c:pt idx="0">
                  <c:v>1.227041575511083E-13</c:v>
                </c:pt>
                <c:pt idx="1">
                  <c:v>1.1582491692841044E-7</c:v>
                </c:pt>
                <c:pt idx="2">
                  <c:v>2.1520960887321528E-7</c:v>
                </c:pt>
                <c:pt idx="3">
                  <c:v>3.0142223684067498E-7</c:v>
                </c:pt>
                <c:pt idx="4">
                  <c:v>3.7691855546486361E-7</c:v>
                </c:pt>
                <c:pt idx="5">
                  <c:v>4.4357958017296107E-7</c:v>
                </c:pt>
                <c:pt idx="6">
                  <c:v>5.0287043160349073E-7</c:v>
                </c:pt>
                <c:pt idx="7">
                  <c:v>5.5526355642119194E-7</c:v>
                </c:pt>
                <c:pt idx="8">
                  <c:v>5.6602123647707089E-7</c:v>
                </c:pt>
                <c:pt idx="9">
                  <c:v>5.9400233204892159E-7</c:v>
                </c:pt>
                <c:pt idx="10">
                  <c:v>6.1873240031822859E-7</c:v>
                </c:pt>
                <c:pt idx="11">
                  <c:v>6.4080267398739057E-7</c:v>
                </c:pt>
                <c:pt idx="12">
                  <c:v>6.6066728665404814E-7</c:v>
                </c:pt>
                <c:pt idx="13">
                  <c:v>6.786810790384746E-7</c:v>
                </c:pt>
                <c:pt idx="14">
                  <c:v>6.951255033234678E-7</c:v>
                </c:pt>
                <c:pt idx="15">
                  <c:v>7.1022678992645856E-7</c:v>
                </c:pt>
                <c:pt idx="16">
                  <c:v>7.2416895195904322E-7</c:v>
                </c:pt>
                <c:pt idx="17">
                  <c:v>7.3710326571513148E-7</c:v>
                </c:pt>
                <c:pt idx="18">
                  <c:v>7.491552959718496E-7</c:v>
                </c:pt>
                <c:pt idx="19">
                  <c:v>7.6043017912914674E-7</c:v>
                </c:pt>
                <c:pt idx="20">
                  <c:v>7.7101664954601316E-7</c:v>
                </c:pt>
                <c:pt idx="21">
                  <c:v>7.8099014552171168E-7</c:v>
                </c:pt>
                <c:pt idx="22">
                  <c:v>7.9041523203245075E-7</c:v>
                </c:pt>
                <c:pt idx="23">
                  <c:v>7.9934750986488087E-7</c:v>
                </c:pt>
                <c:pt idx="24">
                  <c:v>8.0783513420581259E-7</c:v>
                </c:pt>
                <c:pt idx="25">
                  <c:v>8.1592003309874078E-7</c:v>
                </c:pt>
                <c:pt idx="26">
                  <c:v>8.2363889297519558E-7</c:v>
                </c:pt>
                <c:pt idx="27">
                  <c:v>8.3102396176701741E-7</c:v>
                </c:pt>
                <c:pt idx="28">
                  <c:v>8.3810370793947354E-7</c:v>
                </c:pt>
                <c:pt idx="29">
                  <c:v>8.4490336482460646E-7</c:v>
                </c:pt>
                <c:pt idx="30">
                  <c:v>8.514453829663946E-7</c:v>
                </c:pt>
                <c:pt idx="31">
                  <c:v>8.5774980817967899E-7</c:v>
                </c:pt>
                <c:pt idx="32">
                  <c:v>8.6383459922691656E-7</c:v>
                </c:pt>
                <c:pt idx="33">
                  <c:v>8.6971589611318295E-7</c:v>
                </c:pt>
                <c:pt idx="34">
                  <c:v>8.754082477621383E-7</c:v>
                </c:pt>
                <c:pt idx="35">
                  <c:v>8.8092480609820764E-7</c:v>
                </c:pt>
                <c:pt idx="36">
                  <c:v>8.8627749220166952E-7</c:v>
                </c:pt>
                <c:pt idx="37">
                  <c:v>8.9147713913381208E-7</c:v>
                </c:pt>
                <c:pt idx="38">
                  <c:v>8.9653361518213705E-7</c:v>
                </c:pt>
                <c:pt idx="39">
                  <c:v>9.0145593060032166E-7</c:v>
                </c:pt>
                <c:pt idx="40">
                  <c:v>9.062523303764947E-7</c:v>
                </c:pt>
                <c:pt idx="41">
                  <c:v>9.1093037512722075E-7</c:v>
                </c:pt>
                <c:pt idx="42">
                  <c:v>9.1549701186129785E-7</c:v>
                </c:pt>
                <c:pt idx="43">
                  <c:v>9.1995863606989225E-7</c:v>
                </c:pt>
                <c:pt idx="44">
                  <c:v>9.2432114636428974E-7</c:v>
                </c:pt>
                <c:pt idx="45">
                  <c:v>9.285899926893439E-7</c:v>
                </c:pt>
                <c:pt idx="46">
                  <c:v>9.3277021898122007E-7</c:v>
                </c:pt>
                <c:pt idx="47">
                  <c:v>9.3686650100595952E-7</c:v>
                </c:pt>
                <c:pt idx="48">
                  <c:v>9.4088318000553476E-7</c:v>
                </c:pt>
                <c:pt idx="49">
                  <c:v>9.4482429268629825E-7</c:v>
                </c:pt>
                <c:pt idx="50">
                  <c:v>9.4869359800791254E-7</c:v>
                </c:pt>
                <c:pt idx="51">
                  <c:v>9.5249460116619304E-7</c:v>
                </c:pt>
                <c:pt idx="52">
                  <c:v>9.5623057510876994E-7</c:v>
                </c:pt>
                <c:pt idx="53">
                  <c:v>9.5990457987634442E-7</c:v>
                </c:pt>
                <c:pt idx="54">
                  <c:v>9.635194800231167E-7</c:v>
                </c:pt>
                <c:pt idx="55">
                  <c:v>9.670779603366072E-7</c:v>
                </c:pt>
                <c:pt idx="56">
                  <c:v>9.7058254004859328E-7</c:v>
                </c:pt>
                <c:pt idx="57">
                  <c:v>9.7403558570448019E-7</c:v>
                </c:pt>
                <c:pt idx="58">
                  <c:v>9.7743932283748675E-7</c:v>
                </c:pt>
                <c:pt idx="59">
                  <c:v>9.807958465759542E-7</c:v>
                </c:pt>
                <c:pt idx="60">
                  <c:v>9.8410713129655318E-7</c:v>
                </c:pt>
                <c:pt idx="61">
                  <c:v>9.873750394226661E-7</c:v>
                </c:pt>
                <c:pt idx="62">
                  <c:v>9.9060132945555099E-7</c:v>
                </c:pt>
                <c:pt idx="63">
                  <c:v>9.9378766331573847E-7</c:v>
                </c:pt>
                <c:pt idx="64">
                  <c:v>9.9693561306326029E-7</c:v>
                </c:pt>
                <c:pt idx="65">
                  <c:v>1.0000466670576115E-6</c:v>
                </c:pt>
                <c:pt idx="66">
                  <c:v>1.0031222356115398E-6</c:v>
                </c:pt>
                <c:pt idx="67">
                  <c:v>1.0061636561869106E-6</c:v>
                </c:pt>
                <c:pt idx="68">
                  <c:v>1.0091721981756172E-6</c:v>
                </c:pt>
                <c:pt idx="69">
                  <c:v>1.0121490673040008E-6</c:v>
                </c:pt>
                <c:pt idx="70">
                  <c:v>1.0150954096951559E-6</c:v>
                </c:pt>
                <c:pt idx="71">
                  <c:v>1.0180123156199643E-6</c:v>
                </c:pt>
                <c:pt idx="72">
                  <c:v>1.0209008229645506E-6</c:v>
                </c:pt>
                <c:pt idx="73">
                  <c:v>1.0237619204390462E-6</c:v>
                </c:pt>
                <c:pt idx="74">
                  <c:v>1.0265965505500721E-6</c:v>
                </c:pt>
                <c:pt idx="75">
                  <c:v>1.0294056123571682E-6</c:v>
                </c:pt>
                <c:pt idx="76">
                  <c:v>1.0321899640313972E-6</c:v>
                </c:pt>
                <c:pt idx="77">
                  <c:v>1.0349504252326502E-6</c:v>
                </c:pt>
                <c:pt idx="78">
                  <c:v>1.0376877793205614E-6</c:v>
                </c:pt>
                <c:pt idx="79">
                  <c:v>1.0404027754126019E-6</c:v>
                </c:pt>
                <c:pt idx="80">
                  <c:v>1.0430961303016229E-6</c:v>
                </c:pt>
                <c:pt idx="81">
                  <c:v>1.0457685302440228E-6</c:v>
                </c:pt>
                <c:pt idx="82">
                  <c:v>1.0484206326286919E-6</c:v>
                </c:pt>
                <c:pt idx="83">
                  <c:v>1.0510530675359994E-6</c:v>
                </c:pt>
                <c:pt idx="84">
                  <c:v>1.0536664391952393E-6</c:v>
                </c:pt>
                <c:pt idx="85">
                  <c:v>1.0562613273482561E-6</c:v>
                </c:pt>
                <c:pt idx="86">
                  <c:v>1.0588382885262699E-6</c:v>
                </c:pt>
                <c:pt idx="87">
                  <c:v>1.0613978572463573E-6</c:v>
                </c:pt>
                <c:pt idx="88">
                  <c:v>1.0639405471334504E-6</c:v>
                </c:pt>
                <c:pt idx="89">
                  <c:v>1.0664668519732966E-6</c:v>
                </c:pt>
                <c:pt idx="90">
                  <c:v>1.0689772467012962E-6</c:v>
                </c:pt>
                <c:pt idx="91">
                  <c:v>1.0714721883318007E-6</c:v>
                </c:pt>
                <c:pt idx="92">
                  <c:v>1.0739521168320271E-6</c:v>
                </c:pt>
                <c:pt idx="93">
                  <c:v>1.0764174559444636E-6</c:v>
                </c:pt>
                <c:pt idx="94">
                  <c:v>1.0788686139612908E-6</c:v>
                </c:pt>
                <c:pt idx="95">
                  <c:v>1.0813059844540965E-6</c:v>
                </c:pt>
                <c:pt idx="96">
                  <c:v>1.0837299469618941E-6</c:v>
                </c:pt>
                <c:pt idx="97">
                  <c:v>1.086140867640222E-6</c:v>
                </c:pt>
                <c:pt idx="98">
                  <c:v>1.088539099873906E-6</c:v>
                </c:pt>
                <c:pt idx="99">
                  <c:v>1.0909249848558493E-6</c:v>
                </c:pt>
                <c:pt idx="100">
                  <c:v>1.0932988521340561E-6</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11934374554.564503</c:v>
                </c:pt>
                <c:pt idx="1">
                  <c:v>11860148121.055801</c:v>
                </c:pt>
                <c:pt idx="2">
                  <c:v>11759008790.781614</c:v>
                </c:pt>
                <c:pt idx="3">
                  <c:v>11657869460.507427</c:v>
                </c:pt>
                <c:pt idx="4">
                  <c:v>11556730130.233238</c:v>
                </c:pt>
                <c:pt idx="5">
                  <c:v>11455590799.95904</c:v>
                </c:pt>
                <c:pt idx="6">
                  <c:v>11354451469.684856</c:v>
                </c:pt>
                <c:pt idx="7">
                  <c:v>11276634581.420441</c:v>
                </c:pt>
                <c:pt idx="8">
                  <c:v>12737178973.315201</c:v>
                </c:pt>
                <c:pt idx="9">
                  <c:v>14263668917.178568</c:v>
                </c:pt>
                <c:pt idx="10">
                  <c:v>15779520642.163145</c:v>
                </c:pt>
                <c:pt idx="11">
                  <c:v>17285281554.720524</c:v>
                </c:pt>
                <c:pt idx="12">
                  <c:v>18781422303.692936</c:v>
                </c:pt>
                <c:pt idx="13">
                  <c:v>20268353210.146484</c:v>
                </c:pt>
                <c:pt idx="14">
                  <c:v>21746436156.138695</c:v>
                </c:pt>
                <c:pt idx="15">
                  <c:v>23215993429.693111</c:v>
                </c:pt>
                <c:pt idx="16">
                  <c:v>24677314460.519016</c:v>
                </c:pt>
                <c:pt idx="17">
                  <c:v>26130661052.441051</c:v>
                </c:pt>
                <c:pt idx="18">
                  <c:v>27576271518.350368</c:v>
                </c:pt>
                <c:pt idx="19">
                  <c:v>29014363997.089649</c:v>
                </c:pt>
                <c:pt idx="20">
                  <c:v>30445139149.34597</c:v>
                </c:pt>
                <c:pt idx="21">
                  <c:v>31868782374.518826</c:v>
                </c:pt>
                <c:pt idx="22">
                  <c:v>33285465652.76178</c:v>
                </c:pt>
                <c:pt idx="23">
                  <c:v>34695349089.960014</c:v>
                </c:pt>
                <c:pt idx="24">
                  <c:v>36098582224.549355</c:v>
                </c:pt>
                <c:pt idx="25">
                  <c:v>37495305141.403664</c:v>
                </c:pt>
                <c:pt idx="26">
                  <c:v>38885649427.941963</c:v>
                </c:pt>
                <c:pt idx="27">
                  <c:v>40269739000.080971</c:v>
                </c:pt>
                <c:pt idx="28">
                  <c:v>41647690819.967003</c:v>
                </c:pt>
                <c:pt idx="29">
                  <c:v>43019615523.064697</c:v>
                </c:pt>
                <c:pt idx="30">
                  <c:v>44385617968.812309</c:v>
                </c:pt>
                <c:pt idx="31">
                  <c:v>45745797726.420357</c:v>
                </c:pt>
                <c:pt idx="32">
                  <c:v>47100249505.31826</c:v>
                </c:pt>
                <c:pt idx="33">
                  <c:v>48449063538.102974</c:v>
                </c:pt>
                <c:pt idx="34">
                  <c:v>49792325922.523926</c:v>
                </c:pt>
                <c:pt idx="35">
                  <c:v>51130118927.972198</c:v>
                </c:pt>
                <c:pt idx="36">
                  <c:v>52462521271.07473</c:v>
                </c:pt>
                <c:pt idx="37">
                  <c:v>53789608364.286606</c:v>
                </c:pt>
                <c:pt idx="38">
                  <c:v>55111452540.790375</c:v>
                </c:pt>
                <c:pt idx="39">
                  <c:v>56428123258.52948</c:v>
                </c:pt>
                <c:pt idx="40">
                  <c:v>57739687285.800934</c:v>
                </c:pt>
                <c:pt idx="41">
                  <c:v>59046208870.496071</c:v>
                </c:pt>
                <c:pt idx="42">
                  <c:v>60347749894.796921</c:v>
                </c:pt>
                <c:pt idx="43">
                  <c:v>61644370016.896271</c:v>
                </c:pt>
                <c:pt idx="44">
                  <c:v>62936126801.109528</c:v>
                </c:pt>
                <c:pt idx="45">
                  <c:v>64223075837.571541</c:v>
                </c:pt>
                <c:pt idx="46">
                  <c:v>65505270852.567337</c:v>
                </c:pt>
                <c:pt idx="47">
                  <c:v>66782763810.418617</c:v>
                </c:pt>
                <c:pt idx="48">
                  <c:v>68055605007.738396</c:v>
                </c:pt>
                <c:pt idx="49">
                  <c:v>69323843160.774551</c:v>
                </c:pt>
                <c:pt idx="50">
                  <c:v>70587525486.479675</c:v>
                </c:pt>
                <c:pt idx="51">
                  <c:v>71846697777.875214</c:v>
                </c:pt>
                <c:pt idx="52">
                  <c:v>73101404474.216385</c:v>
                </c:pt>
                <c:pt idx="53">
                  <c:v>74351688726.409744</c:v>
                </c:pt>
                <c:pt idx="54">
                  <c:v>75597592458.088684</c:v>
                </c:pt>
                <c:pt idx="55">
                  <c:v>76839156422.71077</c:v>
                </c:pt>
                <c:pt idx="56">
                  <c:v>78076420257.003616</c:v>
                </c:pt>
                <c:pt idx="57">
                  <c:v>79309422531.054688</c:v>
                </c:pt>
                <c:pt idx="58">
                  <c:v>80538200795.310486</c:v>
                </c:pt>
                <c:pt idx="59">
                  <c:v>81762791624.726959</c:v>
                </c:pt>
                <c:pt idx="60">
                  <c:v>82983230660.288544</c:v>
                </c:pt>
                <c:pt idx="61">
                  <c:v>84199552648.094696</c:v>
                </c:pt>
                <c:pt idx="62">
                  <c:v>85411791476.193832</c:v>
                </c:pt>
                <c:pt idx="63">
                  <c:v>86619980209.328995</c:v>
                </c:pt>
                <c:pt idx="64">
                  <c:v>87824151121.745346</c:v>
                </c:pt>
                <c:pt idx="65">
                  <c:v>89024335728.195206</c:v>
                </c:pt>
                <c:pt idx="66">
                  <c:v>90220564813.267838</c:v>
                </c:pt>
                <c:pt idx="67">
                  <c:v>91412868459.156708</c:v>
                </c:pt>
                <c:pt idx="68">
                  <c:v>92601276071.971191</c:v>
                </c:pt>
                <c:pt idx="69">
                  <c:v>93785816406.68808</c:v>
                </c:pt>
                <c:pt idx="70">
                  <c:v>94966517590.832764</c:v>
                </c:pt>
                <c:pt idx="71">
                  <c:v>96143407146.972427</c:v>
                </c:pt>
                <c:pt idx="72">
                  <c:v>97316512014.095367</c:v>
                </c:pt>
                <c:pt idx="73">
                  <c:v>98485858567.94783</c:v>
                </c:pt>
                <c:pt idx="74">
                  <c:v>99651472640.392288</c:v>
                </c:pt>
                <c:pt idx="75">
                  <c:v>100813379537.84644</c:v>
                </c:pt>
                <c:pt idx="76">
                  <c:v>101971604058.85919</c:v>
                </c:pt>
                <c:pt idx="77">
                  <c:v>103126170510.87383</c:v>
                </c:pt>
                <c:pt idx="78">
                  <c:v>104277102726.22739</c:v>
                </c:pt>
                <c:pt idx="79">
                  <c:v>105424424077.42903</c:v>
                </c:pt>
                <c:pt idx="80">
                  <c:v>106568157491.75932</c:v>
                </c:pt>
                <c:pt idx="81">
                  <c:v>107708325465.22925</c:v>
                </c:pt>
                <c:pt idx="82">
                  <c:v>108844950075.93347</c:v>
                </c:pt>
                <c:pt idx="83">
                  <c:v>109978052996.83208</c:v>
                </c:pt>
                <c:pt idx="84">
                  <c:v>111107655507.99174</c:v>
                </c:pt>
                <c:pt idx="85">
                  <c:v>112233778508.31496</c:v>
                </c:pt>
                <c:pt idx="86">
                  <c:v>113356442526.78531</c:v>
                </c:pt>
                <c:pt idx="87">
                  <c:v>114475667733.2527</c:v>
                </c:pt>
                <c:pt idx="88">
                  <c:v>115591473948.7849</c:v>
                </c:pt>
                <c:pt idx="89">
                  <c:v>116703880655.60469</c:v>
                </c:pt>
                <c:pt idx="90">
                  <c:v>117812907006.63599</c:v>
                </c:pt>
                <c:pt idx="91">
                  <c:v>118918571834.67697</c:v>
                </c:pt>
                <c:pt idx="92">
                  <c:v>120020893661.22041</c:v>
                </c:pt>
                <c:pt idx="93">
                  <c:v>121119890704.93625</c:v>
                </c:pt>
                <c:pt idx="94">
                  <c:v>122215580889.83501</c:v>
                </c:pt>
                <c:pt idx="95">
                  <c:v>123307981853.1259</c:v>
                </c:pt>
                <c:pt idx="96">
                  <c:v>124397110952.78459</c:v>
                </c:pt>
                <c:pt idx="97">
                  <c:v>125482985274.84499</c:v>
                </c:pt>
                <c:pt idx="98">
                  <c:v>126565621640.4261</c:v>
                </c:pt>
                <c:pt idx="99">
                  <c:v>127645036612.50827</c:v>
                </c:pt>
                <c:pt idx="100">
                  <c:v>128721246502.46864</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290164106.87078959</c:v>
                </c:pt>
                <c:pt idx="1">
                  <c:v>1090447136.2344668</c:v>
                </c:pt>
                <c:pt idx="2">
                  <c:v>2180903196.6303129</c:v>
                </c:pt>
                <c:pt idx="3">
                  <c:v>3271368188.2572622</c:v>
                </c:pt>
                <c:pt idx="4">
                  <c:v>4361842111.2250395</c:v>
                </c:pt>
                <c:pt idx="5">
                  <c:v>5452324965.6433735</c:v>
                </c:pt>
                <c:pt idx="6">
                  <c:v>6542816751.6219921</c:v>
                </c:pt>
                <c:pt idx="7">
                  <c:v>7633318348.1109829</c:v>
                </c:pt>
                <c:pt idx="8">
                  <c:v>8463452881.0757751</c:v>
                </c:pt>
                <c:pt idx="9">
                  <c:v>8463528447.7885513</c:v>
                </c:pt>
                <c:pt idx="10">
                  <c:v>8463607019.4153786</c:v>
                </c:pt>
                <c:pt idx="11">
                  <c:v>8463688502.7882404</c:v>
                </c:pt>
                <c:pt idx="12">
                  <c:v>8463772810.0122976</c:v>
                </c:pt>
                <c:pt idx="13">
                  <c:v>8463859858.8710537</c:v>
                </c:pt>
                <c:pt idx="14">
                  <c:v>8463949572.7280006</c:v>
                </c:pt>
                <c:pt idx="15">
                  <c:v>8464041880.2106829</c:v>
                </c:pt>
                <c:pt idx="16">
                  <c:v>8464136714.8135939</c:v>
                </c:pt>
                <c:pt idx="17">
                  <c:v>8464234014.4853497</c:v>
                </c:pt>
                <c:pt idx="18">
                  <c:v>8464333721.2309484</c:v>
                </c:pt>
                <c:pt idx="19">
                  <c:v>8464435780.7424259</c:v>
                </c:pt>
                <c:pt idx="20">
                  <c:v>8464540142.0625896</c:v>
                </c:pt>
                <c:pt idx="21">
                  <c:v>8464646757.282093</c:v>
                </c:pt>
                <c:pt idx="22">
                  <c:v>8464755581.2680368</c:v>
                </c:pt>
                <c:pt idx="23">
                  <c:v>8464866571.4215212</c:v>
                </c:pt>
                <c:pt idx="24">
                  <c:v>8464979687.461153</c:v>
                </c:pt>
                <c:pt idx="25">
                  <c:v>8465094891.229702</c:v>
                </c:pt>
                <c:pt idx="26">
                  <c:v>8465212146.521224</c:v>
                </c:pt>
                <c:pt idx="27">
                  <c:v>8465331418.9261923</c:v>
                </c:pt>
                <c:pt idx="28">
                  <c:v>8465452675.6925821</c:v>
                </c:pt>
                <c:pt idx="29">
                  <c:v>8465575885.6008911</c:v>
                </c:pt>
                <c:pt idx="30">
                  <c:v>8465701018.8515539</c:v>
                </c:pt>
                <c:pt idx="31">
                  <c:v>8465828046.9632225</c:v>
                </c:pt>
                <c:pt idx="32">
                  <c:v>8465956942.6807032</c:v>
                </c:pt>
                <c:pt idx="33">
                  <c:v>8466087679.8914127</c:v>
                </c:pt>
                <c:pt idx="34">
                  <c:v>8466220233.5494175</c:v>
                </c:pt>
                <c:pt idx="35">
                  <c:v>8466354579.6062317</c:v>
                </c:pt>
                <c:pt idx="36">
                  <c:v>8466490694.9475946</c:v>
                </c:pt>
                <c:pt idx="37">
                  <c:v>8466628557.3356638</c:v>
                </c:pt>
                <c:pt idx="38">
                  <c:v>8466768145.3559809</c:v>
                </c:pt>
                <c:pt idx="39">
                  <c:v>8466909438.3687782</c:v>
                </c:pt>
                <c:pt idx="40">
                  <c:v>8467052416.4641781</c:v>
                </c:pt>
                <c:pt idx="41">
                  <c:v>8467197060.4208632</c:v>
                </c:pt>
                <c:pt idx="42">
                  <c:v>8467343351.6679516</c:v>
                </c:pt>
                <c:pt idx="43">
                  <c:v>8467491272.2496891</c:v>
                </c:pt>
                <c:pt idx="44">
                  <c:v>8467640804.7927837</c:v>
                </c:pt>
                <c:pt idx="45">
                  <c:v>8467791932.4760628</c:v>
                </c:pt>
                <c:pt idx="46">
                  <c:v>8467944639.0022898</c:v>
                </c:pt>
                <c:pt idx="47">
                  <c:v>8468098908.5719471</c:v>
                </c:pt>
                <c:pt idx="48">
                  <c:v>8468254725.8587885</c:v>
                </c:pt>
                <c:pt idx="49">
                  <c:v>8468412075.9870338</c:v>
                </c:pt>
                <c:pt idx="50">
                  <c:v>8468570944.5100746</c:v>
                </c:pt>
                <c:pt idx="51">
                  <c:v>8468731317.3905411</c:v>
                </c:pt>
                <c:pt idx="52">
                  <c:v>8468893180.981617</c:v>
                </c:pt>
                <c:pt idx="53">
                  <c:v>8469056522.009572</c:v>
                </c:pt>
                <c:pt idx="54">
                  <c:v>8469221327.5573015</c:v>
                </c:pt>
                <c:pt idx="55">
                  <c:v>8469387585.0488987</c:v>
                </c:pt>
                <c:pt idx="56">
                  <c:v>8469555282.2351303</c:v>
                </c:pt>
                <c:pt idx="57">
                  <c:v>8469724407.1797581</c:v>
                </c:pt>
                <c:pt idx="58">
                  <c:v>8469894948.2466412</c:v>
                </c:pt>
                <c:pt idx="59">
                  <c:v>8470066894.0875731</c:v>
                </c:pt>
                <c:pt idx="60">
                  <c:v>8470240233.6308002</c:v>
                </c:pt>
                <c:pt idx="61">
                  <c:v>8470414956.0701551</c:v>
                </c:pt>
                <c:pt idx="62">
                  <c:v>8470591050.8547821</c:v>
                </c:pt>
                <c:pt idx="63">
                  <c:v>8470768507.6794033</c:v>
                </c:pt>
                <c:pt idx="64">
                  <c:v>8470947316.4751215</c:v>
                </c:pt>
                <c:pt idx="65">
                  <c:v>8471127467.4006586</c:v>
                </c:pt>
                <c:pt idx="66">
                  <c:v>8471308950.8340597</c:v>
                </c:pt>
                <c:pt idx="67">
                  <c:v>8471491757.364809</c:v>
                </c:pt>
                <c:pt idx="68">
                  <c:v>8471675877.7863512</c:v>
                </c:pt>
                <c:pt idx="69">
                  <c:v>8471861303.0889463</c:v>
                </c:pt>
                <c:pt idx="70">
                  <c:v>8472048024.4528952</c:v>
                </c:pt>
                <c:pt idx="71">
                  <c:v>8472236033.2420769</c:v>
                </c:pt>
                <c:pt idx="72">
                  <c:v>8472425320.9977818</c:v>
                </c:pt>
                <c:pt idx="73">
                  <c:v>8472615879.4328518</c:v>
                </c:pt>
                <c:pt idx="74">
                  <c:v>8472807700.4260607</c:v>
                </c:pt>
                <c:pt idx="75">
                  <c:v>8473000776.0167608</c:v>
                </c:pt>
                <c:pt idx="76">
                  <c:v>8473195098.3997736</c:v>
                </c:pt>
                <c:pt idx="77">
                  <c:v>8473390659.9204969</c:v>
                </c:pt>
                <c:pt idx="78">
                  <c:v>8473587453.0702229</c:v>
                </c:pt>
                <c:pt idx="79">
                  <c:v>8473785470.4816599</c:v>
                </c:pt>
                <c:pt idx="80">
                  <c:v>8473984704.9246559</c:v>
                </c:pt>
                <c:pt idx="81">
                  <c:v>8474185149.3020668</c:v>
                </c:pt>
                <c:pt idx="82">
                  <c:v>8474386796.6458387</c:v>
                </c:pt>
                <c:pt idx="83">
                  <c:v>8474589640.113225</c:v>
                </c:pt>
                <c:pt idx="84">
                  <c:v>8474793672.9831524</c:v>
                </c:pt>
                <c:pt idx="85">
                  <c:v>8474998888.6527529</c:v>
                </c:pt>
                <c:pt idx="86">
                  <c:v>8475205280.6340084</c:v>
                </c:pt>
                <c:pt idx="87">
                  <c:v>8475412842.5505552</c:v>
                </c:pt>
                <c:pt idx="88">
                  <c:v>8475621568.1345835</c:v>
                </c:pt>
                <c:pt idx="89">
                  <c:v>8475831451.2238693</c:v>
                </c:pt>
                <c:pt idx="90">
                  <c:v>8476042485.7589178</c:v>
                </c:pt>
                <c:pt idx="91">
                  <c:v>8476254665.7802219</c:v>
                </c:pt>
                <c:pt idx="92">
                  <c:v>8476467985.4256048</c:v>
                </c:pt>
                <c:pt idx="93">
                  <c:v>8476682438.9276619</c:v>
                </c:pt>
                <c:pt idx="94">
                  <c:v>8476898020.6113234</c:v>
                </c:pt>
                <c:pt idx="95">
                  <c:v>8477114724.8914576</c:v>
                </c:pt>
                <c:pt idx="96">
                  <c:v>8477332546.2706089</c:v>
                </c:pt>
                <c:pt idx="97">
                  <c:v>8477551479.3367739</c:v>
                </c:pt>
                <c:pt idx="98">
                  <c:v>8477771518.7612829</c:v>
                </c:pt>
                <c:pt idx="99">
                  <c:v>8477992659.2967396</c:v>
                </c:pt>
                <c:pt idx="100">
                  <c:v>8478214895.7750349</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-14000.35994106514</c:v>
                </c:pt>
                <c:pt idx="1">
                  <c:v>-14000.32504496589</c:v>
                </c:pt>
                <c:pt idx="2">
                  <c:v>-14000.277543792268</c:v>
                </c:pt>
                <c:pt idx="3">
                  <c:v>-14000.230098702208</c:v>
                </c:pt>
                <c:pt idx="4">
                  <c:v>-14000.182711168196</c:v>
                </c:pt>
                <c:pt idx="5">
                  <c:v>-14000.13538271473</c:v>
                </c:pt>
                <c:pt idx="6">
                  <c:v>-14000.088114920643</c:v>
                </c:pt>
                <c:pt idx="7">
                  <c:v>-14000.039330342906</c:v>
                </c:pt>
                <c:pt idx="8">
                  <c:v>-13999.898940109142</c:v>
                </c:pt>
                <c:pt idx="9">
                  <c:v>-13999.805122470141</c:v>
                </c:pt>
                <c:pt idx="10">
                  <c:v>-13999.718735584398</c:v>
                </c:pt>
                <c:pt idx="11">
                  <c:v>-13999.637760820324</c:v>
                </c:pt>
                <c:pt idx="12">
                  <c:v>-13999.560850800493</c:v>
                </c:pt>
                <c:pt idx="13">
                  <c:v>-13999.487071656366</c:v>
                </c:pt>
                <c:pt idx="14">
                  <c:v>-13999.415755609447</c:v>
                </c:pt>
                <c:pt idx="15">
                  <c:v>-13999.346412442286</c:v>
                </c:pt>
                <c:pt idx="16">
                  <c:v>-13999.278674121331</c:v>
                </c:pt>
                <c:pt idx="17">
                  <c:v>-13999.21225893578</c:v>
                </c:pt>
                <c:pt idx="18">
                  <c:v>-13999.146947571533</c:v>
                </c:pt>
                <c:pt idx="19">
                  <c:v>-13999.082566728475</c:v>
                </c:pt>
                <c:pt idx="20">
                  <c:v>-13999.018977644209</c:v>
                </c:pt>
                <c:pt idx="21">
                  <c:v>-13998.956067890997</c:v>
                </c:pt>
                <c:pt idx="22">
                  <c:v>-13998.893745405749</c:v>
                </c:pt>
                <c:pt idx="23">
                  <c:v>-13998.831934074529</c:v>
                </c:pt>
                <c:pt idx="24">
                  <c:v>-13998.770570418741</c:v>
                </c:pt>
                <c:pt idx="25">
                  <c:v>-13998.709601075039</c:v>
                </c:pt>
                <c:pt idx="26">
                  <c:v>-13998.648980855638</c:v>
                </c:pt>
                <c:pt idx="27">
                  <c:v>-13998.588671238689</c:v>
                </c:pt>
                <c:pt idx="28">
                  <c:v>-13998.528639181503</c:v>
                </c:pt>
                <c:pt idx="29">
                  <c:v>-13998.468856178722</c:v>
                </c:pt>
                <c:pt idx="30">
                  <c:v>-13998.409297508477</c:v>
                </c:pt>
                <c:pt idx="31">
                  <c:v>-13998.349941624047</c:v>
                </c:pt>
                <c:pt idx="32">
                  <c:v>-13998.290769659381</c:v>
                </c:pt>
                <c:pt idx="33">
                  <c:v>-13998.231765024253</c:v>
                </c:pt>
                <c:pt idx="34">
                  <c:v>-13998.17291307071</c:v>
                </c:pt>
                <c:pt idx="35">
                  <c:v>-13998.114200816566</c:v>
                </c:pt>
                <c:pt idx="36">
                  <c:v>-13998.055616714833</c:v>
                </c:pt>
                <c:pt idx="37">
                  <c:v>-13997.997150460456</c:v>
                </c:pt>
                <c:pt idx="38">
                  <c:v>-13997.938792827514</c:v>
                </c:pt>
                <c:pt idx="39">
                  <c:v>-13997.880535531336</c:v>
                </c:pt>
                <c:pt idx="40">
                  <c:v>-13997.822371111306</c:v>
                </c:pt>
                <c:pt idx="41">
                  <c:v>-13997.76429283074</c:v>
                </c:pt>
                <c:pt idx="42">
                  <c:v>-13997.70629459102</c:v>
                </c:pt>
                <c:pt idx="43">
                  <c:v>-13997.648370857696</c:v>
                </c:pt>
                <c:pt idx="44">
                  <c:v>-13997.590516596631</c:v>
                </c:pt>
                <c:pt idx="45">
                  <c:v>-13997.532727218608</c:v>
                </c:pt>
                <c:pt idx="46">
                  <c:v>-13997.474998531188</c:v>
                </c:pt>
                <c:pt idx="47">
                  <c:v>-13997.417326696657</c:v>
                </c:pt>
                <c:pt idx="48">
                  <c:v>-13997.359708195232</c:v>
                </c:pt>
                <c:pt idx="49">
                  <c:v>-13997.302139792737</c:v>
                </c:pt>
                <c:pt idx="50">
                  <c:v>-13997.244618512199</c:v>
                </c:pt>
                <c:pt idx="51">
                  <c:v>-13997.187141608691</c:v>
                </c:pt>
                <c:pt idx="52">
                  <c:v>-13997.129706547152</c:v>
                </c:pt>
                <c:pt idx="53">
                  <c:v>-13997.072310982663</c:v>
                </c:pt>
                <c:pt idx="54">
                  <c:v>-13997.014952742909</c:v>
                </c:pt>
                <c:pt idx="55">
                  <c:v>-13996.957629812568</c:v>
                </c:pt>
                <c:pt idx="56">
                  <c:v>-13996.900340319358</c:v>
                </c:pt>
                <c:pt idx="57">
                  <c:v>-13996.843082521527</c:v>
                </c:pt>
                <c:pt idx="58">
                  <c:v>-13996.785854796673</c:v>
                </c:pt>
                <c:pt idx="59">
                  <c:v>-13996.728655631672</c:v>
                </c:pt>
                <c:pt idx="60">
                  <c:v>-13996.671483613605</c:v>
                </c:pt>
                <c:pt idx="61">
                  <c:v>-13996.614337421583</c:v>
                </c:pt>
                <c:pt idx="62">
                  <c:v>-13996.557215819368</c:v>
                </c:pt>
                <c:pt idx="63">
                  <c:v>-13996.500117648688</c:v>
                </c:pt>
                <c:pt idx="64">
                  <c:v>-13996.443041823157</c:v>
                </c:pt>
                <c:pt idx="65">
                  <c:v>-13996.385987322798</c:v>
                </c:pt>
                <c:pt idx="66">
                  <c:v>-13996.328953189011</c:v>
                </c:pt>
                <c:pt idx="67">
                  <c:v>-13996.271938520036</c:v>
                </c:pt>
                <c:pt idx="68">
                  <c:v>-13996.214942466784</c:v>
                </c:pt>
                <c:pt idx="69">
                  <c:v>-13996.157964229031</c:v>
                </c:pt>
                <c:pt idx="70">
                  <c:v>-13996.10100305197</c:v>
                </c:pt>
                <c:pt idx="71">
                  <c:v>-13996.044058223004</c:v>
                </c:pt>
                <c:pt idx="72">
                  <c:v>-13995.987129068833</c:v>
                </c:pt>
                <c:pt idx="73">
                  <c:v>-13995.930214952801</c:v>
                </c:pt>
                <c:pt idx="74">
                  <c:v>-13995.873315272391</c:v>
                </c:pt>
                <c:pt idx="75">
                  <c:v>-13995.816429457003</c:v>
                </c:pt>
                <c:pt idx="76">
                  <c:v>-13995.759556965837</c:v>
                </c:pt>
                <c:pt idx="77">
                  <c:v>-13995.702697285973</c:v>
                </c:pt>
                <c:pt idx="78">
                  <c:v>-13995.645849930608</c:v>
                </c:pt>
                <c:pt idx="79">
                  <c:v>-13995.58901443739</c:v>
                </c:pt>
                <c:pt idx="80">
                  <c:v>-13995.532190366917</c:v>
                </c:pt>
                <c:pt idx="81">
                  <c:v>-13995.475377301322</c:v>
                </c:pt>
                <c:pt idx="82">
                  <c:v>-13995.418574842952</c:v>
                </c:pt>
                <c:pt idx="83">
                  <c:v>-13995.361782613187</c:v>
                </c:pt>
                <c:pt idx="84">
                  <c:v>-13995.305000251279</c:v>
                </c:pt>
                <c:pt idx="85">
                  <c:v>-13995.248227413344</c:v>
                </c:pt>
                <c:pt idx="86">
                  <c:v>-13995.191463771343</c:v>
                </c:pt>
                <c:pt idx="87">
                  <c:v>-13995.134709012222</c:v>
                </c:pt>
                <c:pt idx="88">
                  <c:v>-13995.077962837035</c:v>
                </c:pt>
                <c:pt idx="89">
                  <c:v>-13995.021224960155</c:v>
                </c:pt>
                <c:pt idx="90">
                  <c:v>-13994.964495108565</c:v>
                </c:pt>
                <c:pt idx="91">
                  <c:v>-13994.907773021143</c:v>
                </c:pt>
                <c:pt idx="92">
                  <c:v>-13994.851058448026</c:v>
                </c:pt>
                <c:pt idx="93">
                  <c:v>-13994.794351150011</c:v>
                </c:pt>
                <c:pt idx="94">
                  <c:v>-13994.737650897996</c:v>
                </c:pt>
                <c:pt idx="95">
                  <c:v>-13994.680957472441</c:v>
                </c:pt>
                <c:pt idx="96">
                  <c:v>-13994.624270662884</c:v>
                </c:pt>
                <c:pt idx="97">
                  <c:v>-13994.567590267456</c:v>
                </c:pt>
                <c:pt idx="98">
                  <c:v>-13994.510916092477</c:v>
                </c:pt>
                <c:pt idx="99">
                  <c:v>-13994.454247952013</c:v>
                </c:pt>
                <c:pt idx="100">
                  <c:v>-13994.397585667512</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de-DE"/>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de-DE"/>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1.0096989194549519E-13</c:v>
                </c:pt>
                <c:pt idx="1">
                  <c:v>2.1253657228023635E-7</c:v>
                </c:pt>
                <c:pt idx="2">
                  <c:v>3.7701810758161373E-7</c:v>
                </c:pt>
                <c:pt idx="3">
                  <c:v>4.3933088449736015E-7</c:v>
                </c:pt>
                <c:pt idx="4">
                  <c:v>4.7058165244458375E-7</c:v>
                </c:pt>
                <c:pt idx="5">
                  <c:v>4.931233701353969E-7</c:v>
                </c:pt>
                <c:pt idx="6">
                  <c:v>5.1063810921697003E-7</c:v>
                </c:pt>
                <c:pt idx="7">
                  <c:v>5.2496161271416401E-7</c:v>
                </c:pt>
                <c:pt idx="8">
                  <c:v>5.3711746797330762E-7</c:v>
                </c:pt>
                <c:pt idx="9">
                  <c:v>5.477245070355266E-7</c:v>
                </c:pt>
                <c:pt idx="10">
                  <c:v>5.5718055679334442E-7</c:v>
                </c:pt>
                <c:pt idx="11">
                  <c:v>5.6575402455399727E-7</c:v>
                </c:pt>
                <c:pt idx="12">
                  <c:v>5.7363320822249636E-7</c:v>
                </c:pt>
                <c:pt idx="13">
                  <c:v>5.8095453091356192E-7</c:v>
                </c:pt>
                <c:pt idx="14">
                  <c:v>5.8781954272117874E-7</c:v>
                </c:pt>
                <c:pt idx="15">
                  <c:v>5.9430559764965039E-7</c:v>
                </c:pt>
                <c:pt idx="16">
                  <c:v>6.0047280158970542E-7</c:v>
                </c:pt>
                <c:pt idx="17">
                  <c:v>6.0636867406036179E-7</c:v>
                </c:pt>
                <c:pt idx="18">
                  <c:v>6.1203136017624116E-7</c:v>
                </c:pt>
                <c:pt idx="19">
                  <c:v>6.1749189585569179E-7</c:v>
                </c:pt>
                <c:pt idx="20">
                  <c:v>6.2277583857755567E-7</c:v>
                </c:pt>
                <c:pt idx="21">
                  <c:v>6.2790446312384876E-7</c:v>
                </c:pt>
                <c:pt idx="22">
                  <c:v>6.3289565289179622E-7</c:v>
                </c:pt>
                <c:pt idx="23">
                  <c:v>6.3776457420993731E-7</c:v>
                </c:pt>
                <c:pt idx="24">
                  <c:v>6.4252419339252161E-7</c:v>
                </c:pt>
                <c:pt idx="25">
                  <c:v>6.4718567809222183E-7</c:v>
                </c:pt>
                <c:pt idx="26">
                  <c:v>6.5175871234966674E-7</c:v>
                </c:pt>
                <c:pt idx="27">
                  <c:v>6.5625174645277707E-7</c:v>
                </c:pt>
                <c:pt idx="28">
                  <c:v>6.6067219698047867E-7</c:v>
                </c:pt>
                <c:pt idx="29">
                  <c:v>6.6502660837070063E-7</c:v>
                </c:pt>
                <c:pt idx="30">
                  <c:v>6.6932078447599165E-7</c:v>
                </c:pt>
                <c:pt idx="31">
                  <c:v>6.7355989649270985E-7</c:v>
                </c:pt>
                <c:pt idx="32">
                  <c:v>6.7774857213148513E-7</c:v>
                </c:pt>
                <c:pt idx="33">
                  <c:v>6.8189096977465604E-7</c:v>
                </c:pt>
                <c:pt idx="34">
                  <c:v>6.8599084052862807E-7</c:v>
                </c:pt>
                <c:pt idx="35">
                  <c:v>6.9005158044746069E-7</c:v>
                </c:pt>
                <c:pt idx="36">
                  <c:v>6.9407627472345366E-7</c:v>
                </c:pt>
                <c:pt idx="37">
                  <c:v>6.980677352717847E-7</c:v>
                </c:pt>
                <c:pt idx="38">
                  <c:v>7.0202853285105568E-7</c:v>
                </c:pt>
                <c:pt idx="39">
                  <c:v>7.0596102463936234E-7</c:v>
                </c:pt>
                <c:pt idx="40">
                  <c:v>7.0986737801104701E-7</c:v>
                </c:pt>
                <c:pt idx="41">
                  <c:v>7.1374959112146828E-7</c:v>
                </c:pt>
                <c:pt idx="42">
                  <c:v>7.1760951079749031E-7</c:v>
                </c:pt>
                <c:pt idx="43">
                  <c:v>7.214488481437157E-7</c:v>
                </c:pt>
                <c:pt idx="44">
                  <c:v>7.2526919220389885E-7</c:v>
                </c:pt>
                <c:pt idx="45">
                  <c:v>7.2907202195990027E-7</c:v>
                </c:pt>
                <c:pt idx="46">
                  <c:v>7.3285871690409858E-7</c:v>
                </c:pt>
                <c:pt idx="47">
                  <c:v>7.3663056638323433E-7</c:v>
                </c:pt>
                <c:pt idx="48">
                  <c:v>7.403887778804919E-7</c:v>
                </c:pt>
                <c:pt idx="49">
                  <c:v>7.4413448437691478E-7</c:v>
                </c:pt>
                <c:pt idx="50">
                  <c:v>7.4786875091196216E-7</c:v>
                </c:pt>
                <c:pt idx="51">
                  <c:v>7.5159258044528428E-7</c:v>
                </c:pt>
                <c:pt idx="52">
                  <c:v>7.5530691910700662E-7</c:v>
                </c:pt>
                <c:pt idx="53">
                  <c:v>7.5901266091139139E-7</c:v>
                </c:pt>
                <c:pt idx="54">
                  <c:v>7.6271065199832808E-7</c:v>
                </c:pt>
                <c:pt idx="55">
                  <c:v>7.6640169445826387E-7</c:v>
                </c:pt>
                <c:pt idx="56">
                  <c:v>7.700865497887365E-7</c:v>
                </c:pt>
                <c:pt idx="57">
                  <c:v>7.7376594202431262E-7</c:v>
                </c:pt>
                <c:pt idx="58">
                  <c:v>7.7744056057632177E-7</c:v>
                </c:pt>
                <c:pt idx="59">
                  <c:v>7.8111106281415549E-7</c:v>
                </c:pt>
                <c:pt idx="60">
                  <c:v>7.8477807641592301E-7</c:v>
                </c:pt>
                <c:pt idx="61">
                  <c:v>7.884422015128338E-7</c:v>
                </c:pt>
                <c:pt idx="62">
                  <c:v>7.9210401264875932E-7</c:v>
                </c:pt>
                <c:pt idx="63">
                  <c:v>7.9576406057383744E-7</c:v>
                </c:pt>
                <c:pt idx="64">
                  <c:v>7.9942287388881516E-7</c:v>
                </c:pt>
                <c:pt idx="65">
                  <c:v>8.0308096055488351E-7</c:v>
                </c:pt>
                <c:pt idx="66">
                  <c:v>8.0673880928209872E-7</c:v>
                </c:pt>
                <c:pt idx="67">
                  <c:v>8.1039689080801506E-7</c:v>
                </c:pt>
                <c:pt idx="68">
                  <c:v>8.1405565907689296E-7</c:v>
                </c:pt>
                <c:pt idx="69">
                  <c:v>8.1771555232871126E-7</c:v>
                </c:pt>
                <c:pt idx="70">
                  <c:v>8.2137699410624299E-7</c:v>
                </c:pt>
                <c:pt idx="71">
                  <c:v>8.2504039418757993E-7</c:v>
                </c:pt>
                <c:pt idx="72">
                  <c:v>8.2870614945072822E-7</c:v>
                </c:pt>
                <c:pt idx="73">
                  <c:v>8.3237464467623076E-7</c:v>
                </c:pt>
                <c:pt idx="74">
                  <c:v>8.3604625329316603E-7</c:v>
                </c:pt>
                <c:pt idx="75">
                  <c:v>8.3972133807334129E-7</c:v>
                </c:pt>
                <c:pt idx="76">
                  <c:v>8.4340025177803884E-7</c:v>
                </c:pt>
                <c:pt idx="77">
                  <c:v>8.4708333776124473E-7</c:v>
                </c:pt>
                <c:pt idx="78">
                  <c:v>8.5077093053291996E-7</c:v>
                </c:pt>
                <c:pt idx="79">
                  <c:v>8.5446335628554009E-7</c:v>
                </c:pt>
                <c:pt idx="80">
                  <c:v>8.5816093338682263E-7</c:v>
                </c:pt>
                <c:pt idx="81">
                  <c:v>8.6186397284132344E-7</c:v>
                </c:pt>
                <c:pt idx="82">
                  <c:v>8.6557277872329346E-7</c:v>
                </c:pt>
                <c:pt idx="83">
                  <c:v>8.6928764858302756E-7</c:v>
                </c:pt>
                <c:pt idx="84">
                  <c:v>8.7300887382869579E-7</c:v>
                </c:pt>
                <c:pt idx="85">
                  <c:v>8.7673674008551378E-7</c:v>
                </c:pt>
                <c:pt idx="86">
                  <c:v>8.8047152753391507E-7</c:v>
                </c:pt>
                <c:pt idx="87">
                  <c:v>8.8421351122827012E-7</c:v>
                </c:pt>
                <c:pt idx="88">
                  <c:v>8.8796296139756731E-7</c:v>
                </c:pt>
                <c:pt idx="89">
                  <c:v>8.9172014372933527E-7</c:v>
                </c:pt>
                <c:pt idx="90">
                  <c:v>8.9548531963800803E-7</c:v>
                </c:pt>
                <c:pt idx="91">
                  <c:v>8.9925874651881316E-7</c:v>
                </c:pt>
                <c:pt idx="92">
                  <c:v>9.0304067798819632E-7</c:v>
                </c:pt>
                <c:pt idx="93">
                  <c:v>9.0683136411170215E-7</c:v>
                </c:pt>
                <c:pt idx="94">
                  <c:v>9.106310516201719E-7</c:v>
                </c:pt>
                <c:pt idx="95">
                  <c:v>9.1443998411503223E-7</c:v>
                </c:pt>
                <c:pt idx="96">
                  <c:v>9.1825840226342899E-7</c:v>
                </c:pt>
                <c:pt idx="97">
                  <c:v>9.2208654398384415E-7</c:v>
                </c:pt>
                <c:pt idx="98">
                  <c:v>9.2592464462285237E-7</c:v>
                </c:pt>
                <c:pt idx="99">
                  <c:v>9.2977293712357814E-7</c:v>
                </c:pt>
                <c:pt idx="100">
                  <c:v>9.336316521863881E-7</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22537278278.003361</c:v>
                </c:pt>
                <c:pt idx="1">
                  <c:v>21879563363.005646</c:v>
                </c:pt>
                <c:pt idx="2">
                  <c:v>21179511669.777481</c:v>
                </c:pt>
                <c:pt idx="3">
                  <c:v>29093539930.610878</c:v>
                </c:pt>
                <c:pt idx="4">
                  <c:v>38286807081.37793</c:v>
                </c:pt>
                <c:pt idx="5">
                  <c:v>47302829530.274719</c:v>
                </c:pt>
                <c:pt idx="6">
                  <c:v>56160548427.747429</c:v>
                </c:pt>
                <c:pt idx="7">
                  <c:v>64873868954.163567</c:v>
                </c:pt>
                <c:pt idx="8">
                  <c:v>73453564913.05542</c:v>
                </c:pt>
                <c:pt idx="9">
                  <c:v>81908304250.282318</c:v>
                </c:pt>
                <c:pt idx="10">
                  <c:v>90245257675.876099</c:v>
                </c:pt>
                <c:pt idx="11">
                  <c:v>98470486051.027023</c:v>
                </c:pt>
                <c:pt idx="12">
                  <c:v>106589200379.90515</c:v>
                </c:pt>
                <c:pt idx="13">
                  <c:v>114605943720.08307</c:v>
                </c:pt>
                <c:pt idx="14">
                  <c:v>122524722814.46877</c:v>
                </c:pt>
                <c:pt idx="15">
                  <c:v>130349106022.49304</c:v>
                </c:pt>
                <c:pt idx="16">
                  <c:v>138082297897.71414</c:v>
                </c:pt>
                <c:pt idx="17">
                  <c:v>145727197121.05853</c:v>
                </c:pt>
                <c:pt idx="18">
                  <c:v>153286442282.82559</c:v>
                </c:pt>
                <c:pt idx="19">
                  <c:v>160762448607.09949</c:v>
                </c:pt>
                <c:pt idx="20">
                  <c:v>168157437800.56122</c:v>
                </c:pt>
                <c:pt idx="21">
                  <c:v>175473462597.55774</c:v>
                </c:pt>
                <c:pt idx="22">
                  <c:v>182712427155.11044</c:v>
                </c:pt>
                <c:pt idx="23">
                  <c:v>189876104158.84082</c:v>
                </c:pt>
                <c:pt idx="24">
                  <c:v>196966149292.01556</c:v>
                </c:pt>
                <c:pt idx="25">
                  <c:v>203984113568.46152</c:v>
                </c:pt>
                <c:pt idx="26">
                  <c:v>210931453918.54337</c:v>
                </c:pt>
                <c:pt idx="27">
                  <c:v>217809542334.07523</c:v>
                </c:pt>
                <c:pt idx="28">
                  <c:v>224619673815.01733</c:v>
                </c:pt>
                <c:pt idx="29">
                  <c:v>231363073312.57773</c:v>
                </c:pt>
                <c:pt idx="30">
                  <c:v>238040901826.04224</c:v>
                </c:pt>
                <c:pt idx="31">
                  <c:v>244654261781.51956</c:v>
                </c:pt>
                <c:pt idx="32">
                  <c:v>251204201797.82489</c:v>
                </c:pt>
                <c:pt idx="33">
                  <c:v>257691720926.47351</c:v>
                </c:pt>
                <c:pt idx="34">
                  <c:v>264117772438.12354</c:v>
                </c:pt>
                <c:pt idx="35">
                  <c:v>270483267216.00974</c:v>
                </c:pt>
                <c:pt idx="36">
                  <c:v>276789076807.31244</c:v>
                </c:pt>
                <c:pt idx="37">
                  <c:v>283036036175.55927</c:v>
                </c:pt>
                <c:pt idx="38">
                  <c:v>289224946190.70306</c:v>
                </c:pt>
                <c:pt idx="39">
                  <c:v>295356575888.17047</c:v>
                </c:pt>
                <c:pt idx="40">
                  <c:v>301431664523.73553</c:v>
                </c:pt>
                <c:pt idx="41">
                  <c:v>307450923447.34631</c:v>
                </c:pt>
                <c:pt idx="42">
                  <c:v>313415037815.91669</c:v>
                </c:pt>
                <c:pt idx="43">
                  <c:v>319324668162.44769</c:v>
                </c:pt>
                <c:pt idx="44">
                  <c:v>325180451836.61548</c:v>
                </c:pt>
                <c:pt idx="45">
                  <c:v>330983004330.05292</c:v>
                </c:pt>
                <c:pt idx="46">
                  <c:v>336732920497.92712</c:v>
                </c:pt>
                <c:pt idx="47">
                  <c:v>342430775687.01984</c:v>
                </c:pt>
                <c:pt idx="48">
                  <c:v>348077126779.31354</c:v>
                </c:pt>
                <c:pt idx="49">
                  <c:v>353672513159.05463</c:v>
                </c:pt>
                <c:pt idx="50">
                  <c:v>359217457610.35376</c:v>
                </c:pt>
                <c:pt idx="51">
                  <c:v>364712467151.61786</c:v>
                </c:pt>
                <c:pt idx="52">
                  <c:v>370158033812.40961</c:v>
                </c:pt>
                <c:pt idx="53">
                  <c:v>375554635357.74969</c:v>
                </c:pt>
                <c:pt idx="54">
                  <c:v>380902735964.34283</c:v>
                </c:pt>
                <c:pt idx="55">
                  <c:v>386202786852.75537</c:v>
                </c:pt>
                <c:pt idx="56">
                  <c:v>391455226879.16772</c:v>
                </c:pt>
                <c:pt idx="57">
                  <c:v>396660483089.96393</c:v>
                </c:pt>
                <c:pt idx="58">
                  <c:v>401818971242.10773</c:v>
                </c:pt>
                <c:pt idx="59">
                  <c:v>406931096291.97186</c:v>
                </c:pt>
                <c:pt idx="60">
                  <c:v>411997252855.03479</c:v>
                </c:pt>
                <c:pt idx="61">
                  <c:v>417017825638.64807</c:v>
                </c:pt>
                <c:pt idx="62">
                  <c:v>421993189849.85724</c:v>
                </c:pt>
                <c:pt idx="63">
                  <c:v>426923711580.1059</c:v>
                </c:pt>
                <c:pt idx="64">
                  <c:v>431809748168.47614</c:v>
                </c:pt>
                <c:pt idx="65">
                  <c:v>436651648544.98114</c:v>
                </c:pt>
                <c:pt idx="66">
                  <c:v>441449753555.29614</c:v>
                </c:pt>
                <c:pt idx="67">
                  <c:v>446204396268.20245</c:v>
                </c:pt>
                <c:pt idx="68">
                  <c:v>450915902266.90375</c:v>
                </c:pt>
                <c:pt idx="69">
                  <c:v>455584589925.2926</c:v>
                </c:pt>
                <c:pt idx="70">
                  <c:v>460210770670.14783</c:v>
                </c:pt>
                <c:pt idx="71">
                  <c:v>464794749230.17297</c:v>
                </c:pt>
                <c:pt idx="72">
                  <c:v>469336823872.71295</c:v>
                </c:pt>
                <c:pt idx="73">
                  <c:v>473837286628.92108</c:v>
                </c:pt>
                <c:pt idx="74">
                  <c:v>478296423508.09039</c:v>
                </c:pt>
                <c:pt idx="75">
                  <c:v>482714514701.81244</c:v>
                </c:pt>
                <c:pt idx="76">
                  <c:v>487091834778.57635</c:v>
                </c:pt>
                <c:pt idx="77">
                  <c:v>491428652869.37305</c:v>
                </c:pt>
                <c:pt idx="78">
                  <c:v>495725232844.83362</c:v>
                </c:pt>
                <c:pt idx="79">
                  <c:v>499981833484.39429</c:v>
                </c:pt>
                <c:pt idx="80">
                  <c:v>504198708637.94318</c:v>
                </c:pt>
                <c:pt idx="81">
                  <c:v>508376107380.36511</c:v>
                </c:pt>
                <c:pt idx="82">
                  <c:v>512514274159.39532</c:v>
                </c:pt>
                <c:pt idx="83">
                  <c:v>516613448937.13531</c:v>
                </c:pt>
                <c:pt idx="84">
                  <c:v>520673867325.5885</c:v>
                </c:pt>
                <c:pt idx="85">
                  <c:v>524695760716.5235</c:v>
                </c:pt>
                <c:pt idx="86">
                  <c:v>528679356405.98035</c:v>
                </c:pt>
                <c:pt idx="87">
                  <c:v>532624877713.69141</c:v>
                </c:pt>
                <c:pt idx="88">
                  <c:v>536532544097.6825</c:v>
                </c:pt>
                <c:pt idx="89">
                  <c:v>540402571264.30511</c:v>
                </c:pt>
                <c:pt idx="90">
                  <c:v>544235171273.92493</c:v>
                </c:pt>
                <c:pt idx="91">
                  <c:v>548030552642.49371</c:v>
                </c:pt>
                <c:pt idx="92">
                  <c:v>551788920439.19751</c:v>
                </c:pt>
                <c:pt idx="93">
                  <c:v>555510476380.38416</c:v>
                </c:pt>
                <c:pt idx="94">
                  <c:v>559195418919.94299</c:v>
                </c:pt>
                <c:pt idx="95">
                  <c:v>562843943336.31213</c:v>
                </c:pt>
                <c:pt idx="96">
                  <c:v>566456241816.26819</c:v>
                </c:pt>
                <c:pt idx="97">
                  <c:v>570032503535.65747</c:v>
                </c:pt>
                <c:pt idx="98">
                  <c:v>573572914737.20337</c:v>
                </c:pt>
                <c:pt idx="99">
                  <c:v>577077658805.52649</c:v>
                </c:pt>
                <c:pt idx="100">
                  <c:v>580546916339.50964</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241803379.63662833</c:v>
                </c:pt>
                <c:pt idx="1">
                  <c:v>3998349811.1911373</c:v>
                </c:pt>
                <c:pt idx="2">
                  <c:v>7996819693.3213625</c:v>
                </c:pt>
                <c:pt idx="3">
                  <c:v>8463587647.2053003</c:v>
                </c:pt>
                <c:pt idx="4">
                  <c:v>8463860672.0662355</c:v>
                </c:pt>
                <c:pt idx="5">
                  <c:v>8464161922.8861313</c:v>
                </c:pt>
                <c:pt idx="6">
                  <c:v>8464489116.9225035</c:v>
                </c:pt>
                <c:pt idx="7">
                  <c:v>8464840418.5986557</c:v>
                </c:pt>
                <c:pt idx="8">
                  <c:v>8465214322.6472197</c:v>
                </c:pt>
                <c:pt idx="9">
                  <c:v>8465609570.0887146</c:v>
                </c:pt>
                <c:pt idx="10">
                  <c:v>8466025089.6368675</c:v>
                </c:pt>
                <c:pt idx="11">
                  <c:v>8466459956.2842102</c:v>
                </c:pt>
                <c:pt idx="12">
                  <c:v>8466913361.3691368</c:v>
                </c:pt>
                <c:pt idx="13">
                  <c:v>8467384590.4389305</c:v>
                </c:pt>
                <c:pt idx="14">
                  <c:v>8467873006.525178</c:v>
                </c:pt>
                <c:pt idx="15">
                  <c:v>8468378037.2632589</c:v>
                </c:pt>
                <c:pt idx="16">
                  <c:v>8468899164.8012104</c:v>
                </c:pt>
                <c:pt idx="17">
                  <c:v>8469435917.7725859</c:v>
                </c:pt>
                <c:pt idx="18">
                  <c:v>8469987864.8240061</c:v>
                </c:pt>
                <c:pt idx="19">
                  <c:v>8470554609.3326006</c:v>
                </c:pt>
                <c:pt idx="20">
                  <c:v>8471135785.0473557</c:v>
                </c:pt>
                <c:pt idx="21">
                  <c:v>8471731052.4573326</c:v>
                </c:pt>
                <c:pt idx="22">
                  <c:v>8472340095.7384853</c:v>
                </c:pt>
                <c:pt idx="23">
                  <c:v>8472962620.1660805</c:v>
                </c:pt>
                <c:pt idx="24">
                  <c:v>8473598349.9054689</c:v>
                </c:pt>
                <c:pt idx="25">
                  <c:v>8474247026.1130981</c:v>
                </c:pt>
                <c:pt idx="26">
                  <c:v>8474908405.2940331</c:v>
                </c:pt>
                <c:pt idx="27">
                  <c:v>8475582257.8731537</c:v>
                </c:pt>
                <c:pt idx="28">
                  <c:v>8476268366.9456615</c:v>
                </c:pt>
                <c:pt idx="29">
                  <c:v>8476966527.1789913</c:v>
                </c:pt>
                <c:pt idx="30">
                  <c:v>8477676543.8433609</c:v>
                </c:pt>
                <c:pt idx="31">
                  <c:v>8478398231.9522333</c:v>
                </c:pt>
                <c:pt idx="32">
                  <c:v>8479131415.4972191</c:v>
                </c:pt>
                <c:pt idx="33">
                  <c:v>8479875926.7644625</c:v>
                </c:pt>
                <c:pt idx="34">
                  <c:v>8480631605.7217121</c:v>
                </c:pt>
                <c:pt idx="35">
                  <c:v>8481398299.46696</c:v>
                </c:pt>
                <c:pt idx="36">
                  <c:v>8482175861.730937</c:v>
                </c:pt>
                <c:pt idx="37">
                  <c:v>8482964152.4268484</c:v>
                </c:pt>
                <c:pt idx="38">
                  <c:v>8483763037.2417889</c:v>
                </c:pt>
                <c:pt idx="39">
                  <c:v>8484572387.2649889</c:v>
                </c:pt>
                <c:pt idx="40">
                  <c:v>8485392078.6487293</c:v>
                </c:pt>
                <c:pt idx="41">
                  <c:v>8486221992.298316</c:v>
                </c:pt>
                <c:pt idx="42">
                  <c:v>8487062013.5880299</c:v>
                </c:pt>
                <c:pt idx="43">
                  <c:v>8487912032.1002712</c:v>
                </c:pt>
                <c:pt idx="44">
                  <c:v>8488771941.3855743</c:v>
                </c:pt>
                <c:pt idx="45">
                  <c:v>8489641638.7413387</c:v>
                </c:pt>
                <c:pt idx="46">
                  <c:v>8490521025.0074902</c:v>
                </c:pt>
                <c:pt idx="47">
                  <c:v>8491410004.377408</c:v>
                </c:pt>
                <c:pt idx="48">
                  <c:v>8492308484.2227097</c:v>
                </c:pt>
                <c:pt idx="49">
                  <c:v>8493216374.9306011</c:v>
                </c:pt>
                <c:pt idx="50">
                  <c:v>8494133589.7526445</c:v>
                </c:pt>
                <c:pt idx="51">
                  <c:v>8495060044.6639748</c:v>
                </c:pt>
                <c:pt idx="52">
                  <c:v>8495995658.2320147</c:v>
                </c:pt>
                <c:pt idx="53">
                  <c:v>8496940351.4938965</c:v>
                </c:pt>
                <c:pt idx="54">
                  <c:v>8497894047.8418636</c:v>
                </c:pt>
                <c:pt idx="55">
                  <c:v>8498856672.9159937</c:v>
                </c:pt>
                <c:pt idx="56">
                  <c:v>8499828154.5036469</c:v>
                </c:pt>
                <c:pt idx="57">
                  <c:v>8500808422.4451408</c:v>
                </c:pt>
                <c:pt idx="58">
                  <c:v>8501797408.5451012</c:v>
                </c:pt>
                <c:pt idx="59">
                  <c:v>8502795046.4891081</c:v>
                </c:pt>
                <c:pt idx="60">
                  <c:v>8503801271.765254</c:v>
                </c:pt>
                <c:pt idx="61">
                  <c:v>8504816021.5901585</c:v>
                </c:pt>
                <c:pt idx="62">
                  <c:v>8505839234.8392305</c:v>
                </c:pt>
                <c:pt idx="63">
                  <c:v>8506870851.9808054</c:v>
                </c:pt>
                <c:pt idx="64">
                  <c:v>8507910815.013876</c:v>
                </c:pt>
                <c:pt idx="65">
                  <c:v>8508959067.4092245</c:v>
                </c:pt>
                <c:pt idx="66">
                  <c:v>8510015554.0536566</c:v>
                </c:pt>
                <c:pt idx="67">
                  <c:v>8511080221.1971788</c:v>
                </c:pt>
                <c:pt idx="68">
                  <c:v>8512153016.4029093</c:v>
                </c:pt>
                <c:pt idx="69">
                  <c:v>8513233888.4995241</c:v>
                </c:pt>
                <c:pt idx="70">
                  <c:v>8514322787.5360861</c:v>
                </c:pt>
                <c:pt idx="71">
                  <c:v>8515419664.7391453</c:v>
                </c:pt>
                <c:pt idx="72">
                  <c:v>8516524472.4718838</c:v>
                </c:pt>
                <c:pt idx="73">
                  <c:v>8517637164.1952658</c:v>
                </c:pt>
                <c:pt idx="74">
                  <c:v>8518757694.4310102</c:v>
                </c:pt>
                <c:pt idx="75">
                  <c:v>8519886018.7263174</c:v>
                </c:pt>
                <c:pt idx="76">
                  <c:v>8521022093.6201925</c:v>
                </c:pt>
                <c:pt idx="77">
                  <c:v>8522165876.6113462</c:v>
                </c:pt>
                <c:pt idx="78">
                  <c:v>8523317326.1275215</c:v>
                </c:pt>
                <c:pt idx="79">
                  <c:v>8524476401.4961853</c:v>
                </c:pt>
                <c:pt idx="80">
                  <c:v>8525643062.9164953</c:v>
                </c:pt>
                <c:pt idx="81">
                  <c:v>8526817271.4325171</c:v>
                </c:pt>
                <c:pt idx="82">
                  <c:v>8527998988.9075565</c:v>
                </c:pt>
                <c:pt idx="83">
                  <c:v>8529188177.9995899</c:v>
                </c:pt>
                <c:pt idx="84">
                  <c:v>8530384802.1377344</c:v>
                </c:pt>
                <c:pt idx="85">
                  <c:v>8531588825.4996538</c:v>
                </c:pt>
                <c:pt idx="86">
                  <c:v>8532800212.9899483</c:v>
                </c:pt>
                <c:pt idx="87">
                  <c:v>8534018930.2193537</c:v>
                </c:pt>
                <c:pt idx="88">
                  <c:v>8535244943.4848204</c:v>
                </c:pt>
                <c:pt idx="89">
                  <c:v>8536478219.7503414</c:v>
                </c:pt>
                <c:pt idx="90">
                  <c:v>8537718726.6285534</c:v>
                </c:pt>
                <c:pt idx="91">
                  <c:v>8538966432.3630505</c:v>
                </c:pt>
                <c:pt idx="92">
                  <c:v>8540221305.8113546</c:v>
                </c:pt>
                <c:pt idx="93">
                  <c:v>8541483316.428544</c:v>
                </c:pt>
                <c:pt idx="94">
                  <c:v>8542752434.2514887</c:v>
                </c:pt>
                <c:pt idx="95">
                  <c:v>8544028629.883667</c:v>
                </c:pt>
                <c:pt idx="96">
                  <c:v>8545311874.4805508</c:v>
                </c:pt>
                <c:pt idx="97">
                  <c:v>8546602139.735507</c:v>
                </c:pt>
                <c:pt idx="98">
                  <c:v>8547899397.8662004</c:v>
                </c:pt>
                <c:pt idx="99">
                  <c:v>8549203621.6015053</c:v>
                </c:pt>
                <c:pt idx="100">
                  <c:v>8550514784.1688547</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-14000.109298836087</c:v>
                </c:pt>
                <c:pt idx="1">
                  <c:v>-13999.938150427995</c:v>
                </c:pt>
                <c:pt idx="2">
                  <c:v>-13999.756232553031</c:v>
                </c:pt>
                <c:pt idx="3">
                  <c:v>-13999.543382840315</c:v>
                </c:pt>
                <c:pt idx="4">
                  <c:v>-13999.337626698314</c:v>
                </c:pt>
                <c:pt idx="5">
                  <c:v>-13999.140768172738</c:v>
                </c:pt>
                <c:pt idx="6">
                  <c:v>-13998.948376106282</c:v>
                </c:pt>
                <c:pt idx="7">
                  <c:v>-13998.758545275767</c:v>
                </c:pt>
                <c:pt idx="8">
                  <c:v>-13998.570320325764</c:v>
                </c:pt>
                <c:pt idx="9">
                  <c:v>-13998.38316911189</c:v>
                </c:pt>
                <c:pt idx="10">
                  <c:v>-13998.196771573937</c:v>
                </c:pt>
                <c:pt idx="11">
                  <c:v>-13998.010923576207</c:v>
                </c:pt>
                <c:pt idx="12">
                  <c:v>-13997.825488738152</c:v>
                </c:pt>
                <c:pt idx="13">
                  <c:v>-13997.640372451759</c:v>
                </c:pt>
                <c:pt idx="14">
                  <c:v>-13997.4555070099</c:v>
                </c:pt>
                <c:pt idx="15">
                  <c:v>-13997.270842669346</c:v>
                </c:pt>
                <c:pt idx="16">
                  <c:v>-13997.08634205686</c:v>
                </c:pt>
                <c:pt idx="17">
                  <c:v>-13996.901976544372</c:v>
                </c:pt>
                <c:pt idx="18">
                  <c:v>-13996.71772382913</c:v>
                </c:pt>
                <c:pt idx="19">
                  <c:v>-13996.533566275843</c:v>
                </c:pt>
                <c:pt idx="20">
                  <c:v>-13996.349489754617</c:v>
                </c:pt>
                <c:pt idx="21">
                  <c:v>-13996.165482809969</c:v>
                </c:pt>
                <c:pt idx="22">
                  <c:v>-13995.98153605568</c:v>
                </c:pt>
                <c:pt idx="23">
                  <c:v>-13995.797641727013</c:v>
                </c:pt>
                <c:pt idx="24">
                  <c:v>-13995.613793344481</c:v>
                </c:pt>
                <c:pt idx="25">
                  <c:v>-13995.429985458062</c:v>
                </c:pt>
                <c:pt idx="26">
                  <c:v>-13995.246213450169</c:v>
                </c:pt>
                <c:pt idx="27">
                  <c:v>-13995.062473382312</c:v>
                </c:pt>
                <c:pt idx="28">
                  <c:v>-13994.878761874415</c:v>
                </c:pt>
                <c:pt idx="29">
                  <c:v>-13994.695076009084</c:v>
                </c:pt>
                <c:pt idx="30">
                  <c:v>-13994.51141325489</c:v>
                </c:pt>
                <c:pt idx="31">
                  <c:v>-13994.327771404456</c:v>
                </c:pt>
                <c:pt idx="32">
                  <c:v>-13994.144148524127</c:v>
                </c:pt>
                <c:pt idx="33">
                  <c:v>-13993.960542912702</c:v>
                </c:pt>
                <c:pt idx="34">
                  <c:v>-13993.776953067474</c:v>
                </c:pt>
                <c:pt idx="35">
                  <c:v>-13993.593377656032</c:v>
                </c:pt>
                <c:pt idx="36">
                  <c:v>-13993.409815492751</c:v>
                </c:pt>
                <c:pt idx="37">
                  <c:v>-13993.226265519064</c:v>
                </c:pt>
                <c:pt idx="38">
                  <c:v>-13993.042726786874</c:v>
                </c:pt>
                <c:pt idx="39">
                  <c:v>-13992.859198444454</c:v>
                </c:pt>
                <c:pt idx="40">
                  <c:v>-13992.675679724485</c:v>
                </c:pt>
                <c:pt idx="41">
                  <c:v>-13992.492169933841</c:v>
                </c:pt>
                <c:pt idx="42">
                  <c:v>-13992.308668444799</c:v>
                </c:pt>
                <c:pt idx="43">
                  <c:v>-13992.12517468748</c:v>
                </c:pt>
                <c:pt idx="44">
                  <c:v>-13991.941688143341</c:v>
                </c:pt>
                <c:pt idx="45">
                  <c:v>-13991.758208339488</c:v>
                </c:pt>
                <c:pt idx="46">
                  <c:v>-13991.574734843767</c:v>
                </c:pt>
                <c:pt idx="47">
                  <c:v>-13991.391267260435</c:v>
                </c:pt>
                <c:pt idx="48">
                  <c:v>-13991.207805226421</c:v>
                </c:pt>
                <c:pt idx="49">
                  <c:v>-13991.024348407998</c:v>
                </c:pt>
                <c:pt idx="50">
                  <c:v>-13990.840896497877</c:v>
                </c:pt>
                <c:pt idx="51">
                  <c:v>-13990.657449212633</c:v>
                </c:pt>
                <c:pt idx="52">
                  <c:v>-13990.474006290418</c:v>
                </c:pt>
                <c:pt idx="53">
                  <c:v>-13990.290567488953</c:v>
                </c:pt>
                <c:pt idx="54">
                  <c:v>-13990.107132583726</c:v>
                </c:pt>
                <c:pt idx="55">
                  <c:v>-13989.923701366386</c:v>
                </c:pt>
                <c:pt idx="56">
                  <c:v>-13989.740273643316</c:v>
                </c:pt>
                <c:pt idx="57">
                  <c:v>-13989.556849234337</c:v>
                </c:pt>
                <c:pt idx="58">
                  <c:v>-13989.373427971579</c:v>
                </c:pt>
                <c:pt idx="59">
                  <c:v>-13989.190009698428</c:v>
                </c:pt>
                <c:pt idx="60">
                  <c:v>-13989.006594268607</c:v>
                </c:pt>
                <c:pt idx="61">
                  <c:v>-13988.823181545333</c:v>
                </c:pt>
                <c:pt idx="62">
                  <c:v>-13988.639771400549</c:v>
                </c:pt>
                <c:pt idx="63">
                  <c:v>-13988.456363714249</c:v>
                </c:pt>
                <c:pt idx="64">
                  <c:v>-13988.272958373846</c:v>
                </c:pt>
                <c:pt idx="65">
                  <c:v>-13988.089555273613</c:v>
                </c:pt>
                <c:pt idx="66">
                  <c:v>-13987.906154314152</c:v>
                </c:pt>
                <c:pt idx="67">
                  <c:v>-13987.722755401954</c:v>
                </c:pt>
                <c:pt idx="68">
                  <c:v>-13987.539358448941</c:v>
                </c:pt>
                <c:pt idx="69">
                  <c:v>-13987.355963372094</c:v>
                </c:pt>
                <c:pt idx="70">
                  <c:v>-13987.172570093077</c:v>
                </c:pt>
                <c:pt idx="71">
                  <c:v>-13986.989178537933</c:v>
                </c:pt>
                <c:pt idx="72">
                  <c:v>-13986.805788636768</c:v>
                </c:pt>
                <c:pt idx="73">
                  <c:v>-13986.622400323477</c:v>
                </c:pt>
                <c:pt idx="74">
                  <c:v>-13986.439013535486</c:v>
                </c:pt>
                <c:pt idx="75">
                  <c:v>-13986.255628213534</c:v>
                </c:pt>
                <c:pt idx="76">
                  <c:v>-13986.072244301438</c:v>
                </c:pt>
                <c:pt idx="77">
                  <c:v>-13985.888861745909</c:v>
                </c:pt>
                <c:pt idx="78">
                  <c:v>-13985.705480496363</c:v>
                </c:pt>
                <c:pt idx="79">
                  <c:v>-13985.522100504748</c:v>
                </c:pt>
                <c:pt idx="80">
                  <c:v>-13985.338721725391</c:v>
                </c:pt>
                <c:pt idx="81">
                  <c:v>-13985.155344114859</c:v>
                </c:pt>
                <c:pt idx="82">
                  <c:v>-13984.971967631807</c:v>
                </c:pt>
                <c:pt idx="83">
                  <c:v>-13984.788592236866</c:v>
                </c:pt>
                <c:pt idx="84">
                  <c:v>-13984.605217892533</c:v>
                </c:pt>
                <c:pt idx="85">
                  <c:v>-13984.421844563039</c:v>
                </c:pt>
                <c:pt idx="86">
                  <c:v>-13984.238472214276</c:v>
                </c:pt>
                <c:pt idx="87">
                  <c:v>-13984.055100813675</c:v>
                </c:pt>
                <c:pt idx="88">
                  <c:v>-13983.871730330155</c:v>
                </c:pt>
                <c:pt idx="89">
                  <c:v>-13983.688360734001</c:v>
                </c:pt>
                <c:pt idx="90">
                  <c:v>-13983.504991996811</c:v>
                </c:pt>
                <c:pt idx="91">
                  <c:v>-13983.321624091433</c:v>
                </c:pt>
                <c:pt idx="92">
                  <c:v>-13983.138256991868</c:v>
                </c:pt>
                <c:pt idx="93">
                  <c:v>-13982.954890673242</c:v>
                </c:pt>
                <c:pt idx="94">
                  <c:v>-13982.771525111715</c:v>
                </c:pt>
                <c:pt idx="95">
                  <c:v>-13982.588160284464</c:v>
                </c:pt>
                <c:pt idx="96">
                  <c:v>-13982.404796169592</c:v>
                </c:pt>
                <c:pt idx="97">
                  <c:v>-13982.22143274611</c:v>
                </c:pt>
                <c:pt idx="98">
                  <c:v>-13982.038069993872</c:v>
                </c:pt>
                <c:pt idx="99">
                  <c:v>-13981.854707893544</c:v>
                </c:pt>
                <c:pt idx="100">
                  <c:v>-13981.67134642657</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de-DE"/>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de-DE"/>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0.15</c:v>
                </c:pt>
                <c:pt idx="1">
                  <c:v>0.15</c:v>
                </c:pt>
                <c:pt idx="2">
                  <c:v>0.15</c:v>
                </c:pt>
                <c:pt idx="3">
                  <c:v>0.15</c:v>
                </c:pt>
                <c:pt idx="4">
                  <c:v>0.15</c:v>
                </c:pt>
                <c:pt idx="5">
                  <c:v>0.15</c:v>
                </c:pt>
                <c:pt idx="6">
                  <c:v>0.15</c:v>
                </c:pt>
                <c:pt idx="7">
                  <c:v>0.15</c:v>
                </c:pt>
                <c:pt idx="8">
                  <c:v>0.15229044931439711</c:v>
                </c:pt>
                <c:pt idx="9">
                  <c:v>0.16152841413023458</c:v>
                </c:pt>
                <c:pt idx="10">
                  <c:v>0.17026589849548909</c:v>
                </c:pt>
                <c:pt idx="11">
                  <c:v>0.17857638088370983</c:v>
                </c:pt>
                <c:pt idx="12">
                  <c:v>0.1865169467597286</c:v>
                </c:pt>
                <c:pt idx="13">
                  <c:v>0.19413299319698096</c:v>
                </c:pt>
                <c:pt idx="14">
                  <c:v>0.20146132796809088</c:v>
                </c:pt>
                <c:pt idx="15">
                  <c:v>0.20853228595523113</c:v>
                </c:pt>
                <c:pt idx="16">
                  <c:v>0.21537121884031279</c:v>
                </c:pt>
                <c:pt idx="17">
                  <c:v>0.22199957099915651</c:v>
                </c:pt>
                <c:pt idx="18">
                  <c:v>0.22843567397159564</c:v>
                </c:pt>
                <c:pt idx="19">
                  <c:v>0.23469534456802668</c:v>
                </c:pt>
                <c:pt idx="20">
                  <c:v>0.24079234286196144</c:v>
                </c:pt>
                <c:pt idx="21">
                  <c:v>0.24673872821265819</c:v>
                </c:pt>
                <c:pt idx="22">
                  <c:v>0.25254513976524595</c:v>
                </c:pt>
                <c:pt idx="23">
                  <c:v>0.25822102013216364</c:v>
                </c:pt>
                <c:pt idx="24">
                  <c:v>0.26377479572002871</c:v>
                </c:pt>
                <c:pt idx="25">
                  <c:v>0.26921402355039104</c:v>
                </c:pt>
                <c:pt idx="26">
                  <c:v>0.27454551188325427</c:v>
                </c:pt>
                <c:pt idx="27">
                  <c:v>0.27977542013959289</c:v>
                </c:pt>
                <c:pt idx="28">
                  <c:v>0.28490934230616821</c:v>
                </c:pt>
                <c:pt idx="29">
                  <c:v>0.28995237704212901</c:v>
                </c:pt>
                <c:pt idx="30">
                  <c:v>0.29490918699055235</c:v>
                </c:pt>
                <c:pt idx="31">
                  <c:v>0.29978404925958985</c:v>
                </c:pt>
                <c:pt idx="32">
                  <c:v>0.30458089862879423</c:v>
                </c:pt>
                <c:pt idx="33">
                  <c:v>0.30930336472235709</c:v>
                </c:pt>
                <c:pt idx="34">
                  <c:v>0.31395480414801596</c:v>
                </c:pt>
                <c:pt idx="35">
                  <c:v>0.31853832841067442</c:v>
                </c:pt>
                <c:pt idx="36">
                  <c:v>0.32305682826046916</c:v>
                </c:pt>
                <c:pt idx="37">
                  <c:v>0.32751299501662817</c:v>
                </c:pt>
                <c:pt idx="38">
                  <c:v>0.33190933931393002</c:v>
                </c:pt>
                <c:pt idx="39">
                  <c:v>0.33624820764259422</c:v>
                </c:pt>
                <c:pt idx="40">
                  <c:v>0.34053179699097819</c:v>
                </c:pt>
                <c:pt idx="41">
                  <c:v>0.34476216785046526</c:v>
                </c:pt>
                <c:pt idx="42">
                  <c:v>0.34894125580103025</c:v>
                </c:pt>
                <c:pt idx="43">
                  <c:v>0.35307088186233598</c:v>
                </c:pt>
                <c:pt idx="44">
                  <c:v>0.35715276176741967</c:v>
                </c:pt>
                <c:pt idx="45">
                  <c:v>0.36118851429294219</c:v>
                </c:pt>
                <c:pt idx="46">
                  <c:v>0.36517966876072178</c:v>
                </c:pt>
                <c:pt idx="47">
                  <c:v>0.36912767180914263</c:v>
                </c:pt>
                <c:pt idx="48">
                  <c:v>0.3730338935194572</c:v>
                </c:pt>
                <c:pt idx="49">
                  <c:v>0.3768996329705474</c:v>
                </c:pt>
                <c:pt idx="50">
                  <c:v>0.38072612328599276</c:v>
                </c:pt>
                <c:pt idx="51">
                  <c:v>0.38451453622903331</c:v>
                </c:pt>
                <c:pt idx="52">
                  <c:v>0.38826598639396193</c:v>
                </c:pt>
                <c:pt idx="53">
                  <c:v>0.39198153503643995</c:v>
                </c:pt>
                <c:pt idx="54">
                  <c:v>0.39566219358004306</c:v>
                </c:pt>
                <c:pt idx="55">
                  <c:v>0.39930892683186919</c:v>
                </c:pt>
                <c:pt idx="56">
                  <c:v>0.40292265593618176</c:v>
                </c:pt>
                <c:pt idx="57">
                  <c:v>0.40650426109170651</c:v>
                </c:pt>
                <c:pt idx="58">
                  <c:v>0.4100545840552961</c:v>
                </c:pt>
                <c:pt idx="59">
                  <c:v>0.41357443045213699</c:v>
                </c:pt>
                <c:pt idx="60">
                  <c:v>0.41706457191046226</c:v>
                </c:pt>
                <c:pt idx="61">
                  <c:v>0.42052574803679355</c:v>
                </c:pt>
                <c:pt idx="62">
                  <c:v>0.42395866824603595</c:v>
                </c:pt>
                <c:pt idx="63">
                  <c:v>0.42736401345925235</c:v>
                </c:pt>
                <c:pt idx="64">
                  <c:v>0.43074243768062559</c:v>
                </c:pt>
                <c:pt idx="65">
                  <c:v>0.43409456946395358</c:v>
                </c:pt>
                <c:pt idx="66">
                  <c:v>0.43742101327798927</c:v>
                </c:pt>
                <c:pt idx="67">
                  <c:v>0.44072235077902561</c:v>
                </c:pt>
                <c:pt idx="68">
                  <c:v>0.44399914199831303</c:v>
                </c:pt>
                <c:pt idx="69">
                  <c:v>0.44725192645117323</c:v>
                </c:pt>
                <c:pt idx="70">
                  <c:v>0.45048122417403075</c:v>
                </c:pt>
                <c:pt idx="71">
                  <c:v>0.45368753669500439</c:v>
                </c:pt>
                <c:pt idx="72">
                  <c:v>0.45687134794319129</c:v>
                </c:pt>
                <c:pt idx="73">
                  <c:v>0.4600331251013085</c:v>
                </c:pt>
                <c:pt idx="74">
                  <c:v>0.46317331940594741</c:v>
                </c:pt>
                <c:pt idx="75">
                  <c:v>0.46629236689932152</c:v>
                </c:pt>
                <c:pt idx="76">
                  <c:v>0.46939068913605336</c:v>
                </c:pt>
                <c:pt idx="77">
                  <c:v>0.47246869384824502</c:v>
                </c:pt>
                <c:pt idx="78">
                  <c:v>0.47552677557180134</c:v>
                </c:pt>
                <c:pt idx="79">
                  <c:v>0.4785653162367306</c:v>
                </c:pt>
                <c:pt idx="80">
                  <c:v>0.48158468572392288</c:v>
                </c:pt>
                <c:pt idx="81">
                  <c:v>0.48458524239070383</c:v>
                </c:pt>
                <c:pt idx="82">
                  <c:v>0.48756733356727744</c:v>
                </c:pt>
                <c:pt idx="83">
                  <c:v>0.49053129602600526</c:v>
                </c:pt>
                <c:pt idx="84">
                  <c:v>0.49347745642531637</c:v>
                </c:pt>
                <c:pt idx="85">
                  <c:v>0.49640613172990483</c:v>
                </c:pt>
                <c:pt idx="86">
                  <c:v>0.49931762960874437</c:v>
                </c:pt>
                <c:pt idx="87">
                  <c:v>0.50221224881233517</c:v>
                </c:pt>
                <c:pt idx="88">
                  <c:v>0.5050902795304919</c:v>
                </c:pt>
                <c:pt idx="89">
                  <c:v>0.5079520037318862</c:v>
                </c:pt>
                <c:pt idx="90">
                  <c:v>0.51079769548646725</c:v>
                </c:pt>
                <c:pt idx="91">
                  <c:v>0.51362762127180561</c:v>
                </c:pt>
                <c:pt idx="92">
                  <c:v>0.51644204026432727</c:v>
                </c:pt>
                <c:pt idx="93">
                  <c:v>0.51924120461634071</c:v>
                </c:pt>
                <c:pt idx="94">
                  <c:v>0.52202535971969422</c:v>
                </c:pt>
                <c:pt idx="95">
                  <c:v>0.5247947444568436</c:v>
                </c:pt>
                <c:pt idx="96">
                  <c:v>0.52754959144005742</c:v>
                </c:pt>
                <c:pt idx="97">
                  <c:v>0.53029012723943769</c:v>
                </c:pt>
                <c:pt idx="98">
                  <c:v>0.53301657260038982</c:v>
                </c:pt>
                <c:pt idx="99">
                  <c:v>0.53572914265112959</c:v>
                </c:pt>
                <c:pt idx="100">
                  <c:v>0.53842804710078207</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Single'!$AJ$5:$AJ$105</c:f>
              <c:numCache>
                <c:formatCode>0.000</c:formatCode>
                <c:ptCount val="101"/>
                <c:pt idx="0">
                  <c:v>0.15</c:v>
                </c:pt>
                <c:pt idx="1">
                  <c:v>0.15</c:v>
                </c:pt>
                <c:pt idx="2">
                  <c:v>0.15</c:v>
                </c:pt>
                <c:pt idx="3">
                  <c:v>0.15</c:v>
                </c:pt>
                <c:pt idx="4">
                  <c:v>0.15</c:v>
                </c:pt>
                <c:pt idx="5">
                  <c:v>0.15</c:v>
                </c:pt>
                <c:pt idx="6">
                  <c:v>0.15</c:v>
                </c:pt>
                <c:pt idx="7">
                  <c:v>0.15016040805801026</c:v>
                </c:pt>
                <c:pt idx="8">
                  <c:v>0.16052822857464094</c:v>
                </c:pt>
                <c:pt idx="9">
                  <c:v>0.17026589849548907</c:v>
                </c:pt>
                <c:pt idx="10">
                  <c:v>0.17947601570026067</c:v>
                </c:pt>
                <c:pt idx="11">
                  <c:v>0.18823603330075842</c:v>
                </c:pt>
                <c:pt idx="12">
                  <c:v>0.19660612466036823</c:v>
                </c:pt>
                <c:pt idx="13">
                  <c:v>0.20463414249614428</c:v>
                </c:pt>
                <c:pt idx="14">
                  <c:v>0.2123588856071163</c:v>
                </c:pt>
                <c:pt idx="15">
                  <c:v>0.21981232976669055</c:v>
                </c:pt>
                <c:pt idx="16">
                  <c:v>0.22702119799398546</c:v>
                </c:pt>
                <c:pt idx="17">
                  <c:v>0.23400809464586553</c:v>
                </c:pt>
                <c:pt idx="18">
                  <c:v>0.24079234286196141</c:v>
                </c:pt>
                <c:pt idx="19">
                  <c:v>0.24739061502433032</c:v>
                </c:pt>
                <c:pt idx="20">
                  <c:v>0.25381741552399517</c:v>
                </c:pt>
                <c:pt idx="21">
                  <c:v>0.26008545604174882</c:v>
                </c:pt>
                <c:pt idx="22">
                  <c:v>0.26620595122124613</c:v>
                </c:pt>
                <c:pt idx="23">
                  <c:v>0.27218885444994345</c:v>
                </c:pt>
                <c:pt idx="24">
                  <c:v>0.27804304794030815</c:v>
                </c:pt>
                <c:pt idx="25">
                  <c:v>0.28377649749248179</c:v>
                </c:pt>
                <c:pt idx="26">
                  <c:v>0.28939637964263576</c:v>
                </c:pt>
                <c:pt idx="27">
                  <c:v>0.29490918699055235</c:v>
                </c:pt>
                <c:pt idx="28">
                  <c:v>0.30032081611602052</c:v>
                </c:pt>
                <c:pt idx="29">
                  <c:v>0.30563664147768116</c:v>
                </c:pt>
                <c:pt idx="30">
                  <c:v>0.31086157793288099</c:v>
                </c:pt>
                <c:pt idx="31">
                  <c:v>0.31600013394947263</c:v>
                </c:pt>
                <c:pt idx="32">
                  <c:v>0.32105645714928188</c:v>
                </c:pt>
                <c:pt idx="33">
                  <c:v>0.32603437349214071</c:v>
                </c:pt>
                <c:pt idx="34">
                  <c:v>0.33093742115326991</c:v>
                </c:pt>
                <c:pt idx="35">
                  <c:v>0.33576887994681809</c:v>
                </c:pt>
                <c:pt idx="36">
                  <c:v>0.34053179699097813</c:v>
                </c:pt>
                <c:pt idx="37">
                  <c:v>0.34522900918530697</c:v>
                </c:pt>
                <c:pt idx="38">
                  <c:v>0.34986316297122916</c:v>
                </c:pt>
                <c:pt idx="39">
                  <c:v>0.35443673176661145</c:v>
                </c:pt>
                <c:pt idx="40">
                  <c:v>0.35895203140052134</c:v>
                </c:pt>
                <c:pt idx="41">
                  <c:v>0.36341123382158241</c:v>
                </c:pt>
                <c:pt idx="42">
                  <c:v>0.36781637931023259</c:v>
                </c:pt>
                <c:pt idx="43">
                  <c:v>0.37216938738973804</c:v>
                </c:pt>
                <c:pt idx="44">
                  <c:v>0.37647206660151683</c:v>
                </c:pt>
                <c:pt idx="45">
                  <c:v>0.38072612328599276</c:v>
                </c:pt>
                <c:pt idx="46">
                  <c:v>0.38493316948990636</c:v>
                </c:pt>
                <c:pt idx="47">
                  <c:v>0.38909473010400564</c:v>
                </c:pt>
                <c:pt idx="48">
                  <c:v>0.39321224932073645</c:v>
                </c:pt>
                <c:pt idx="49">
                  <c:v>0.39728709648947452</c:v>
                </c:pt>
                <c:pt idx="50">
                  <c:v>0.40132057143660238</c:v>
                </c:pt>
                <c:pt idx="51">
                  <c:v>0.40531390930902567</c:v>
                </c:pt>
                <c:pt idx="52">
                  <c:v>0.40926828499228857</c:v>
                </c:pt>
                <c:pt idx="53">
                  <c:v>0.41318481714808103</c:v>
                </c:pt>
                <c:pt idx="54">
                  <c:v>0.41706457191046226</c:v>
                </c:pt>
                <c:pt idx="55">
                  <c:v>0.42090856627540996</c:v>
                </c:pt>
                <c:pt idx="56">
                  <c:v>0.4247177712142326</c:v>
                </c:pt>
                <c:pt idx="57">
                  <c:v>0.42849311453785249</c:v>
                </c:pt>
                <c:pt idx="58">
                  <c:v>0.43223548353589997</c:v>
                </c:pt>
                <c:pt idx="59">
                  <c:v>0.43594572741188464</c:v>
                </c:pt>
                <c:pt idx="60">
                  <c:v>0.43962465953338109</c:v>
                </c:pt>
                <c:pt idx="61">
                  <c:v>0.44327305951411627</c:v>
                </c:pt>
                <c:pt idx="62">
                  <c:v>0.44689167514305894</c:v>
                </c:pt>
                <c:pt idx="63">
                  <c:v>0.45048122417403075</c:v>
                </c:pt>
                <c:pt idx="64">
                  <c:v>0.45404239598797091</c:v>
                </c:pt>
                <c:pt idx="65">
                  <c:v>0.45757585313875709</c:v>
                </c:pt>
                <c:pt idx="66">
                  <c:v>0.46108223279240051</c:v>
                </c:pt>
                <c:pt idx="67">
                  <c:v>0.46456214806846829</c:v>
                </c:pt>
                <c:pt idx="68">
                  <c:v>0.46801618929173106</c:v>
                </c:pt>
                <c:pt idx="69">
                  <c:v>0.47144492516127207</c:v>
                </c:pt>
                <c:pt idx="70">
                  <c:v>0.47484890384361367</c:v>
                </c:pt>
                <c:pt idx="71">
                  <c:v>0.47822865399581138</c:v>
                </c:pt>
                <c:pt idx="72">
                  <c:v>0.48158468572392282</c:v>
                </c:pt>
                <c:pt idx="73">
                  <c:v>0.4849174914817711</c:v>
                </c:pt>
                <c:pt idx="74">
                  <c:v>0.48822754691448694</c:v>
                </c:pt>
                <c:pt idx="75">
                  <c:v>0.49151531165092061</c:v>
                </c:pt>
                <c:pt idx="76">
                  <c:v>0.49478123004866065</c:v>
                </c:pt>
                <c:pt idx="77">
                  <c:v>0.49802573189507954</c:v>
                </c:pt>
                <c:pt idx="78">
                  <c:v>0.50124923306753666</c:v>
                </c:pt>
                <c:pt idx="79">
                  <c:v>0.50445213615560958</c:v>
                </c:pt>
                <c:pt idx="80">
                  <c:v>0.50763483104799034</c:v>
                </c:pt>
                <c:pt idx="81">
                  <c:v>0.51079769548646725</c:v>
                </c:pt>
                <c:pt idx="82">
                  <c:v>0.51394109558922185</c:v>
                </c:pt>
                <c:pt idx="83">
                  <c:v>0.51706538634549282</c:v>
                </c:pt>
                <c:pt idx="84">
                  <c:v>0.52017091208349764</c:v>
                </c:pt>
                <c:pt idx="85">
                  <c:v>0.52325800691335989</c:v>
                </c:pt>
                <c:pt idx="86">
                  <c:v>0.52632699514665393</c:v>
                </c:pt>
                <c:pt idx="87">
                  <c:v>0.52937819169405709</c:v>
                </c:pt>
                <c:pt idx="88">
                  <c:v>0.53241190244249226</c:v>
                </c:pt>
                <c:pt idx="89">
                  <c:v>0.5354284246130363</c:v>
                </c:pt>
                <c:pt idx="90">
                  <c:v>0.53842804710078207</c:v>
                </c:pt>
                <c:pt idx="91">
                  <c:v>0.54141105079775198</c:v>
                </c:pt>
                <c:pt idx="92">
                  <c:v>0.5443777088998869</c:v>
                </c:pt>
                <c:pt idx="93">
                  <c:v>0.54732828719905757</c:v>
                </c:pt>
                <c:pt idx="94">
                  <c:v>0.55026304436098372</c:v>
                </c:pt>
                <c:pt idx="95">
                  <c:v>0.55318223218988338</c:v>
                </c:pt>
                <c:pt idx="96">
                  <c:v>0.5560860958806163</c:v>
                </c:pt>
                <c:pt idx="97">
                  <c:v>0.55897487425904036</c:v>
                </c:pt>
                <c:pt idx="98">
                  <c:v>0.56184880001124338</c:v>
                </c:pt>
                <c:pt idx="99">
                  <c:v>0.56470809990227533</c:v>
                </c:pt>
                <c:pt idx="100">
                  <c:v>0.56755299498496359</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0.15</c:v>
                </c:pt>
                <c:pt idx="1">
                  <c:v>0.15</c:v>
                </c:pt>
                <c:pt idx="2">
                  <c:v>0.15</c:v>
                </c:pt>
                <c:pt idx="3">
                  <c:v>0.15</c:v>
                </c:pt>
                <c:pt idx="4">
                  <c:v>0.15</c:v>
                </c:pt>
                <c:pt idx="5">
                  <c:v>0.15</c:v>
                </c:pt>
                <c:pt idx="6">
                  <c:v>0.15</c:v>
                </c:pt>
                <c:pt idx="7">
                  <c:v>0.15</c:v>
                </c:pt>
                <c:pt idx="8">
                  <c:v>0.15229044931439711</c:v>
                </c:pt>
                <c:pt idx="9">
                  <c:v>0.16152841413023458</c:v>
                </c:pt>
                <c:pt idx="10">
                  <c:v>0.17026589849548909</c:v>
                </c:pt>
                <c:pt idx="11">
                  <c:v>0.17857638088370983</c:v>
                </c:pt>
                <c:pt idx="12">
                  <c:v>0.1865169467597286</c:v>
                </c:pt>
                <c:pt idx="13">
                  <c:v>0.19413299319698096</c:v>
                </c:pt>
                <c:pt idx="14">
                  <c:v>0.20146132796809088</c:v>
                </c:pt>
                <c:pt idx="15">
                  <c:v>0.20853228595523113</c:v>
                </c:pt>
                <c:pt idx="16">
                  <c:v>0.21537121884031279</c:v>
                </c:pt>
                <c:pt idx="17">
                  <c:v>0.22199957099915651</c:v>
                </c:pt>
                <c:pt idx="18">
                  <c:v>0.22843567397159564</c:v>
                </c:pt>
                <c:pt idx="19">
                  <c:v>0.23469534456802668</c:v>
                </c:pt>
                <c:pt idx="20">
                  <c:v>0.24079234286196144</c:v>
                </c:pt>
                <c:pt idx="21">
                  <c:v>0.24673872821265819</c:v>
                </c:pt>
                <c:pt idx="22">
                  <c:v>0.25254513976524595</c:v>
                </c:pt>
                <c:pt idx="23">
                  <c:v>0.25822102013216364</c:v>
                </c:pt>
                <c:pt idx="24">
                  <c:v>0.26377479572002871</c:v>
                </c:pt>
                <c:pt idx="25">
                  <c:v>0.26921402355039104</c:v>
                </c:pt>
                <c:pt idx="26">
                  <c:v>0.27454551188325427</c:v>
                </c:pt>
                <c:pt idx="27">
                  <c:v>0.27977542013959289</c:v>
                </c:pt>
                <c:pt idx="28">
                  <c:v>0.28490934230616821</c:v>
                </c:pt>
                <c:pt idx="29">
                  <c:v>0.28995237704212901</c:v>
                </c:pt>
                <c:pt idx="30">
                  <c:v>0.29490918699055235</c:v>
                </c:pt>
                <c:pt idx="31">
                  <c:v>0.29978404925958985</c:v>
                </c:pt>
                <c:pt idx="32">
                  <c:v>0.30458089862879423</c:v>
                </c:pt>
                <c:pt idx="33">
                  <c:v>0.30930336472235709</c:v>
                </c:pt>
                <c:pt idx="34">
                  <c:v>0.31395480414801596</c:v>
                </c:pt>
                <c:pt idx="35">
                  <c:v>0.31853832841067442</c:v>
                </c:pt>
                <c:pt idx="36">
                  <c:v>0.32305682826046916</c:v>
                </c:pt>
                <c:pt idx="37">
                  <c:v>0.32751299501662817</c:v>
                </c:pt>
                <c:pt idx="38">
                  <c:v>0.33190933931393002</c:v>
                </c:pt>
                <c:pt idx="39">
                  <c:v>0.33624820764259422</c:v>
                </c:pt>
                <c:pt idx="40">
                  <c:v>0.34053179699097819</c:v>
                </c:pt>
                <c:pt idx="41">
                  <c:v>0.34476216785046526</c:v>
                </c:pt>
                <c:pt idx="42">
                  <c:v>0.34894125580103025</c:v>
                </c:pt>
                <c:pt idx="43">
                  <c:v>0.35307088186233598</c:v>
                </c:pt>
                <c:pt idx="44">
                  <c:v>0.35715276176741967</c:v>
                </c:pt>
                <c:pt idx="45">
                  <c:v>0.36118851429294219</c:v>
                </c:pt>
                <c:pt idx="46">
                  <c:v>0.36517966876072178</c:v>
                </c:pt>
                <c:pt idx="47">
                  <c:v>0.36912767180914263</c:v>
                </c:pt>
                <c:pt idx="48">
                  <c:v>0.3730338935194572</c:v>
                </c:pt>
                <c:pt idx="49">
                  <c:v>0.3768996329705474</c:v>
                </c:pt>
                <c:pt idx="50">
                  <c:v>0.38072612328599276</c:v>
                </c:pt>
                <c:pt idx="51">
                  <c:v>0.38451453622903331</c:v>
                </c:pt>
                <c:pt idx="52">
                  <c:v>0.38826598639396193</c:v>
                </c:pt>
                <c:pt idx="53">
                  <c:v>0.39198153503643995</c:v>
                </c:pt>
                <c:pt idx="54">
                  <c:v>0.39566219358004306</c:v>
                </c:pt>
                <c:pt idx="55">
                  <c:v>0.39930892683186919</c:v>
                </c:pt>
                <c:pt idx="56">
                  <c:v>0.40292265593618176</c:v>
                </c:pt>
                <c:pt idx="57">
                  <c:v>0.40650426109170651</c:v>
                </c:pt>
                <c:pt idx="58">
                  <c:v>0.4100545840552961</c:v>
                </c:pt>
                <c:pt idx="59">
                  <c:v>0.41357443045213699</c:v>
                </c:pt>
                <c:pt idx="60">
                  <c:v>0.41706457191046226</c:v>
                </c:pt>
                <c:pt idx="61">
                  <c:v>0.42052574803679355</c:v>
                </c:pt>
                <c:pt idx="62">
                  <c:v>0.42395866824603595</c:v>
                </c:pt>
                <c:pt idx="63">
                  <c:v>0.42736401345925235</c:v>
                </c:pt>
                <c:pt idx="64">
                  <c:v>0.43074243768062559</c:v>
                </c:pt>
                <c:pt idx="65">
                  <c:v>0.43409456946395358</c:v>
                </c:pt>
                <c:pt idx="66">
                  <c:v>0.43742101327798927</c:v>
                </c:pt>
                <c:pt idx="67">
                  <c:v>0.44072235077902561</c:v>
                </c:pt>
                <c:pt idx="68">
                  <c:v>0.44399914199831303</c:v>
                </c:pt>
                <c:pt idx="69">
                  <c:v>0.44725192645117323</c:v>
                </c:pt>
                <c:pt idx="70">
                  <c:v>0.45048122417403075</c:v>
                </c:pt>
                <c:pt idx="71">
                  <c:v>0.45368753669500439</c:v>
                </c:pt>
                <c:pt idx="72">
                  <c:v>0.45687134794319129</c:v>
                </c:pt>
                <c:pt idx="73">
                  <c:v>0.4600331251013085</c:v>
                </c:pt>
                <c:pt idx="74">
                  <c:v>0.46317331940594741</c:v>
                </c:pt>
                <c:pt idx="75">
                  <c:v>0.46629236689932152</c:v>
                </c:pt>
                <c:pt idx="76">
                  <c:v>0.46939068913605336</c:v>
                </c:pt>
                <c:pt idx="77">
                  <c:v>0.47246869384824502</c:v>
                </c:pt>
                <c:pt idx="78">
                  <c:v>0.47552677557180134</c:v>
                </c:pt>
                <c:pt idx="79">
                  <c:v>0.4785653162367306</c:v>
                </c:pt>
                <c:pt idx="80">
                  <c:v>0.48158468572392288</c:v>
                </c:pt>
                <c:pt idx="81">
                  <c:v>0.48458524239070383</c:v>
                </c:pt>
                <c:pt idx="82">
                  <c:v>0.48756733356727744</c:v>
                </c:pt>
                <c:pt idx="83">
                  <c:v>0.49053129602600526</c:v>
                </c:pt>
                <c:pt idx="84">
                  <c:v>0.49347745642531637</c:v>
                </c:pt>
                <c:pt idx="85">
                  <c:v>0.49640613172990483</c:v>
                </c:pt>
                <c:pt idx="86">
                  <c:v>0.49931762960874437</c:v>
                </c:pt>
                <c:pt idx="87">
                  <c:v>0.50221224881233517</c:v>
                </c:pt>
                <c:pt idx="88">
                  <c:v>0.5050902795304919</c:v>
                </c:pt>
                <c:pt idx="89">
                  <c:v>0.5079520037318862</c:v>
                </c:pt>
                <c:pt idx="90">
                  <c:v>0.51079769548646725</c:v>
                </c:pt>
                <c:pt idx="91">
                  <c:v>0.51362762127180561</c:v>
                </c:pt>
                <c:pt idx="92">
                  <c:v>0.51644204026432727</c:v>
                </c:pt>
                <c:pt idx="93">
                  <c:v>0.51924120461634071</c:v>
                </c:pt>
                <c:pt idx="94">
                  <c:v>0.52202535971969422</c:v>
                </c:pt>
                <c:pt idx="95">
                  <c:v>0.5247947444568436</c:v>
                </c:pt>
                <c:pt idx="96">
                  <c:v>0.52754959144005742</c:v>
                </c:pt>
                <c:pt idx="97">
                  <c:v>0.53029012723943769</c:v>
                </c:pt>
                <c:pt idx="98">
                  <c:v>0.53301657260038982</c:v>
                </c:pt>
                <c:pt idx="99">
                  <c:v>0.53572914265112959</c:v>
                </c:pt>
                <c:pt idx="100">
                  <c:v>0.53842804710078207</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1.0257693121693121</c:v>
                </c:pt>
                <c:pt idx="2">
                  <c:v>1.0515386243386244</c:v>
                </c:pt>
                <c:pt idx="3">
                  <c:v>1.0773079365079365</c:v>
                </c:pt>
                <c:pt idx="4">
                  <c:v>1.1030772486772487</c:v>
                </c:pt>
                <c:pt idx="5">
                  <c:v>1.128846560846561</c:v>
                </c:pt>
                <c:pt idx="6">
                  <c:v>1.1546158730158731</c:v>
                </c:pt>
                <c:pt idx="7">
                  <c:v>1.1803851851851852</c:v>
                </c:pt>
                <c:pt idx="8">
                  <c:v>1.201526966209598</c:v>
                </c:pt>
                <c:pt idx="9">
                  <c:v>1.2076856094201562</c:v>
                </c:pt>
                <c:pt idx="10">
                  <c:v>1.2135105989969928</c:v>
                </c:pt>
                <c:pt idx="11">
                  <c:v>1.2190509205891398</c:v>
                </c:pt>
                <c:pt idx="12">
                  <c:v>1.2243446311731523</c:v>
                </c:pt>
                <c:pt idx="13">
                  <c:v>1.2294219954646539</c:v>
                </c:pt>
                <c:pt idx="14">
                  <c:v>1.2343075519787272</c:v>
                </c:pt>
                <c:pt idx="15">
                  <c:v>1.2390215239701541</c:v>
                </c:pt>
                <c:pt idx="16">
                  <c:v>1.2435808125602086</c:v>
                </c:pt>
                <c:pt idx="17">
                  <c:v>1.2479997139994377</c:v>
                </c:pt>
                <c:pt idx="18">
                  <c:v>1.2522904493143971</c:v>
                </c:pt>
                <c:pt idx="19">
                  <c:v>1.2564635630453511</c:v>
                </c:pt>
                <c:pt idx="20">
                  <c:v>1.2605282285746409</c:v>
                </c:pt>
                <c:pt idx="21">
                  <c:v>1.2644924854751054</c:v>
                </c:pt>
                <c:pt idx="22">
                  <c:v>1.268363426510164</c:v>
                </c:pt>
                <c:pt idx="23">
                  <c:v>1.2721473467547757</c:v>
                </c:pt>
                <c:pt idx="24">
                  <c:v>1.2758498638133524</c:v>
                </c:pt>
                <c:pt idx="25">
                  <c:v>1.2794760157002607</c:v>
                </c:pt>
                <c:pt idx="26">
                  <c:v>1.2830303412555029</c:v>
                </c:pt>
                <c:pt idx="27">
                  <c:v>1.2865169467597286</c:v>
                </c:pt>
                <c:pt idx="28">
                  <c:v>1.2899395615374454</c:v>
                </c:pt>
                <c:pt idx="29">
                  <c:v>1.2933015846947526</c:v>
                </c:pt>
                <c:pt idx="30">
                  <c:v>1.2966061246603682</c:v>
                </c:pt>
                <c:pt idx="31">
                  <c:v>1.2998560328397266</c:v>
                </c:pt>
                <c:pt idx="32">
                  <c:v>1.3030539324191961</c:v>
                </c:pt>
                <c:pt idx="33">
                  <c:v>1.3062022431482381</c:v>
                </c:pt>
                <c:pt idx="34">
                  <c:v>1.309303202765344</c:v>
                </c:pt>
                <c:pt idx="35">
                  <c:v>1.3123588856071162</c:v>
                </c:pt>
                <c:pt idx="36">
                  <c:v>1.3153712188403128</c:v>
                </c:pt>
                <c:pt idx="37">
                  <c:v>1.3183419966777521</c:v>
                </c:pt>
                <c:pt idx="38">
                  <c:v>1.3212728928759534</c:v>
                </c:pt>
                <c:pt idx="39">
                  <c:v>1.3241654717617295</c:v>
                </c:pt>
                <c:pt idx="40">
                  <c:v>1.3270211979939854</c:v>
                </c:pt>
                <c:pt idx="41">
                  <c:v>1.3298414452336436</c:v>
                </c:pt>
                <c:pt idx="42">
                  <c:v>1.3326275038673534</c:v>
                </c:pt>
                <c:pt idx="43">
                  <c:v>1.3353805879082239</c:v>
                </c:pt>
                <c:pt idx="44">
                  <c:v>1.3381018411782797</c:v>
                </c:pt>
                <c:pt idx="45">
                  <c:v>1.3407923428619615</c:v>
                </c:pt>
                <c:pt idx="46">
                  <c:v>1.3434531125071478</c:v>
                </c:pt>
                <c:pt idx="47">
                  <c:v>1.3460851145394284</c:v>
                </c:pt>
                <c:pt idx="48">
                  <c:v>1.3486892623463047</c:v>
                </c:pt>
                <c:pt idx="49">
                  <c:v>1.351266421980365</c:v>
                </c:pt>
                <c:pt idx="50">
                  <c:v>1.353817415523995</c:v>
                </c:pt>
                <c:pt idx="51">
                  <c:v>1.3563430241526888</c:v>
                </c:pt>
                <c:pt idx="52">
                  <c:v>1.358843990929308</c:v>
                </c:pt>
                <c:pt idx="53">
                  <c:v>1.3613210233576267</c:v>
                </c:pt>
                <c:pt idx="54">
                  <c:v>1.3637747957200288</c:v>
                </c:pt>
                <c:pt idx="55">
                  <c:v>1.3662059512212461</c:v>
                </c:pt>
                <c:pt idx="56">
                  <c:v>1.3686151039574546</c:v>
                </c:pt>
                <c:pt idx="57">
                  <c:v>1.3710028407278043</c:v>
                </c:pt>
                <c:pt idx="58">
                  <c:v>1.3733697227035306</c:v>
                </c:pt>
                <c:pt idx="59">
                  <c:v>1.3757162869680912</c:v>
                </c:pt>
                <c:pt idx="60">
                  <c:v>1.3780430479403081</c:v>
                </c:pt>
                <c:pt idx="61">
                  <c:v>1.3803504986911956</c:v>
                </c:pt>
                <c:pt idx="62">
                  <c:v>1.382639112164024</c:v>
                </c:pt>
                <c:pt idx="63">
                  <c:v>1.3849093423061682</c:v>
                </c:pt>
                <c:pt idx="64">
                  <c:v>1.3871616251204171</c:v>
                </c:pt>
                <c:pt idx="65">
                  <c:v>1.3893963796426356</c:v>
                </c:pt>
                <c:pt idx="66">
                  <c:v>1.3916140088519928</c:v>
                </c:pt>
                <c:pt idx="67">
                  <c:v>1.3938149005193505</c:v>
                </c:pt>
                <c:pt idx="68">
                  <c:v>1.3959994279988752</c:v>
                </c:pt>
                <c:pt idx="69">
                  <c:v>1.3981679509674487</c:v>
                </c:pt>
                <c:pt idx="70">
                  <c:v>1.4003208161160206</c:v>
                </c:pt>
                <c:pt idx="71">
                  <c:v>1.4024583577966696</c:v>
                </c:pt>
                <c:pt idx="72">
                  <c:v>1.4045808986287942</c:v>
                </c:pt>
                <c:pt idx="73">
                  <c:v>1.4066887500675391</c:v>
                </c:pt>
                <c:pt idx="74">
                  <c:v>1.4087822129372982</c:v>
                </c:pt>
                <c:pt idx="75">
                  <c:v>1.410861577932881</c:v>
                </c:pt>
                <c:pt idx="76">
                  <c:v>1.4129271260907021</c:v>
                </c:pt>
                <c:pt idx="77">
                  <c:v>1.4149791292321634</c:v>
                </c:pt>
                <c:pt idx="78">
                  <c:v>1.417017850381201</c:v>
                </c:pt>
                <c:pt idx="79">
                  <c:v>1.4190435441578204</c:v>
                </c:pt>
                <c:pt idx="80">
                  <c:v>1.4210564571492819</c:v>
                </c:pt>
                <c:pt idx="81">
                  <c:v>1.4230568282604692</c:v>
                </c:pt>
                <c:pt idx="82">
                  <c:v>1.4250448890448517</c:v>
                </c:pt>
                <c:pt idx="83">
                  <c:v>1.427020864017337</c:v>
                </c:pt>
                <c:pt idx="84">
                  <c:v>1.4289849709502109</c:v>
                </c:pt>
                <c:pt idx="85">
                  <c:v>1.4309374211532699</c:v>
                </c:pt>
                <c:pt idx="86">
                  <c:v>1.4328784197391629</c:v>
                </c:pt>
                <c:pt idx="87">
                  <c:v>1.4348081658748901</c:v>
                </c:pt>
                <c:pt idx="88">
                  <c:v>1.4367268530203279</c:v>
                </c:pt>
                <c:pt idx="89">
                  <c:v>1.4386346691545908</c:v>
                </c:pt>
                <c:pt idx="90">
                  <c:v>1.4405317969909781</c:v>
                </c:pt>
                <c:pt idx="91">
                  <c:v>1.4424184141812038</c:v>
                </c:pt>
                <c:pt idx="92">
                  <c:v>1.4442946935095515</c:v>
                </c:pt>
                <c:pt idx="93">
                  <c:v>1.4461608030775603</c:v>
                </c:pt>
                <c:pt idx="94">
                  <c:v>1.4480169064797961</c:v>
                </c:pt>
                <c:pt idx="95">
                  <c:v>1.4498631629712291</c:v>
                </c:pt>
                <c:pt idx="96">
                  <c:v>1.451699727626705</c:v>
                </c:pt>
                <c:pt idx="97">
                  <c:v>1.4535267514929584</c:v>
                </c:pt>
                <c:pt idx="98">
                  <c:v>1.4553443817335932</c:v>
                </c:pt>
                <c:pt idx="99">
                  <c:v>1.4571527617674196</c:v>
                </c:pt>
                <c:pt idx="100">
                  <c:v>1.4589520314005213</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Single'!$AK$5:$AK$105</c:f>
              <c:numCache>
                <c:formatCode>0.000</c:formatCode>
                <c:ptCount val="101"/>
                <c:pt idx="0">
                  <c:v>1.0068571428571429</c:v>
                </c:pt>
                <c:pt idx="1">
                  <c:v>1.0257693121693121</c:v>
                </c:pt>
                <c:pt idx="2">
                  <c:v>1.0515386243386244</c:v>
                </c:pt>
                <c:pt idx="3">
                  <c:v>1.0773079365079365</c:v>
                </c:pt>
                <c:pt idx="4">
                  <c:v>1.1030772486772487</c:v>
                </c:pt>
                <c:pt idx="5">
                  <c:v>1.128846560846561</c:v>
                </c:pt>
                <c:pt idx="6">
                  <c:v>1.1546158730158731</c:v>
                </c:pt>
                <c:pt idx="7">
                  <c:v>1.1803851851851852</c:v>
                </c:pt>
                <c:pt idx="8">
                  <c:v>1.2070188190497606</c:v>
                </c:pt>
                <c:pt idx="9">
                  <c:v>1.2135105989969928</c:v>
                </c:pt>
                <c:pt idx="10">
                  <c:v>1.2196506771335072</c:v>
                </c:pt>
                <c:pt idx="11">
                  <c:v>1.2254906888671722</c:v>
                </c:pt>
                <c:pt idx="12">
                  <c:v>1.2310707497735787</c:v>
                </c:pt>
                <c:pt idx="13">
                  <c:v>1.2364227616640961</c:v>
                </c:pt>
                <c:pt idx="14">
                  <c:v>1.2415725904047441</c:v>
                </c:pt>
                <c:pt idx="15">
                  <c:v>1.2465415531777937</c:v>
                </c:pt>
                <c:pt idx="16">
                  <c:v>1.2513474653293235</c:v>
                </c:pt>
                <c:pt idx="17">
                  <c:v>1.2560053964305771</c:v>
                </c:pt>
                <c:pt idx="18">
                  <c:v>1.2605282285746409</c:v>
                </c:pt>
                <c:pt idx="19">
                  <c:v>1.2649270766828868</c:v>
                </c:pt>
                <c:pt idx="20">
                  <c:v>1.2692116103493301</c:v>
                </c:pt>
                <c:pt idx="21">
                  <c:v>1.2733903040278325</c:v>
                </c:pt>
                <c:pt idx="22">
                  <c:v>1.2774706341474973</c:v>
                </c:pt>
                <c:pt idx="23">
                  <c:v>1.2814592362999622</c:v>
                </c:pt>
                <c:pt idx="24">
                  <c:v>1.2853620319602055</c:v>
                </c:pt>
                <c:pt idx="25">
                  <c:v>1.2891843316616545</c:v>
                </c:pt>
                <c:pt idx="26">
                  <c:v>1.2929309197617571</c:v>
                </c:pt>
                <c:pt idx="27">
                  <c:v>1.2966061246603682</c:v>
                </c:pt>
                <c:pt idx="28">
                  <c:v>1.3002138774106804</c:v>
                </c:pt>
                <c:pt idx="29">
                  <c:v>1.3037577609851208</c:v>
                </c:pt>
                <c:pt idx="30">
                  <c:v>1.307241051955254</c:v>
                </c:pt>
                <c:pt idx="31">
                  <c:v>1.310666755966315</c:v>
                </c:pt>
                <c:pt idx="32">
                  <c:v>1.3140376380995211</c:v>
                </c:pt>
                <c:pt idx="33">
                  <c:v>1.3173562489947603</c:v>
                </c:pt>
                <c:pt idx="34">
                  <c:v>1.3206249474355132</c:v>
                </c:pt>
                <c:pt idx="35">
                  <c:v>1.3238459199645454</c:v>
                </c:pt>
                <c:pt idx="36">
                  <c:v>1.3270211979939854</c:v>
                </c:pt>
                <c:pt idx="37">
                  <c:v>1.3301526727902047</c:v>
                </c:pt>
                <c:pt idx="38">
                  <c:v>1.3332421086474862</c:v>
                </c:pt>
                <c:pt idx="39">
                  <c:v>1.3362911545110743</c:v>
                </c:pt>
                <c:pt idx="40">
                  <c:v>1.3393013542670142</c:v>
                </c:pt>
                <c:pt idx="41">
                  <c:v>1.3422741558810549</c:v>
                </c:pt>
                <c:pt idx="42">
                  <c:v>1.3452109195401549</c:v>
                </c:pt>
                <c:pt idx="43">
                  <c:v>1.348112924926492</c:v>
                </c:pt>
                <c:pt idx="44">
                  <c:v>1.3509813777343445</c:v>
                </c:pt>
                <c:pt idx="45">
                  <c:v>1.353817415523995</c:v>
                </c:pt>
                <c:pt idx="46">
                  <c:v>1.356622112993271</c:v>
                </c:pt>
                <c:pt idx="47">
                  <c:v>1.3593964867360038</c:v>
                </c:pt>
                <c:pt idx="48">
                  <c:v>1.3621414995471577</c:v>
                </c:pt>
                <c:pt idx="49">
                  <c:v>1.3648580643263164</c:v>
                </c:pt>
                <c:pt idx="50">
                  <c:v>1.3675470476244016</c:v>
                </c:pt>
                <c:pt idx="51">
                  <c:v>1.3702092728726838</c:v>
                </c:pt>
                <c:pt idx="52">
                  <c:v>1.3728455233281924</c:v>
                </c:pt>
                <c:pt idx="53">
                  <c:v>1.3754565447653873</c:v>
                </c:pt>
                <c:pt idx="54">
                  <c:v>1.3780430479403081</c:v>
                </c:pt>
                <c:pt idx="55">
                  <c:v>1.3806057108502734</c:v>
                </c:pt>
                <c:pt idx="56">
                  <c:v>1.3831451808094883</c:v>
                </c:pt>
                <c:pt idx="57">
                  <c:v>1.3856620763585683</c:v>
                </c:pt>
                <c:pt idx="58">
                  <c:v>1.3881569890239334</c:v>
                </c:pt>
                <c:pt idx="59">
                  <c:v>1.3906304849412563</c:v>
                </c:pt>
                <c:pt idx="60">
                  <c:v>1.3930831063555873</c:v>
                </c:pt>
                <c:pt idx="61">
                  <c:v>1.395515373009411</c:v>
                </c:pt>
                <c:pt idx="62">
                  <c:v>1.3979277834287061</c:v>
                </c:pt>
                <c:pt idx="63">
                  <c:v>1.4003208161160206</c:v>
                </c:pt>
                <c:pt idx="64">
                  <c:v>1.4026949306586474</c:v>
                </c:pt>
                <c:pt idx="65">
                  <c:v>1.4050505687591714</c:v>
                </c:pt>
                <c:pt idx="66">
                  <c:v>1.4073881551949337</c:v>
                </c:pt>
                <c:pt idx="67">
                  <c:v>1.4097080987123123</c:v>
                </c:pt>
                <c:pt idx="68">
                  <c:v>1.4120107928611541</c:v>
                </c:pt>
                <c:pt idx="69">
                  <c:v>1.4142966167741813</c:v>
                </c:pt>
                <c:pt idx="70">
                  <c:v>1.4165659358957425</c:v>
                </c:pt>
                <c:pt idx="71">
                  <c:v>1.4188191026638743</c:v>
                </c:pt>
                <c:pt idx="72">
                  <c:v>1.4210564571492819</c:v>
                </c:pt>
                <c:pt idx="73">
                  <c:v>1.423278327654514</c:v>
                </c:pt>
                <c:pt idx="74">
                  <c:v>1.4254850312763248</c:v>
                </c:pt>
                <c:pt idx="75">
                  <c:v>1.427676874433947</c:v>
                </c:pt>
                <c:pt idx="76">
                  <c:v>1.4298541533657738</c:v>
                </c:pt>
                <c:pt idx="77">
                  <c:v>1.4320171545967197</c:v>
                </c:pt>
                <c:pt idx="78">
                  <c:v>1.4341661553783578</c:v>
                </c:pt>
                <c:pt idx="79">
                  <c:v>1.4363014241037397</c:v>
                </c:pt>
                <c:pt idx="80">
                  <c:v>1.4384232206986602</c:v>
                </c:pt>
                <c:pt idx="81">
                  <c:v>1.4405317969909781</c:v>
                </c:pt>
                <c:pt idx="82">
                  <c:v>1.4426273970594812</c:v>
                </c:pt>
                <c:pt idx="83">
                  <c:v>1.4447102575636619</c:v>
                </c:pt>
                <c:pt idx="84">
                  <c:v>1.4467806080556651</c:v>
                </c:pt>
                <c:pt idx="85">
                  <c:v>1.4488386712755732</c:v>
                </c:pt>
                <c:pt idx="86">
                  <c:v>1.4508846634311026</c:v>
                </c:pt>
                <c:pt idx="87">
                  <c:v>1.4529187944627047</c:v>
                </c:pt>
                <c:pt idx="88">
                  <c:v>1.4549412682949949</c:v>
                </c:pt>
                <c:pt idx="89">
                  <c:v>1.4569522830753576</c:v>
                </c:pt>
                <c:pt idx="90">
                  <c:v>1.4589520314005213</c:v>
                </c:pt>
                <c:pt idx="91">
                  <c:v>1.4609407005318347</c:v>
                </c:pt>
                <c:pt idx="92">
                  <c:v>1.4629184725999247</c:v>
                </c:pt>
                <c:pt idx="93">
                  <c:v>1.4648855247993717</c:v>
                </c:pt>
                <c:pt idx="94">
                  <c:v>1.4668420295739892</c:v>
                </c:pt>
                <c:pt idx="95">
                  <c:v>1.4687881547932555</c:v>
                </c:pt>
                <c:pt idx="96">
                  <c:v>1.4707240639204109</c:v>
                </c:pt>
                <c:pt idx="97">
                  <c:v>1.4726499161726936</c:v>
                </c:pt>
                <c:pt idx="98">
                  <c:v>1.4745658666741623</c:v>
                </c:pt>
                <c:pt idx="99">
                  <c:v>1.476472066601517</c:v>
                </c:pt>
                <c:pt idx="100">
                  <c:v>1.4783686633233091</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1.0257693121693121</c:v>
                </c:pt>
                <c:pt idx="2">
                  <c:v>1.0515386243386244</c:v>
                </c:pt>
                <c:pt idx="3">
                  <c:v>1.0773079365079365</c:v>
                </c:pt>
                <c:pt idx="4">
                  <c:v>1.1030772486772487</c:v>
                </c:pt>
                <c:pt idx="5">
                  <c:v>1.128846560846561</c:v>
                </c:pt>
                <c:pt idx="6">
                  <c:v>1.1546158730158731</c:v>
                </c:pt>
                <c:pt idx="7">
                  <c:v>1.1803851851851852</c:v>
                </c:pt>
                <c:pt idx="8">
                  <c:v>1.201526966209598</c:v>
                </c:pt>
                <c:pt idx="9">
                  <c:v>1.2076856094201562</c:v>
                </c:pt>
                <c:pt idx="10">
                  <c:v>1.2135105989969928</c:v>
                </c:pt>
                <c:pt idx="11">
                  <c:v>1.2190509205891398</c:v>
                </c:pt>
                <c:pt idx="12">
                  <c:v>1.2243446311731523</c:v>
                </c:pt>
                <c:pt idx="13">
                  <c:v>1.2294219954646539</c:v>
                </c:pt>
                <c:pt idx="14">
                  <c:v>1.2343075519787272</c:v>
                </c:pt>
                <c:pt idx="15">
                  <c:v>1.2390215239701541</c:v>
                </c:pt>
                <c:pt idx="16">
                  <c:v>1.2435808125602086</c:v>
                </c:pt>
                <c:pt idx="17">
                  <c:v>1.2479997139994377</c:v>
                </c:pt>
                <c:pt idx="18">
                  <c:v>1.2522904493143971</c:v>
                </c:pt>
                <c:pt idx="19">
                  <c:v>1.2564635630453511</c:v>
                </c:pt>
                <c:pt idx="20">
                  <c:v>1.2605282285746409</c:v>
                </c:pt>
                <c:pt idx="21">
                  <c:v>1.2644924854751054</c:v>
                </c:pt>
                <c:pt idx="22">
                  <c:v>1.268363426510164</c:v>
                </c:pt>
                <c:pt idx="23">
                  <c:v>1.2721473467547757</c:v>
                </c:pt>
                <c:pt idx="24">
                  <c:v>1.2758498638133524</c:v>
                </c:pt>
                <c:pt idx="25">
                  <c:v>1.2794760157002607</c:v>
                </c:pt>
                <c:pt idx="26">
                  <c:v>1.2830303412555029</c:v>
                </c:pt>
                <c:pt idx="27">
                  <c:v>1.2865169467597286</c:v>
                </c:pt>
                <c:pt idx="28">
                  <c:v>1.2899395615374454</c:v>
                </c:pt>
                <c:pt idx="29">
                  <c:v>1.2933015846947526</c:v>
                </c:pt>
                <c:pt idx="30">
                  <c:v>1.2966061246603682</c:v>
                </c:pt>
                <c:pt idx="31">
                  <c:v>1.2998560328397266</c:v>
                </c:pt>
                <c:pt idx="32">
                  <c:v>1.3030539324191961</c:v>
                </c:pt>
                <c:pt idx="33">
                  <c:v>1.3062022431482381</c:v>
                </c:pt>
                <c:pt idx="34">
                  <c:v>1.309303202765344</c:v>
                </c:pt>
                <c:pt idx="35">
                  <c:v>1.3123588856071162</c:v>
                </c:pt>
                <c:pt idx="36">
                  <c:v>1.3153712188403128</c:v>
                </c:pt>
                <c:pt idx="37">
                  <c:v>1.3183419966777521</c:v>
                </c:pt>
                <c:pt idx="38">
                  <c:v>1.3212728928759534</c:v>
                </c:pt>
                <c:pt idx="39">
                  <c:v>1.3241654717617295</c:v>
                </c:pt>
                <c:pt idx="40">
                  <c:v>1.3270211979939854</c:v>
                </c:pt>
                <c:pt idx="41">
                  <c:v>1.3298414452336436</c:v>
                </c:pt>
                <c:pt idx="42">
                  <c:v>1.3326275038673534</c:v>
                </c:pt>
                <c:pt idx="43">
                  <c:v>1.3353805879082239</c:v>
                </c:pt>
                <c:pt idx="44">
                  <c:v>1.3381018411782797</c:v>
                </c:pt>
                <c:pt idx="45">
                  <c:v>1.3407923428619615</c:v>
                </c:pt>
                <c:pt idx="46">
                  <c:v>1.3434531125071478</c:v>
                </c:pt>
                <c:pt idx="47">
                  <c:v>1.3460851145394284</c:v>
                </c:pt>
                <c:pt idx="48">
                  <c:v>1.3486892623463047</c:v>
                </c:pt>
                <c:pt idx="49">
                  <c:v>1.351266421980365</c:v>
                </c:pt>
                <c:pt idx="50">
                  <c:v>1.353817415523995</c:v>
                </c:pt>
                <c:pt idx="51">
                  <c:v>1.3563430241526888</c:v>
                </c:pt>
                <c:pt idx="52">
                  <c:v>1.358843990929308</c:v>
                </c:pt>
                <c:pt idx="53">
                  <c:v>1.3613210233576267</c:v>
                </c:pt>
                <c:pt idx="54">
                  <c:v>1.3637747957200288</c:v>
                </c:pt>
                <c:pt idx="55">
                  <c:v>1.3662059512212461</c:v>
                </c:pt>
                <c:pt idx="56">
                  <c:v>1.3686151039574546</c:v>
                </c:pt>
                <c:pt idx="57">
                  <c:v>1.3710028407278043</c:v>
                </c:pt>
                <c:pt idx="58">
                  <c:v>1.3733697227035306</c:v>
                </c:pt>
                <c:pt idx="59">
                  <c:v>1.3757162869680912</c:v>
                </c:pt>
                <c:pt idx="60">
                  <c:v>1.3780430479403081</c:v>
                </c:pt>
                <c:pt idx="61">
                  <c:v>1.3803504986911956</c:v>
                </c:pt>
                <c:pt idx="62">
                  <c:v>1.382639112164024</c:v>
                </c:pt>
                <c:pt idx="63">
                  <c:v>1.3849093423061682</c:v>
                </c:pt>
                <c:pt idx="64">
                  <c:v>1.3871616251204171</c:v>
                </c:pt>
                <c:pt idx="65">
                  <c:v>1.3893963796426356</c:v>
                </c:pt>
                <c:pt idx="66">
                  <c:v>1.3916140088519928</c:v>
                </c:pt>
                <c:pt idx="67">
                  <c:v>1.3938149005193505</c:v>
                </c:pt>
                <c:pt idx="68">
                  <c:v>1.3959994279988752</c:v>
                </c:pt>
                <c:pt idx="69">
                  <c:v>1.3981679509674487</c:v>
                </c:pt>
                <c:pt idx="70">
                  <c:v>1.4003208161160206</c:v>
                </c:pt>
                <c:pt idx="71">
                  <c:v>1.4024583577966696</c:v>
                </c:pt>
                <c:pt idx="72">
                  <c:v>1.4045808986287942</c:v>
                </c:pt>
                <c:pt idx="73">
                  <c:v>1.4066887500675391</c:v>
                </c:pt>
                <c:pt idx="74">
                  <c:v>1.4087822129372982</c:v>
                </c:pt>
                <c:pt idx="75">
                  <c:v>1.410861577932881</c:v>
                </c:pt>
                <c:pt idx="76">
                  <c:v>1.4129271260907021</c:v>
                </c:pt>
                <c:pt idx="77">
                  <c:v>1.4149791292321634</c:v>
                </c:pt>
                <c:pt idx="78">
                  <c:v>1.417017850381201</c:v>
                </c:pt>
                <c:pt idx="79">
                  <c:v>1.4190435441578204</c:v>
                </c:pt>
                <c:pt idx="80">
                  <c:v>1.4210564571492819</c:v>
                </c:pt>
                <c:pt idx="81">
                  <c:v>1.4230568282604692</c:v>
                </c:pt>
                <c:pt idx="82">
                  <c:v>1.4250448890448517</c:v>
                </c:pt>
                <c:pt idx="83">
                  <c:v>1.427020864017337</c:v>
                </c:pt>
                <c:pt idx="84">
                  <c:v>1.4289849709502109</c:v>
                </c:pt>
                <c:pt idx="85">
                  <c:v>1.4309374211532699</c:v>
                </c:pt>
                <c:pt idx="86">
                  <c:v>1.4328784197391629</c:v>
                </c:pt>
                <c:pt idx="87">
                  <c:v>1.4348081658748901</c:v>
                </c:pt>
                <c:pt idx="88">
                  <c:v>1.4367268530203279</c:v>
                </c:pt>
                <c:pt idx="89">
                  <c:v>1.4386346691545908</c:v>
                </c:pt>
                <c:pt idx="90">
                  <c:v>1.4405317969909781</c:v>
                </c:pt>
                <c:pt idx="91">
                  <c:v>1.4424184141812038</c:v>
                </c:pt>
                <c:pt idx="92">
                  <c:v>1.4442946935095515</c:v>
                </c:pt>
                <c:pt idx="93">
                  <c:v>1.4461608030775603</c:v>
                </c:pt>
                <c:pt idx="94">
                  <c:v>1.4480169064797961</c:v>
                </c:pt>
                <c:pt idx="95">
                  <c:v>1.4498631629712291</c:v>
                </c:pt>
                <c:pt idx="96">
                  <c:v>1.451699727626705</c:v>
                </c:pt>
                <c:pt idx="97">
                  <c:v>1.4535267514929584</c:v>
                </c:pt>
                <c:pt idx="98">
                  <c:v>1.4553443817335932</c:v>
                </c:pt>
                <c:pt idx="99">
                  <c:v>1.4571527617674196</c:v>
                </c:pt>
                <c:pt idx="100">
                  <c:v>1.4589520314005213</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Single'!$CD$5:$CD$105</c:f>
              <c:numCache>
                <c:formatCode>0.00</c:formatCode>
                <c:ptCount val="101"/>
                <c:pt idx="0">
                  <c:v>1.227041575511083E-13</c:v>
                </c:pt>
                <c:pt idx="1">
                  <c:v>1.1582491692841044E-7</c:v>
                </c:pt>
                <c:pt idx="2">
                  <c:v>2.1520960887321528E-7</c:v>
                </c:pt>
                <c:pt idx="3">
                  <c:v>3.0142223684067498E-7</c:v>
                </c:pt>
                <c:pt idx="4">
                  <c:v>3.7691855546486361E-7</c:v>
                </c:pt>
                <c:pt idx="5">
                  <c:v>4.4357958017296107E-7</c:v>
                </c:pt>
                <c:pt idx="6">
                  <c:v>5.0287043160349073E-7</c:v>
                </c:pt>
                <c:pt idx="7">
                  <c:v>5.5526355642119194E-7</c:v>
                </c:pt>
                <c:pt idx="8">
                  <c:v>5.6602123647707089E-7</c:v>
                </c:pt>
                <c:pt idx="9">
                  <c:v>5.9400233204892159E-7</c:v>
                </c:pt>
                <c:pt idx="10">
                  <c:v>6.1873240031822859E-7</c:v>
                </c:pt>
                <c:pt idx="11">
                  <c:v>6.4080267398739057E-7</c:v>
                </c:pt>
                <c:pt idx="12">
                  <c:v>6.6066728665404814E-7</c:v>
                </c:pt>
                <c:pt idx="13">
                  <c:v>6.786810790384746E-7</c:v>
                </c:pt>
                <c:pt idx="14">
                  <c:v>6.951255033234678E-7</c:v>
                </c:pt>
                <c:pt idx="15">
                  <c:v>7.1022678992645856E-7</c:v>
                </c:pt>
                <c:pt idx="16">
                  <c:v>7.2416895195904322E-7</c:v>
                </c:pt>
                <c:pt idx="17">
                  <c:v>7.3710326571513148E-7</c:v>
                </c:pt>
                <c:pt idx="18">
                  <c:v>7.491552959718496E-7</c:v>
                </c:pt>
                <c:pt idx="19">
                  <c:v>7.6043017912914674E-7</c:v>
                </c:pt>
                <c:pt idx="20">
                  <c:v>7.7101664954601316E-7</c:v>
                </c:pt>
                <c:pt idx="21">
                  <c:v>7.8099014552171168E-7</c:v>
                </c:pt>
                <c:pt idx="22">
                  <c:v>7.9041523203245075E-7</c:v>
                </c:pt>
                <c:pt idx="23">
                  <c:v>7.9934750986488087E-7</c:v>
                </c:pt>
                <c:pt idx="24">
                  <c:v>8.0783513420581259E-7</c:v>
                </c:pt>
                <c:pt idx="25">
                  <c:v>8.1592003309874078E-7</c:v>
                </c:pt>
                <c:pt idx="26">
                  <c:v>8.2363889297519558E-7</c:v>
                </c:pt>
                <c:pt idx="27">
                  <c:v>8.3102396176701741E-7</c:v>
                </c:pt>
                <c:pt idx="28">
                  <c:v>8.3810370793947354E-7</c:v>
                </c:pt>
                <c:pt idx="29">
                  <c:v>8.4490336482460646E-7</c:v>
                </c:pt>
                <c:pt idx="30">
                  <c:v>8.514453829663946E-7</c:v>
                </c:pt>
                <c:pt idx="31">
                  <c:v>8.5774980817967899E-7</c:v>
                </c:pt>
                <c:pt idx="32">
                  <c:v>8.6383459922691656E-7</c:v>
                </c:pt>
                <c:pt idx="33">
                  <c:v>8.6971589611318295E-7</c:v>
                </c:pt>
                <c:pt idx="34">
                  <c:v>8.754082477621383E-7</c:v>
                </c:pt>
                <c:pt idx="35">
                  <c:v>8.8092480609820764E-7</c:v>
                </c:pt>
                <c:pt idx="36">
                  <c:v>8.8627749220166952E-7</c:v>
                </c:pt>
                <c:pt idx="37">
                  <c:v>8.9147713913381208E-7</c:v>
                </c:pt>
                <c:pt idx="38">
                  <c:v>8.9653361518213705E-7</c:v>
                </c:pt>
                <c:pt idx="39">
                  <c:v>9.0145593060032166E-7</c:v>
                </c:pt>
                <c:pt idx="40">
                  <c:v>9.062523303764947E-7</c:v>
                </c:pt>
                <c:pt idx="41">
                  <c:v>9.1093037512722075E-7</c:v>
                </c:pt>
                <c:pt idx="42">
                  <c:v>9.1549701186129785E-7</c:v>
                </c:pt>
                <c:pt idx="43">
                  <c:v>9.1995863606989225E-7</c:v>
                </c:pt>
                <c:pt idx="44">
                  <c:v>9.2432114636428974E-7</c:v>
                </c:pt>
                <c:pt idx="45">
                  <c:v>9.285899926893439E-7</c:v>
                </c:pt>
                <c:pt idx="46">
                  <c:v>9.3277021898122007E-7</c:v>
                </c:pt>
                <c:pt idx="47">
                  <c:v>9.3686650100595952E-7</c:v>
                </c:pt>
                <c:pt idx="48">
                  <c:v>9.4088318000553476E-7</c:v>
                </c:pt>
                <c:pt idx="49">
                  <c:v>9.4482429268629825E-7</c:v>
                </c:pt>
                <c:pt idx="50">
                  <c:v>9.4869359800791254E-7</c:v>
                </c:pt>
                <c:pt idx="51">
                  <c:v>9.5249460116619304E-7</c:v>
                </c:pt>
                <c:pt idx="52">
                  <c:v>9.5623057510876994E-7</c:v>
                </c:pt>
                <c:pt idx="53">
                  <c:v>9.5990457987634442E-7</c:v>
                </c:pt>
                <c:pt idx="54">
                  <c:v>9.635194800231167E-7</c:v>
                </c:pt>
                <c:pt idx="55">
                  <c:v>9.670779603366072E-7</c:v>
                </c:pt>
                <c:pt idx="56">
                  <c:v>9.7058254004859328E-7</c:v>
                </c:pt>
                <c:pt idx="57">
                  <c:v>9.7403558570448019E-7</c:v>
                </c:pt>
                <c:pt idx="58">
                  <c:v>9.7743932283748675E-7</c:v>
                </c:pt>
                <c:pt idx="59">
                  <c:v>9.807958465759542E-7</c:v>
                </c:pt>
                <c:pt idx="60">
                  <c:v>9.8410713129655318E-7</c:v>
                </c:pt>
                <c:pt idx="61">
                  <c:v>9.873750394226661E-7</c:v>
                </c:pt>
                <c:pt idx="62">
                  <c:v>9.9060132945555099E-7</c:v>
                </c:pt>
                <c:pt idx="63">
                  <c:v>9.9378766331573847E-7</c:v>
                </c:pt>
                <c:pt idx="64">
                  <c:v>9.9693561306326029E-7</c:v>
                </c:pt>
                <c:pt idx="65">
                  <c:v>1.0000466670576115E-6</c:v>
                </c:pt>
                <c:pt idx="66">
                  <c:v>1.0031222356115398E-6</c:v>
                </c:pt>
                <c:pt idx="67">
                  <c:v>1.0061636561869106E-6</c:v>
                </c:pt>
                <c:pt idx="68">
                  <c:v>1.0091721981756172E-6</c:v>
                </c:pt>
                <c:pt idx="69">
                  <c:v>1.0121490673040008E-6</c:v>
                </c:pt>
                <c:pt idx="70">
                  <c:v>1.0150954096951559E-6</c:v>
                </c:pt>
                <c:pt idx="71">
                  <c:v>1.0180123156199643E-6</c:v>
                </c:pt>
                <c:pt idx="72">
                  <c:v>1.0209008229645506E-6</c:v>
                </c:pt>
                <c:pt idx="73">
                  <c:v>1.0237619204390462E-6</c:v>
                </c:pt>
                <c:pt idx="74">
                  <c:v>1.0265965505500721E-6</c:v>
                </c:pt>
                <c:pt idx="75">
                  <c:v>1.0294056123571682E-6</c:v>
                </c:pt>
                <c:pt idx="76">
                  <c:v>1.0321899640313972E-6</c:v>
                </c:pt>
                <c:pt idx="77">
                  <c:v>1.0349504252326502E-6</c:v>
                </c:pt>
                <c:pt idx="78">
                  <c:v>1.0376877793205614E-6</c:v>
                </c:pt>
                <c:pt idx="79">
                  <c:v>1.0404027754126019E-6</c:v>
                </c:pt>
                <c:pt idx="80">
                  <c:v>1.0430961303016229E-6</c:v>
                </c:pt>
                <c:pt idx="81">
                  <c:v>1.0457685302440228E-6</c:v>
                </c:pt>
                <c:pt idx="82">
                  <c:v>1.0484206326286919E-6</c:v>
                </c:pt>
                <c:pt idx="83">
                  <c:v>1.0510530675359994E-6</c:v>
                </c:pt>
                <c:pt idx="84">
                  <c:v>1.0536664391952393E-6</c:v>
                </c:pt>
                <c:pt idx="85">
                  <c:v>1.0562613273482561E-6</c:v>
                </c:pt>
                <c:pt idx="86">
                  <c:v>1.0588382885262699E-6</c:v>
                </c:pt>
                <c:pt idx="87">
                  <c:v>1.0613978572463573E-6</c:v>
                </c:pt>
                <c:pt idx="88">
                  <c:v>1.0639405471334504E-6</c:v>
                </c:pt>
                <c:pt idx="89">
                  <c:v>1.0664668519732966E-6</c:v>
                </c:pt>
                <c:pt idx="90">
                  <c:v>1.0689772467012962E-6</c:v>
                </c:pt>
                <c:pt idx="91">
                  <c:v>1.0714721883318007E-6</c:v>
                </c:pt>
                <c:pt idx="92">
                  <c:v>1.0739521168320271E-6</c:v>
                </c:pt>
                <c:pt idx="93">
                  <c:v>1.0764174559444636E-6</c:v>
                </c:pt>
                <c:pt idx="94">
                  <c:v>1.0788686139612908E-6</c:v>
                </c:pt>
                <c:pt idx="95">
                  <c:v>1.0813059844540965E-6</c:v>
                </c:pt>
                <c:pt idx="96">
                  <c:v>1.0837299469618941E-6</c:v>
                </c:pt>
                <c:pt idx="97">
                  <c:v>1.086140867640222E-6</c:v>
                </c:pt>
                <c:pt idx="98">
                  <c:v>1.088539099873906E-6</c:v>
                </c:pt>
                <c:pt idx="99">
                  <c:v>1.0909249848558493E-6</c:v>
                </c:pt>
                <c:pt idx="100">
                  <c:v>1.0932988521340561E-6</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11934374554.564503</c:v>
                </c:pt>
                <c:pt idx="1">
                  <c:v>11860148121.055801</c:v>
                </c:pt>
                <c:pt idx="2">
                  <c:v>11759008790.781614</c:v>
                </c:pt>
                <c:pt idx="3">
                  <c:v>11657869460.507427</c:v>
                </c:pt>
                <c:pt idx="4">
                  <c:v>11556730130.233238</c:v>
                </c:pt>
                <c:pt idx="5">
                  <c:v>11455590799.95904</c:v>
                </c:pt>
                <c:pt idx="6">
                  <c:v>11354451469.684856</c:v>
                </c:pt>
                <c:pt idx="7">
                  <c:v>11276634581.420441</c:v>
                </c:pt>
                <c:pt idx="8">
                  <c:v>12737178973.315201</c:v>
                </c:pt>
                <c:pt idx="9">
                  <c:v>14263668917.178568</c:v>
                </c:pt>
                <c:pt idx="10">
                  <c:v>15779520642.163145</c:v>
                </c:pt>
                <c:pt idx="11">
                  <c:v>17285281554.720524</c:v>
                </c:pt>
                <c:pt idx="12">
                  <c:v>18781422303.692936</c:v>
                </c:pt>
                <c:pt idx="13">
                  <c:v>20268353210.146484</c:v>
                </c:pt>
                <c:pt idx="14">
                  <c:v>21746436156.138695</c:v>
                </c:pt>
                <c:pt idx="15">
                  <c:v>23215993429.693111</c:v>
                </c:pt>
                <c:pt idx="16">
                  <c:v>24677314460.519016</c:v>
                </c:pt>
                <c:pt idx="17">
                  <c:v>26130661052.441051</c:v>
                </c:pt>
                <c:pt idx="18">
                  <c:v>27576271518.350368</c:v>
                </c:pt>
                <c:pt idx="19">
                  <c:v>29014363997.089649</c:v>
                </c:pt>
                <c:pt idx="20">
                  <c:v>30445139149.34597</c:v>
                </c:pt>
                <c:pt idx="21">
                  <c:v>31868782374.518826</c:v>
                </c:pt>
                <c:pt idx="22">
                  <c:v>33285465652.76178</c:v>
                </c:pt>
                <c:pt idx="23">
                  <c:v>34695349089.960014</c:v>
                </c:pt>
                <c:pt idx="24">
                  <c:v>36098582224.549355</c:v>
                </c:pt>
                <c:pt idx="25">
                  <c:v>37495305141.403664</c:v>
                </c:pt>
                <c:pt idx="26">
                  <c:v>38885649427.941963</c:v>
                </c:pt>
                <c:pt idx="27">
                  <c:v>40269739000.080971</c:v>
                </c:pt>
                <c:pt idx="28">
                  <c:v>41647690819.967003</c:v>
                </c:pt>
                <c:pt idx="29">
                  <c:v>43019615523.064697</c:v>
                </c:pt>
                <c:pt idx="30">
                  <c:v>44385617968.812309</c:v>
                </c:pt>
                <c:pt idx="31">
                  <c:v>45745797726.420357</c:v>
                </c:pt>
                <c:pt idx="32">
                  <c:v>47100249505.31826</c:v>
                </c:pt>
                <c:pt idx="33">
                  <c:v>48449063538.102974</c:v>
                </c:pt>
                <c:pt idx="34">
                  <c:v>49792325922.523926</c:v>
                </c:pt>
                <c:pt idx="35">
                  <c:v>51130118927.972198</c:v>
                </c:pt>
                <c:pt idx="36">
                  <c:v>52462521271.07473</c:v>
                </c:pt>
                <c:pt idx="37">
                  <c:v>53789608364.286606</c:v>
                </c:pt>
                <c:pt idx="38">
                  <c:v>55111452540.790375</c:v>
                </c:pt>
                <c:pt idx="39">
                  <c:v>56428123258.52948</c:v>
                </c:pt>
                <c:pt idx="40">
                  <c:v>57739687285.800934</c:v>
                </c:pt>
                <c:pt idx="41">
                  <c:v>59046208870.496071</c:v>
                </c:pt>
                <c:pt idx="42">
                  <c:v>60347749894.796921</c:v>
                </c:pt>
                <c:pt idx="43">
                  <c:v>61644370016.896271</c:v>
                </c:pt>
                <c:pt idx="44">
                  <c:v>62936126801.109528</c:v>
                </c:pt>
                <c:pt idx="45">
                  <c:v>64223075837.571541</c:v>
                </c:pt>
                <c:pt idx="46">
                  <c:v>65505270852.567337</c:v>
                </c:pt>
                <c:pt idx="47">
                  <c:v>66782763810.418617</c:v>
                </c:pt>
                <c:pt idx="48">
                  <c:v>68055605007.738396</c:v>
                </c:pt>
                <c:pt idx="49">
                  <c:v>69323843160.774551</c:v>
                </c:pt>
                <c:pt idx="50">
                  <c:v>70587525486.479675</c:v>
                </c:pt>
                <c:pt idx="51">
                  <c:v>71846697777.875214</c:v>
                </c:pt>
                <c:pt idx="52">
                  <c:v>73101404474.216385</c:v>
                </c:pt>
                <c:pt idx="53">
                  <c:v>74351688726.409744</c:v>
                </c:pt>
                <c:pt idx="54">
                  <c:v>75597592458.088684</c:v>
                </c:pt>
                <c:pt idx="55">
                  <c:v>76839156422.71077</c:v>
                </c:pt>
                <c:pt idx="56">
                  <c:v>78076420257.003616</c:v>
                </c:pt>
                <c:pt idx="57">
                  <c:v>79309422531.054688</c:v>
                </c:pt>
                <c:pt idx="58">
                  <c:v>80538200795.310486</c:v>
                </c:pt>
                <c:pt idx="59">
                  <c:v>81762791624.726959</c:v>
                </c:pt>
                <c:pt idx="60">
                  <c:v>82983230660.288544</c:v>
                </c:pt>
                <c:pt idx="61">
                  <c:v>84199552648.094696</c:v>
                </c:pt>
                <c:pt idx="62">
                  <c:v>85411791476.193832</c:v>
                </c:pt>
                <c:pt idx="63">
                  <c:v>86619980209.328995</c:v>
                </c:pt>
                <c:pt idx="64">
                  <c:v>87824151121.745346</c:v>
                </c:pt>
                <c:pt idx="65">
                  <c:v>89024335728.195206</c:v>
                </c:pt>
                <c:pt idx="66">
                  <c:v>90220564813.267838</c:v>
                </c:pt>
                <c:pt idx="67">
                  <c:v>91412868459.156708</c:v>
                </c:pt>
                <c:pt idx="68">
                  <c:v>92601276071.971191</c:v>
                </c:pt>
                <c:pt idx="69">
                  <c:v>93785816406.68808</c:v>
                </c:pt>
                <c:pt idx="70">
                  <c:v>94966517590.832764</c:v>
                </c:pt>
                <c:pt idx="71">
                  <c:v>96143407146.972427</c:v>
                </c:pt>
                <c:pt idx="72">
                  <c:v>97316512014.095367</c:v>
                </c:pt>
                <c:pt idx="73">
                  <c:v>98485858567.94783</c:v>
                </c:pt>
                <c:pt idx="74">
                  <c:v>99651472640.392288</c:v>
                </c:pt>
                <c:pt idx="75">
                  <c:v>100813379537.84644</c:v>
                </c:pt>
                <c:pt idx="76">
                  <c:v>101971604058.85919</c:v>
                </c:pt>
                <c:pt idx="77">
                  <c:v>103126170510.87383</c:v>
                </c:pt>
                <c:pt idx="78">
                  <c:v>104277102726.22739</c:v>
                </c:pt>
                <c:pt idx="79">
                  <c:v>105424424077.42903</c:v>
                </c:pt>
                <c:pt idx="80">
                  <c:v>106568157491.75932</c:v>
                </c:pt>
                <c:pt idx="81">
                  <c:v>107708325465.22925</c:v>
                </c:pt>
                <c:pt idx="82">
                  <c:v>108844950075.93347</c:v>
                </c:pt>
                <c:pt idx="83">
                  <c:v>109978052996.83208</c:v>
                </c:pt>
                <c:pt idx="84">
                  <c:v>111107655507.99174</c:v>
                </c:pt>
                <c:pt idx="85">
                  <c:v>112233778508.31496</c:v>
                </c:pt>
                <c:pt idx="86">
                  <c:v>113356442526.78531</c:v>
                </c:pt>
                <c:pt idx="87">
                  <c:v>114475667733.2527</c:v>
                </c:pt>
                <c:pt idx="88">
                  <c:v>115591473948.7849</c:v>
                </c:pt>
                <c:pt idx="89">
                  <c:v>116703880655.60469</c:v>
                </c:pt>
                <c:pt idx="90">
                  <c:v>117812907006.63599</c:v>
                </c:pt>
                <c:pt idx="91">
                  <c:v>118918571834.67697</c:v>
                </c:pt>
                <c:pt idx="92">
                  <c:v>120020893661.22041</c:v>
                </c:pt>
                <c:pt idx="93">
                  <c:v>121119890704.93625</c:v>
                </c:pt>
                <c:pt idx="94">
                  <c:v>122215580889.83501</c:v>
                </c:pt>
                <c:pt idx="95">
                  <c:v>123307981853.1259</c:v>
                </c:pt>
                <c:pt idx="96">
                  <c:v>124397110952.78459</c:v>
                </c:pt>
                <c:pt idx="97">
                  <c:v>125482985274.84499</c:v>
                </c:pt>
                <c:pt idx="98">
                  <c:v>126565621640.4261</c:v>
                </c:pt>
                <c:pt idx="99">
                  <c:v>127645036612.50827</c:v>
                </c:pt>
                <c:pt idx="100">
                  <c:v>128721246502.46864</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290164106.87078959</c:v>
                </c:pt>
                <c:pt idx="1">
                  <c:v>1090447136.2344668</c:v>
                </c:pt>
                <c:pt idx="2">
                  <c:v>2180903196.6303129</c:v>
                </c:pt>
                <c:pt idx="3">
                  <c:v>3271368188.2572622</c:v>
                </c:pt>
                <c:pt idx="4">
                  <c:v>4361842111.2250395</c:v>
                </c:pt>
                <c:pt idx="5">
                  <c:v>5452324965.6433735</c:v>
                </c:pt>
                <c:pt idx="6">
                  <c:v>6542816751.6219921</c:v>
                </c:pt>
                <c:pt idx="7">
                  <c:v>7633318348.1109829</c:v>
                </c:pt>
                <c:pt idx="8">
                  <c:v>8463452881.0757751</c:v>
                </c:pt>
                <c:pt idx="9">
                  <c:v>8463528447.7885513</c:v>
                </c:pt>
                <c:pt idx="10">
                  <c:v>8463607019.4153786</c:v>
                </c:pt>
                <c:pt idx="11">
                  <c:v>8463688502.7882404</c:v>
                </c:pt>
                <c:pt idx="12">
                  <c:v>8463772810.0122976</c:v>
                </c:pt>
                <c:pt idx="13">
                  <c:v>8463859858.8710537</c:v>
                </c:pt>
                <c:pt idx="14">
                  <c:v>8463949572.7280006</c:v>
                </c:pt>
                <c:pt idx="15">
                  <c:v>8464041880.2106829</c:v>
                </c:pt>
                <c:pt idx="16">
                  <c:v>8464136714.8135939</c:v>
                </c:pt>
                <c:pt idx="17">
                  <c:v>8464234014.4853497</c:v>
                </c:pt>
                <c:pt idx="18">
                  <c:v>8464333721.2309484</c:v>
                </c:pt>
                <c:pt idx="19">
                  <c:v>8464435780.7424259</c:v>
                </c:pt>
                <c:pt idx="20">
                  <c:v>8464540142.0625896</c:v>
                </c:pt>
                <c:pt idx="21">
                  <c:v>8464646757.282093</c:v>
                </c:pt>
                <c:pt idx="22">
                  <c:v>8464755581.2680368</c:v>
                </c:pt>
                <c:pt idx="23">
                  <c:v>8464866571.4215212</c:v>
                </c:pt>
                <c:pt idx="24">
                  <c:v>8464979687.461153</c:v>
                </c:pt>
                <c:pt idx="25">
                  <c:v>8465094891.229702</c:v>
                </c:pt>
                <c:pt idx="26">
                  <c:v>8465212146.521224</c:v>
                </c:pt>
                <c:pt idx="27">
                  <c:v>8465331418.9261923</c:v>
                </c:pt>
                <c:pt idx="28">
                  <c:v>8465452675.6925821</c:v>
                </c:pt>
                <c:pt idx="29">
                  <c:v>8465575885.6008911</c:v>
                </c:pt>
                <c:pt idx="30">
                  <c:v>8465701018.8515539</c:v>
                </c:pt>
                <c:pt idx="31">
                  <c:v>8465828046.9632225</c:v>
                </c:pt>
                <c:pt idx="32">
                  <c:v>8465956942.6807032</c:v>
                </c:pt>
                <c:pt idx="33">
                  <c:v>8466087679.8914127</c:v>
                </c:pt>
                <c:pt idx="34">
                  <c:v>8466220233.5494175</c:v>
                </c:pt>
                <c:pt idx="35">
                  <c:v>8466354579.6062317</c:v>
                </c:pt>
                <c:pt idx="36">
                  <c:v>8466490694.9475946</c:v>
                </c:pt>
                <c:pt idx="37">
                  <c:v>8466628557.3356638</c:v>
                </c:pt>
                <c:pt idx="38">
                  <c:v>8466768145.3559809</c:v>
                </c:pt>
                <c:pt idx="39">
                  <c:v>8466909438.3687782</c:v>
                </c:pt>
                <c:pt idx="40">
                  <c:v>8467052416.4641781</c:v>
                </c:pt>
                <c:pt idx="41">
                  <c:v>8467197060.4208632</c:v>
                </c:pt>
                <c:pt idx="42">
                  <c:v>8467343351.6679516</c:v>
                </c:pt>
                <c:pt idx="43">
                  <c:v>8467491272.2496891</c:v>
                </c:pt>
                <c:pt idx="44">
                  <c:v>8467640804.7927837</c:v>
                </c:pt>
                <c:pt idx="45">
                  <c:v>8467791932.4760628</c:v>
                </c:pt>
                <c:pt idx="46">
                  <c:v>8467944639.0022898</c:v>
                </c:pt>
                <c:pt idx="47">
                  <c:v>8468098908.5719471</c:v>
                </c:pt>
                <c:pt idx="48">
                  <c:v>8468254725.8587885</c:v>
                </c:pt>
                <c:pt idx="49">
                  <c:v>8468412075.9870338</c:v>
                </c:pt>
                <c:pt idx="50">
                  <c:v>8468570944.5100746</c:v>
                </c:pt>
                <c:pt idx="51">
                  <c:v>8468731317.3905411</c:v>
                </c:pt>
                <c:pt idx="52">
                  <c:v>8468893180.981617</c:v>
                </c:pt>
                <c:pt idx="53">
                  <c:v>8469056522.009572</c:v>
                </c:pt>
                <c:pt idx="54">
                  <c:v>8469221327.5573015</c:v>
                </c:pt>
                <c:pt idx="55">
                  <c:v>8469387585.0488987</c:v>
                </c:pt>
                <c:pt idx="56">
                  <c:v>8469555282.2351303</c:v>
                </c:pt>
                <c:pt idx="57">
                  <c:v>8469724407.1797581</c:v>
                </c:pt>
                <c:pt idx="58">
                  <c:v>8469894948.2466412</c:v>
                </c:pt>
                <c:pt idx="59">
                  <c:v>8470066894.0875731</c:v>
                </c:pt>
                <c:pt idx="60">
                  <c:v>8470240233.6308002</c:v>
                </c:pt>
                <c:pt idx="61">
                  <c:v>8470414956.0701551</c:v>
                </c:pt>
                <c:pt idx="62">
                  <c:v>8470591050.8547821</c:v>
                </c:pt>
                <c:pt idx="63">
                  <c:v>8470768507.6794033</c:v>
                </c:pt>
                <c:pt idx="64">
                  <c:v>8470947316.4751215</c:v>
                </c:pt>
                <c:pt idx="65">
                  <c:v>8471127467.4006586</c:v>
                </c:pt>
                <c:pt idx="66">
                  <c:v>8471308950.8340597</c:v>
                </c:pt>
                <c:pt idx="67">
                  <c:v>8471491757.364809</c:v>
                </c:pt>
                <c:pt idx="68">
                  <c:v>8471675877.7863512</c:v>
                </c:pt>
                <c:pt idx="69">
                  <c:v>8471861303.0889463</c:v>
                </c:pt>
                <c:pt idx="70">
                  <c:v>8472048024.4528952</c:v>
                </c:pt>
                <c:pt idx="71">
                  <c:v>8472236033.2420769</c:v>
                </c:pt>
                <c:pt idx="72">
                  <c:v>8472425320.9977818</c:v>
                </c:pt>
                <c:pt idx="73">
                  <c:v>8472615879.4328518</c:v>
                </c:pt>
                <c:pt idx="74">
                  <c:v>8472807700.4260607</c:v>
                </c:pt>
                <c:pt idx="75">
                  <c:v>8473000776.0167608</c:v>
                </c:pt>
                <c:pt idx="76">
                  <c:v>8473195098.3997736</c:v>
                </c:pt>
                <c:pt idx="77">
                  <c:v>8473390659.9204969</c:v>
                </c:pt>
                <c:pt idx="78">
                  <c:v>8473587453.0702229</c:v>
                </c:pt>
                <c:pt idx="79">
                  <c:v>8473785470.4816599</c:v>
                </c:pt>
                <c:pt idx="80">
                  <c:v>8473984704.9246559</c:v>
                </c:pt>
                <c:pt idx="81">
                  <c:v>8474185149.3020668</c:v>
                </c:pt>
                <c:pt idx="82">
                  <c:v>8474386796.6458387</c:v>
                </c:pt>
                <c:pt idx="83">
                  <c:v>8474589640.113225</c:v>
                </c:pt>
                <c:pt idx="84">
                  <c:v>8474793672.9831524</c:v>
                </c:pt>
                <c:pt idx="85">
                  <c:v>8474998888.6527529</c:v>
                </c:pt>
                <c:pt idx="86">
                  <c:v>8475205280.6340084</c:v>
                </c:pt>
                <c:pt idx="87">
                  <c:v>8475412842.5505552</c:v>
                </c:pt>
                <c:pt idx="88">
                  <c:v>8475621568.1345835</c:v>
                </c:pt>
                <c:pt idx="89">
                  <c:v>8475831451.2238693</c:v>
                </c:pt>
                <c:pt idx="90">
                  <c:v>8476042485.7589178</c:v>
                </c:pt>
                <c:pt idx="91">
                  <c:v>8476254665.7802219</c:v>
                </c:pt>
                <c:pt idx="92">
                  <c:v>8476467985.4256048</c:v>
                </c:pt>
                <c:pt idx="93">
                  <c:v>8476682438.9276619</c:v>
                </c:pt>
                <c:pt idx="94">
                  <c:v>8476898020.6113234</c:v>
                </c:pt>
                <c:pt idx="95">
                  <c:v>8477114724.8914576</c:v>
                </c:pt>
                <c:pt idx="96">
                  <c:v>8477332546.2706089</c:v>
                </c:pt>
                <c:pt idx="97">
                  <c:v>8477551479.3367739</c:v>
                </c:pt>
                <c:pt idx="98">
                  <c:v>8477771518.7612829</c:v>
                </c:pt>
                <c:pt idx="99">
                  <c:v>8477992659.2967396</c:v>
                </c:pt>
                <c:pt idx="100">
                  <c:v>8478214895.7750349</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-14000.35994106514</c:v>
                </c:pt>
                <c:pt idx="1">
                  <c:v>-14000.32504496589</c:v>
                </c:pt>
                <c:pt idx="2">
                  <c:v>-14000.277543792268</c:v>
                </c:pt>
                <c:pt idx="3">
                  <c:v>-14000.230098702208</c:v>
                </c:pt>
                <c:pt idx="4">
                  <c:v>-14000.182711168196</c:v>
                </c:pt>
                <c:pt idx="5">
                  <c:v>-14000.13538271473</c:v>
                </c:pt>
                <c:pt idx="6">
                  <c:v>-14000.088114920643</c:v>
                </c:pt>
                <c:pt idx="7">
                  <c:v>-14000.039330342906</c:v>
                </c:pt>
                <c:pt idx="8">
                  <c:v>-13999.898940109142</c:v>
                </c:pt>
                <c:pt idx="9">
                  <c:v>-13999.805122470141</c:v>
                </c:pt>
                <c:pt idx="10">
                  <c:v>-13999.718735584398</c:v>
                </c:pt>
                <c:pt idx="11">
                  <c:v>-13999.637760820324</c:v>
                </c:pt>
                <c:pt idx="12">
                  <c:v>-13999.560850800493</c:v>
                </c:pt>
                <c:pt idx="13">
                  <c:v>-13999.487071656366</c:v>
                </c:pt>
                <c:pt idx="14">
                  <c:v>-13999.415755609447</c:v>
                </c:pt>
                <c:pt idx="15">
                  <c:v>-13999.346412442286</c:v>
                </c:pt>
                <c:pt idx="16">
                  <c:v>-13999.278674121331</c:v>
                </c:pt>
                <c:pt idx="17">
                  <c:v>-13999.21225893578</c:v>
                </c:pt>
                <c:pt idx="18">
                  <c:v>-13999.146947571533</c:v>
                </c:pt>
                <c:pt idx="19">
                  <c:v>-13999.082566728475</c:v>
                </c:pt>
                <c:pt idx="20">
                  <c:v>-13999.018977644209</c:v>
                </c:pt>
                <c:pt idx="21">
                  <c:v>-13998.956067890997</c:v>
                </c:pt>
                <c:pt idx="22">
                  <c:v>-13998.893745405749</c:v>
                </c:pt>
                <c:pt idx="23">
                  <c:v>-13998.831934074529</c:v>
                </c:pt>
                <c:pt idx="24">
                  <c:v>-13998.770570418741</c:v>
                </c:pt>
                <c:pt idx="25">
                  <c:v>-13998.709601075039</c:v>
                </c:pt>
                <c:pt idx="26">
                  <c:v>-13998.648980855638</c:v>
                </c:pt>
                <c:pt idx="27">
                  <c:v>-13998.588671238689</c:v>
                </c:pt>
                <c:pt idx="28">
                  <c:v>-13998.528639181503</c:v>
                </c:pt>
                <c:pt idx="29">
                  <c:v>-13998.468856178722</c:v>
                </c:pt>
                <c:pt idx="30">
                  <c:v>-13998.409297508477</c:v>
                </c:pt>
                <c:pt idx="31">
                  <c:v>-13998.349941624047</c:v>
                </c:pt>
                <c:pt idx="32">
                  <c:v>-13998.290769659381</c:v>
                </c:pt>
                <c:pt idx="33">
                  <c:v>-13998.231765024253</c:v>
                </c:pt>
                <c:pt idx="34">
                  <c:v>-13998.17291307071</c:v>
                </c:pt>
                <c:pt idx="35">
                  <c:v>-13998.114200816566</c:v>
                </c:pt>
                <c:pt idx="36">
                  <c:v>-13998.055616714833</c:v>
                </c:pt>
                <c:pt idx="37">
                  <c:v>-13997.997150460456</c:v>
                </c:pt>
                <c:pt idx="38">
                  <c:v>-13997.938792827514</c:v>
                </c:pt>
                <c:pt idx="39">
                  <c:v>-13997.880535531336</c:v>
                </c:pt>
                <c:pt idx="40">
                  <c:v>-13997.822371111306</c:v>
                </c:pt>
                <c:pt idx="41">
                  <c:v>-13997.76429283074</c:v>
                </c:pt>
                <c:pt idx="42">
                  <c:v>-13997.70629459102</c:v>
                </c:pt>
                <c:pt idx="43">
                  <c:v>-13997.648370857696</c:v>
                </c:pt>
                <c:pt idx="44">
                  <c:v>-13997.590516596631</c:v>
                </c:pt>
                <c:pt idx="45">
                  <c:v>-13997.532727218608</c:v>
                </c:pt>
                <c:pt idx="46">
                  <c:v>-13997.474998531188</c:v>
                </c:pt>
                <c:pt idx="47">
                  <c:v>-13997.417326696657</c:v>
                </c:pt>
                <c:pt idx="48">
                  <c:v>-13997.359708195232</c:v>
                </c:pt>
                <c:pt idx="49">
                  <c:v>-13997.302139792737</c:v>
                </c:pt>
                <c:pt idx="50">
                  <c:v>-13997.244618512199</c:v>
                </c:pt>
                <c:pt idx="51">
                  <c:v>-13997.187141608691</c:v>
                </c:pt>
                <c:pt idx="52">
                  <c:v>-13997.129706547152</c:v>
                </c:pt>
                <c:pt idx="53">
                  <c:v>-13997.072310982663</c:v>
                </c:pt>
                <c:pt idx="54">
                  <c:v>-13997.014952742909</c:v>
                </c:pt>
                <c:pt idx="55">
                  <c:v>-13996.957629812568</c:v>
                </c:pt>
                <c:pt idx="56">
                  <c:v>-13996.900340319358</c:v>
                </c:pt>
                <c:pt idx="57">
                  <c:v>-13996.843082521527</c:v>
                </c:pt>
                <c:pt idx="58">
                  <c:v>-13996.785854796673</c:v>
                </c:pt>
                <c:pt idx="59">
                  <c:v>-13996.728655631672</c:v>
                </c:pt>
                <c:pt idx="60">
                  <c:v>-13996.671483613605</c:v>
                </c:pt>
                <c:pt idx="61">
                  <c:v>-13996.614337421583</c:v>
                </c:pt>
                <c:pt idx="62">
                  <c:v>-13996.557215819368</c:v>
                </c:pt>
                <c:pt idx="63">
                  <c:v>-13996.500117648688</c:v>
                </c:pt>
                <c:pt idx="64">
                  <c:v>-13996.443041823157</c:v>
                </c:pt>
                <c:pt idx="65">
                  <c:v>-13996.385987322798</c:v>
                </c:pt>
                <c:pt idx="66">
                  <c:v>-13996.328953189011</c:v>
                </c:pt>
                <c:pt idx="67">
                  <c:v>-13996.271938520036</c:v>
                </c:pt>
                <c:pt idx="68">
                  <c:v>-13996.214942466784</c:v>
                </c:pt>
                <c:pt idx="69">
                  <c:v>-13996.157964229031</c:v>
                </c:pt>
                <c:pt idx="70">
                  <c:v>-13996.10100305197</c:v>
                </c:pt>
                <c:pt idx="71">
                  <c:v>-13996.044058223004</c:v>
                </c:pt>
                <c:pt idx="72">
                  <c:v>-13995.987129068833</c:v>
                </c:pt>
                <c:pt idx="73">
                  <c:v>-13995.930214952801</c:v>
                </c:pt>
                <c:pt idx="74">
                  <c:v>-13995.873315272391</c:v>
                </c:pt>
                <c:pt idx="75">
                  <c:v>-13995.816429457003</c:v>
                </c:pt>
                <c:pt idx="76">
                  <c:v>-13995.759556965837</c:v>
                </c:pt>
                <c:pt idx="77">
                  <c:v>-13995.702697285973</c:v>
                </c:pt>
                <c:pt idx="78">
                  <c:v>-13995.645849930608</c:v>
                </c:pt>
                <c:pt idx="79">
                  <c:v>-13995.58901443739</c:v>
                </c:pt>
                <c:pt idx="80">
                  <c:v>-13995.532190366917</c:v>
                </c:pt>
                <c:pt idx="81">
                  <c:v>-13995.475377301322</c:v>
                </c:pt>
                <c:pt idx="82">
                  <c:v>-13995.418574842952</c:v>
                </c:pt>
                <c:pt idx="83">
                  <c:v>-13995.361782613187</c:v>
                </c:pt>
                <c:pt idx="84">
                  <c:v>-13995.305000251279</c:v>
                </c:pt>
                <c:pt idx="85">
                  <c:v>-13995.248227413344</c:v>
                </c:pt>
                <c:pt idx="86">
                  <c:v>-13995.191463771343</c:v>
                </c:pt>
                <c:pt idx="87">
                  <c:v>-13995.134709012222</c:v>
                </c:pt>
                <c:pt idx="88">
                  <c:v>-13995.077962837035</c:v>
                </c:pt>
                <c:pt idx="89">
                  <c:v>-13995.021224960155</c:v>
                </c:pt>
                <c:pt idx="90">
                  <c:v>-13994.964495108565</c:v>
                </c:pt>
                <c:pt idx="91">
                  <c:v>-13994.907773021143</c:v>
                </c:pt>
                <c:pt idx="92">
                  <c:v>-13994.851058448026</c:v>
                </c:pt>
                <c:pt idx="93">
                  <c:v>-13994.794351150011</c:v>
                </c:pt>
                <c:pt idx="94">
                  <c:v>-13994.737650897996</c:v>
                </c:pt>
                <c:pt idx="95">
                  <c:v>-13994.680957472441</c:v>
                </c:pt>
                <c:pt idx="96">
                  <c:v>-13994.624270662884</c:v>
                </c:pt>
                <c:pt idx="97">
                  <c:v>-13994.567590267456</c:v>
                </c:pt>
                <c:pt idx="98">
                  <c:v>-13994.510916092477</c:v>
                </c:pt>
                <c:pt idx="99">
                  <c:v>-13994.454247952013</c:v>
                </c:pt>
                <c:pt idx="100">
                  <c:v>-13994.397585667512</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de-DE"/>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de-DE"/>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de-DE"/>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12</c:v>
                </c:pt>
                <c:pt idx="1">
                  <c:v>45.096296296296309</c:v>
                </c:pt>
                <c:pt idx="2">
                  <c:v>90.192592592592618</c:v>
                </c:pt>
                <c:pt idx="3">
                  <c:v>135.28888888888895</c:v>
                </c:pt>
                <c:pt idx="4">
                  <c:v>180.38518518518524</c:v>
                </c:pt>
                <c:pt idx="5">
                  <c:v>225.48148148148158</c:v>
                </c:pt>
                <c:pt idx="6">
                  <c:v>270.5777777777779</c:v>
                </c:pt>
                <c:pt idx="7">
                  <c:v>315.67407407407421</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0.15</c:v>
                </c:pt>
                <c:pt idx="1">
                  <c:v>0.15</c:v>
                </c:pt>
                <c:pt idx="2">
                  <c:v>0.15</c:v>
                </c:pt>
                <c:pt idx="3">
                  <c:v>0.15</c:v>
                </c:pt>
                <c:pt idx="4">
                  <c:v>0.15</c:v>
                </c:pt>
                <c:pt idx="5">
                  <c:v>0.15</c:v>
                </c:pt>
                <c:pt idx="6">
                  <c:v>0.15</c:v>
                </c:pt>
                <c:pt idx="7">
                  <c:v>0.15</c:v>
                </c:pt>
                <c:pt idx="8">
                  <c:v>0.15229044931439711</c:v>
                </c:pt>
                <c:pt idx="9">
                  <c:v>0.16152841413023458</c:v>
                </c:pt>
                <c:pt idx="10">
                  <c:v>0.17026589849548909</c:v>
                </c:pt>
                <c:pt idx="11">
                  <c:v>0.17857638088370983</c:v>
                </c:pt>
                <c:pt idx="12">
                  <c:v>0.1865169467597286</c:v>
                </c:pt>
                <c:pt idx="13">
                  <c:v>0.19413299319698096</c:v>
                </c:pt>
                <c:pt idx="14">
                  <c:v>0.20146132796809088</c:v>
                </c:pt>
                <c:pt idx="15">
                  <c:v>0.20853228595523113</c:v>
                </c:pt>
                <c:pt idx="16">
                  <c:v>0.21537121884031279</c:v>
                </c:pt>
                <c:pt idx="17">
                  <c:v>0.22199957099915651</c:v>
                </c:pt>
                <c:pt idx="18">
                  <c:v>0.22843567397159564</c:v>
                </c:pt>
                <c:pt idx="19">
                  <c:v>0.23469534456802668</c:v>
                </c:pt>
                <c:pt idx="20">
                  <c:v>0.24079234286196144</c:v>
                </c:pt>
                <c:pt idx="21">
                  <c:v>0.24673872821265819</c:v>
                </c:pt>
                <c:pt idx="22">
                  <c:v>0.25254513976524595</c:v>
                </c:pt>
                <c:pt idx="23">
                  <c:v>0.25822102013216364</c:v>
                </c:pt>
                <c:pt idx="24">
                  <c:v>0.26377479572002871</c:v>
                </c:pt>
                <c:pt idx="25">
                  <c:v>0.26921402355039104</c:v>
                </c:pt>
                <c:pt idx="26">
                  <c:v>0.27454551188325427</c:v>
                </c:pt>
                <c:pt idx="27">
                  <c:v>0.27977542013959289</c:v>
                </c:pt>
                <c:pt idx="28">
                  <c:v>0.28490934230616821</c:v>
                </c:pt>
                <c:pt idx="29">
                  <c:v>0.28995237704212901</c:v>
                </c:pt>
                <c:pt idx="30">
                  <c:v>0.29490918699055235</c:v>
                </c:pt>
                <c:pt idx="31">
                  <c:v>0.29978404925958985</c:v>
                </c:pt>
                <c:pt idx="32">
                  <c:v>0.30458089862879423</c:v>
                </c:pt>
                <c:pt idx="33">
                  <c:v>0.30930336472235709</c:v>
                </c:pt>
                <c:pt idx="34">
                  <c:v>0.31395480414801596</c:v>
                </c:pt>
                <c:pt idx="35">
                  <c:v>0.31853832841067442</c:v>
                </c:pt>
                <c:pt idx="36">
                  <c:v>0.32305682826046916</c:v>
                </c:pt>
                <c:pt idx="37">
                  <c:v>0.32751299501662817</c:v>
                </c:pt>
                <c:pt idx="38">
                  <c:v>0.33190933931393002</c:v>
                </c:pt>
                <c:pt idx="39">
                  <c:v>0.33624820764259422</c:v>
                </c:pt>
                <c:pt idx="40">
                  <c:v>0.34053179699097819</c:v>
                </c:pt>
                <c:pt idx="41">
                  <c:v>0.34476216785046526</c:v>
                </c:pt>
                <c:pt idx="42">
                  <c:v>0.34894125580103025</c:v>
                </c:pt>
                <c:pt idx="43">
                  <c:v>0.35307088186233598</c:v>
                </c:pt>
                <c:pt idx="44">
                  <c:v>0.35715276176741967</c:v>
                </c:pt>
                <c:pt idx="45">
                  <c:v>0.36118851429294219</c:v>
                </c:pt>
                <c:pt idx="46">
                  <c:v>0.36517966876072178</c:v>
                </c:pt>
                <c:pt idx="47">
                  <c:v>0.36912767180914263</c:v>
                </c:pt>
                <c:pt idx="48">
                  <c:v>0.3730338935194572</c:v>
                </c:pt>
                <c:pt idx="49">
                  <c:v>0.3768996329705474</c:v>
                </c:pt>
                <c:pt idx="50">
                  <c:v>0.38072612328599276</c:v>
                </c:pt>
                <c:pt idx="51">
                  <c:v>0.38451453622903331</c:v>
                </c:pt>
                <c:pt idx="52">
                  <c:v>0.38826598639396193</c:v>
                </c:pt>
                <c:pt idx="53">
                  <c:v>0.39198153503643995</c:v>
                </c:pt>
                <c:pt idx="54">
                  <c:v>0.39566219358004306</c:v>
                </c:pt>
                <c:pt idx="55">
                  <c:v>0.39930892683186919</c:v>
                </c:pt>
                <c:pt idx="56">
                  <c:v>0.40292265593618176</c:v>
                </c:pt>
                <c:pt idx="57">
                  <c:v>0.40650426109170651</c:v>
                </c:pt>
                <c:pt idx="58">
                  <c:v>0.4100545840552961</c:v>
                </c:pt>
                <c:pt idx="59">
                  <c:v>0.41357443045213699</c:v>
                </c:pt>
                <c:pt idx="60">
                  <c:v>0.41706457191046226</c:v>
                </c:pt>
                <c:pt idx="61">
                  <c:v>0.42052574803679355</c:v>
                </c:pt>
                <c:pt idx="62">
                  <c:v>0.42395866824603595</c:v>
                </c:pt>
                <c:pt idx="63">
                  <c:v>0.42736401345925235</c:v>
                </c:pt>
                <c:pt idx="64">
                  <c:v>0.43074243768062559</c:v>
                </c:pt>
                <c:pt idx="65">
                  <c:v>0.43409456946395358</c:v>
                </c:pt>
                <c:pt idx="66">
                  <c:v>0.43742101327798927</c:v>
                </c:pt>
                <c:pt idx="67">
                  <c:v>0.44072235077902561</c:v>
                </c:pt>
                <c:pt idx="68">
                  <c:v>0.44399914199831303</c:v>
                </c:pt>
                <c:pt idx="69">
                  <c:v>0.44725192645117323</c:v>
                </c:pt>
                <c:pt idx="70">
                  <c:v>0.45048122417403075</c:v>
                </c:pt>
                <c:pt idx="71">
                  <c:v>0.45368753669500439</c:v>
                </c:pt>
                <c:pt idx="72">
                  <c:v>0.45687134794319129</c:v>
                </c:pt>
                <c:pt idx="73">
                  <c:v>0.4600331251013085</c:v>
                </c:pt>
                <c:pt idx="74">
                  <c:v>0.46317331940594741</c:v>
                </c:pt>
                <c:pt idx="75">
                  <c:v>0.46629236689932152</c:v>
                </c:pt>
                <c:pt idx="76">
                  <c:v>0.46939068913605336</c:v>
                </c:pt>
                <c:pt idx="77">
                  <c:v>0.47246869384824502</c:v>
                </c:pt>
                <c:pt idx="78">
                  <c:v>0.47552677557180134</c:v>
                </c:pt>
                <c:pt idx="79">
                  <c:v>0.4785653162367306</c:v>
                </c:pt>
                <c:pt idx="80">
                  <c:v>0.48158468572392288</c:v>
                </c:pt>
                <c:pt idx="81">
                  <c:v>0.48458524239070383</c:v>
                </c:pt>
                <c:pt idx="82">
                  <c:v>0.48756733356727744</c:v>
                </c:pt>
                <c:pt idx="83">
                  <c:v>0.49053129602600526</c:v>
                </c:pt>
                <c:pt idx="84">
                  <c:v>0.49347745642531637</c:v>
                </c:pt>
                <c:pt idx="85">
                  <c:v>0.49640613172990483</c:v>
                </c:pt>
                <c:pt idx="86">
                  <c:v>0.49931762960874437</c:v>
                </c:pt>
                <c:pt idx="87">
                  <c:v>0.50221224881233517</c:v>
                </c:pt>
                <c:pt idx="88">
                  <c:v>0.5050902795304919</c:v>
                </c:pt>
                <c:pt idx="89">
                  <c:v>0.5079520037318862</c:v>
                </c:pt>
                <c:pt idx="90">
                  <c:v>0.51079769548646725</c:v>
                </c:pt>
                <c:pt idx="91">
                  <c:v>0.51362762127180561</c:v>
                </c:pt>
                <c:pt idx="92">
                  <c:v>0.51644204026432727</c:v>
                </c:pt>
                <c:pt idx="93">
                  <c:v>0.51924120461634071</c:v>
                </c:pt>
                <c:pt idx="94">
                  <c:v>0.52202535971969422</c:v>
                </c:pt>
                <c:pt idx="95">
                  <c:v>0.5247947444568436</c:v>
                </c:pt>
                <c:pt idx="96">
                  <c:v>0.52754959144005742</c:v>
                </c:pt>
                <c:pt idx="97">
                  <c:v>0.53029012723943769</c:v>
                </c:pt>
                <c:pt idx="98">
                  <c:v>0.53301657260038982</c:v>
                </c:pt>
                <c:pt idx="99">
                  <c:v>0.53572914265112959</c:v>
                </c:pt>
                <c:pt idx="100">
                  <c:v>0.53842804710078207</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Single'!$AJ$5:$AJ$105</c:f>
              <c:numCache>
                <c:formatCode>0.000</c:formatCode>
                <c:ptCount val="101"/>
                <c:pt idx="0">
                  <c:v>0.15</c:v>
                </c:pt>
                <c:pt idx="1">
                  <c:v>0.15</c:v>
                </c:pt>
                <c:pt idx="2">
                  <c:v>0.15</c:v>
                </c:pt>
                <c:pt idx="3">
                  <c:v>0.15</c:v>
                </c:pt>
                <c:pt idx="4">
                  <c:v>0.15</c:v>
                </c:pt>
                <c:pt idx="5">
                  <c:v>0.15</c:v>
                </c:pt>
                <c:pt idx="6">
                  <c:v>0.15</c:v>
                </c:pt>
                <c:pt idx="7">
                  <c:v>0.15016040805801026</c:v>
                </c:pt>
                <c:pt idx="8">
                  <c:v>0.16052822857464094</c:v>
                </c:pt>
                <c:pt idx="9">
                  <c:v>0.17026589849548907</c:v>
                </c:pt>
                <c:pt idx="10">
                  <c:v>0.17947601570026067</c:v>
                </c:pt>
                <c:pt idx="11">
                  <c:v>0.18823603330075842</c:v>
                </c:pt>
                <c:pt idx="12">
                  <c:v>0.19660612466036823</c:v>
                </c:pt>
                <c:pt idx="13">
                  <c:v>0.20463414249614428</c:v>
                </c:pt>
                <c:pt idx="14">
                  <c:v>0.2123588856071163</c:v>
                </c:pt>
                <c:pt idx="15">
                  <c:v>0.21981232976669055</c:v>
                </c:pt>
                <c:pt idx="16">
                  <c:v>0.22702119799398546</c:v>
                </c:pt>
                <c:pt idx="17">
                  <c:v>0.23400809464586553</c:v>
                </c:pt>
                <c:pt idx="18">
                  <c:v>0.24079234286196141</c:v>
                </c:pt>
                <c:pt idx="19">
                  <c:v>0.24739061502433032</c:v>
                </c:pt>
                <c:pt idx="20">
                  <c:v>0.25381741552399517</c:v>
                </c:pt>
                <c:pt idx="21">
                  <c:v>0.26008545604174882</c:v>
                </c:pt>
                <c:pt idx="22">
                  <c:v>0.26620595122124613</c:v>
                </c:pt>
                <c:pt idx="23">
                  <c:v>0.27218885444994345</c:v>
                </c:pt>
                <c:pt idx="24">
                  <c:v>0.27804304794030815</c:v>
                </c:pt>
                <c:pt idx="25">
                  <c:v>0.28377649749248179</c:v>
                </c:pt>
                <c:pt idx="26">
                  <c:v>0.28939637964263576</c:v>
                </c:pt>
                <c:pt idx="27">
                  <c:v>0.29490918699055235</c:v>
                </c:pt>
                <c:pt idx="28">
                  <c:v>0.30032081611602052</c:v>
                </c:pt>
                <c:pt idx="29">
                  <c:v>0.30563664147768116</c:v>
                </c:pt>
                <c:pt idx="30">
                  <c:v>0.31086157793288099</c:v>
                </c:pt>
                <c:pt idx="31">
                  <c:v>0.31600013394947263</c:v>
                </c:pt>
                <c:pt idx="32">
                  <c:v>0.32105645714928188</c:v>
                </c:pt>
                <c:pt idx="33">
                  <c:v>0.32603437349214071</c:v>
                </c:pt>
                <c:pt idx="34">
                  <c:v>0.33093742115326991</c:v>
                </c:pt>
                <c:pt idx="35">
                  <c:v>0.33576887994681809</c:v>
                </c:pt>
                <c:pt idx="36">
                  <c:v>0.34053179699097813</c:v>
                </c:pt>
                <c:pt idx="37">
                  <c:v>0.34522900918530697</c:v>
                </c:pt>
                <c:pt idx="38">
                  <c:v>0.34986316297122916</c:v>
                </c:pt>
                <c:pt idx="39">
                  <c:v>0.35443673176661145</c:v>
                </c:pt>
                <c:pt idx="40">
                  <c:v>0.35895203140052134</c:v>
                </c:pt>
                <c:pt idx="41">
                  <c:v>0.36341123382158241</c:v>
                </c:pt>
                <c:pt idx="42">
                  <c:v>0.36781637931023259</c:v>
                </c:pt>
                <c:pt idx="43">
                  <c:v>0.37216938738973804</c:v>
                </c:pt>
                <c:pt idx="44">
                  <c:v>0.37647206660151683</c:v>
                </c:pt>
                <c:pt idx="45">
                  <c:v>0.38072612328599276</c:v>
                </c:pt>
                <c:pt idx="46">
                  <c:v>0.38493316948990636</c:v>
                </c:pt>
                <c:pt idx="47">
                  <c:v>0.38909473010400564</c:v>
                </c:pt>
                <c:pt idx="48">
                  <c:v>0.39321224932073645</c:v>
                </c:pt>
                <c:pt idx="49">
                  <c:v>0.39728709648947452</c:v>
                </c:pt>
                <c:pt idx="50">
                  <c:v>0.40132057143660238</c:v>
                </c:pt>
                <c:pt idx="51">
                  <c:v>0.40531390930902567</c:v>
                </c:pt>
                <c:pt idx="52">
                  <c:v>0.40926828499228857</c:v>
                </c:pt>
                <c:pt idx="53">
                  <c:v>0.41318481714808103</c:v>
                </c:pt>
                <c:pt idx="54">
                  <c:v>0.41706457191046226</c:v>
                </c:pt>
                <c:pt idx="55">
                  <c:v>0.42090856627540996</c:v>
                </c:pt>
                <c:pt idx="56">
                  <c:v>0.4247177712142326</c:v>
                </c:pt>
                <c:pt idx="57">
                  <c:v>0.42849311453785249</c:v>
                </c:pt>
                <c:pt idx="58">
                  <c:v>0.43223548353589997</c:v>
                </c:pt>
                <c:pt idx="59">
                  <c:v>0.43594572741188464</c:v>
                </c:pt>
                <c:pt idx="60">
                  <c:v>0.43962465953338109</c:v>
                </c:pt>
                <c:pt idx="61">
                  <c:v>0.44327305951411627</c:v>
                </c:pt>
                <c:pt idx="62">
                  <c:v>0.44689167514305894</c:v>
                </c:pt>
                <c:pt idx="63">
                  <c:v>0.45048122417403075</c:v>
                </c:pt>
                <c:pt idx="64">
                  <c:v>0.45404239598797091</c:v>
                </c:pt>
                <c:pt idx="65">
                  <c:v>0.45757585313875709</c:v>
                </c:pt>
                <c:pt idx="66">
                  <c:v>0.46108223279240051</c:v>
                </c:pt>
                <c:pt idx="67">
                  <c:v>0.46456214806846829</c:v>
                </c:pt>
                <c:pt idx="68">
                  <c:v>0.46801618929173106</c:v>
                </c:pt>
                <c:pt idx="69">
                  <c:v>0.47144492516127207</c:v>
                </c:pt>
                <c:pt idx="70">
                  <c:v>0.47484890384361367</c:v>
                </c:pt>
                <c:pt idx="71">
                  <c:v>0.47822865399581138</c:v>
                </c:pt>
                <c:pt idx="72">
                  <c:v>0.48158468572392282</c:v>
                </c:pt>
                <c:pt idx="73">
                  <c:v>0.4849174914817711</c:v>
                </c:pt>
                <c:pt idx="74">
                  <c:v>0.48822754691448694</c:v>
                </c:pt>
                <c:pt idx="75">
                  <c:v>0.49151531165092061</c:v>
                </c:pt>
                <c:pt idx="76">
                  <c:v>0.49478123004866065</c:v>
                </c:pt>
                <c:pt idx="77">
                  <c:v>0.49802573189507954</c:v>
                </c:pt>
                <c:pt idx="78">
                  <c:v>0.50124923306753666</c:v>
                </c:pt>
                <c:pt idx="79">
                  <c:v>0.50445213615560958</c:v>
                </c:pt>
                <c:pt idx="80">
                  <c:v>0.50763483104799034</c:v>
                </c:pt>
                <c:pt idx="81">
                  <c:v>0.51079769548646725</c:v>
                </c:pt>
                <c:pt idx="82">
                  <c:v>0.51394109558922185</c:v>
                </c:pt>
                <c:pt idx="83">
                  <c:v>0.51706538634549282</c:v>
                </c:pt>
                <c:pt idx="84">
                  <c:v>0.52017091208349764</c:v>
                </c:pt>
                <c:pt idx="85">
                  <c:v>0.52325800691335989</c:v>
                </c:pt>
                <c:pt idx="86">
                  <c:v>0.52632699514665393</c:v>
                </c:pt>
                <c:pt idx="87">
                  <c:v>0.52937819169405709</c:v>
                </c:pt>
                <c:pt idx="88">
                  <c:v>0.53241190244249226</c:v>
                </c:pt>
                <c:pt idx="89">
                  <c:v>0.5354284246130363</c:v>
                </c:pt>
                <c:pt idx="90">
                  <c:v>0.53842804710078207</c:v>
                </c:pt>
                <c:pt idx="91">
                  <c:v>0.54141105079775198</c:v>
                </c:pt>
                <c:pt idx="92">
                  <c:v>0.5443777088998869</c:v>
                </c:pt>
                <c:pt idx="93">
                  <c:v>0.54732828719905757</c:v>
                </c:pt>
                <c:pt idx="94">
                  <c:v>0.55026304436098372</c:v>
                </c:pt>
                <c:pt idx="95">
                  <c:v>0.55318223218988338</c:v>
                </c:pt>
                <c:pt idx="96">
                  <c:v>0.5560860958806163</c:v>
                </c:pt>
                <c:pt idx="97">
                  <c:v>0.55897487425904036</c:v>
                </c:pt>
                <c:pt idx="98">
                  <c:v>0.56184880001124338</c:v>
                </c:pt>
                <c:pt idx="99">
                  <c:v>0.56470809990227533</c:v>
                </c:pt>
                <c:pt idx="100">
                  <c:v>0.56755299498496359</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0.15</c:v>
                </c:pt>
                <c:pt idx="1">
                  <c:v>0.15</c:v>
                </c:pt>
                <c:pt idx="2">
                  <c:v>0.15</c:v>
                </c:pt>
                <c:pt idx="3">
                  <c:v>0.15</c:v>
                </c:pt>
                <c:pt idx="4">
                  <c:v>0.15</c:v>
                </c:pt>
                <c:pt idx="5">
                  <c:v>0.15</c:v>
                </c:pt>
                <c:pt idx="6">
                  <c:v>0.15</c:v>
                </c:pt>
                <c:pt idx="7">
                  <c:v>0.15</c:v>
                </c:pt>
                <c:pt idx="8">
                  <c:v>0.15229044931439711</c:v>
                </c:pt>
                <c:pt idx="9">
                  <c:v>0.16152841413023458</c:v>
                </c:pt>
                <c:pt idx="10">
                  <c:v>0.17026589849548909</c:v>
                </c:pt>
                <c:pt idx="11">
                  <c:v>0.17857638088370983</c:v>
                </c:pt>
                <c:pt idx="12">
                  <c:v>0.1865169467597286</c:v>
                </c:pt>
                <c:pt idx="13">
                  <c:v>0.19413299319698096</c:v>
                </c:pt>
                <c:pt idx="14">
                  <c:v>0.20146132796809088</c:v>
                </c:pt>
                <c:pt idx="15">
                  <c:v>0.20853228595523113</c:v>
                </c:pt>
                <c:pt idx="16">
                  <c:v>0.21537121884031279</c:v>
                </c:pt>
                <c:pt idx="17">
                  <c:v>0.22199957099915651</c:v>
                </c:pt>
                <c:pt idx="18">
                  <c:v>0.22843567397159564</c:v>
                </c:pt>
                <c:pt idx="19">
                  <c:v>0.23469534456802668</c:v>
                </c:pt>
                <c:pt idx="20">
                  <c:v>0.24079234286196144</c:v>
                </c:pt>
                <c:pt idx="21">
                  <c:v>0.24673872821265819</c:v>
                </c:pt>
                <c:pt idx="22">
                  <c:v>0.25254513976524595</c:v>
                </c:pt>
                <c:pt idx="23">
                  <c:v>0.25822102013216364</c:v>
                </c:pt>
                <c:pt idx="24">
                  <c:v>0.26377479572002871</c:v>
                </c:pt>
                <c:pt idx="25">
                  <c:v>0.26921402355039104</c:v>
                </c:pt>
                <c:pt idx="26">
                  <c:v>0.27454551188325427</c:v>
                </c:pt>
                <c:pt idx="27">
                  <c:v>0.27977542013959289</c:v>
                </c:pt>
                <c:pt idx="28">
                  <c:v>0.28490934230616821</c:v>
                </c:pt>
                <c:pt idx="29">
                  <c:v>0.28995237704212901</c:v>
                </c:pt>
                <c:pt idx="30">
                  <c:v>0.29490918699055235</c:v>
                </c:pt>
                <c:pt idx="31">
                  <c:v>0.29978404925958985</c:v>
                </c:pt>
                <c:pt idx="32">
                  <c:v>0.30458089862879423</c:v>
                </c:pt>
                <c:pt idx="33">
                  <c:v>0.30930336472235709</c:v>
                </c:pt>
                <c:pt idx="34">
                  <c:v>0.31395480414801596</c:v>
                </c:pt>
                <c:pt idx="35">
                  <c:v>0.31853832841067442</c:v>
                </c:pt>
                <c:pt idx="36">
                  <c:v>0.32305682826046916</c:v>
                </c:pt>
                <c:pt idx="37">
                  <c:v>0.32751299501662817</c:v>
                </c:pt>
                <c:pt idx="38">
                  <c:v>0.33190933931393002</c:v>
                </c:pt>
                <c:pt idx="39">
                  <c:v>0.33624820764259422</c:v>
                </c:pt>
                <c:pt idx="40">
                  <c:v>0.34053179699097819</c:v>
                </c:pt>
                <c:pt idx="41">
                  <c:v>0.34476216785046526</c:v>
                </c:pt>
                <c:pt idx="42">
                  <c:v>0.34894125580103025</c:v>
                </c:pt>
                <c:pt idx="43">
                  <c:v>0.35307088186233598</c:v>
                </c:pt>
                <c:pt idx="44">
                  <c:v>0.35715276176741967</c:v>
                </c:pt>
                <c:pt idx="45">
                  <c:v>0.36118851429294219</c:v>
                </c:pt>
                <c:pt idx="46">
                  <c:v>0.36517966876072178</c:v>
                </c:pt>
                <c:pt idx="47">
                  <c:v>0.36912767180914263</c:v>
                </c:pt>
                <c:pt idx="48">
                  <c:v>0.3730338935194572</c:v>
                </c:pt>
                <c:pt idx="49">
                  <c:v>0.3768996329705474</c:v>
                </c:pt>
                <c:pt idx="50">
                  <c:v>0.38072612328599276</c:v>
                </c:pt>
                <c:pt idx="51">
                  <c:v>0.38451453622903331</c:v>
                </c:pt>
                <c:pt idx="52">
                  <c:v>0.38826598639396193</c:v>
                </c:pt>
                <c:pt idx="53">
                  <c:v>0.39198153503643995</c:v>
                </c:pt>
                <c:pt idx="54">
                  <c:v>0.39566219358004306</c:v>
                </c:pt>
                <c:pt idx="55">
                  <c:v>0.39930892683186919</c:v>
                </c:pt>
                <c:pt idx="56">
                  <c:v>0.40292265593618176</c:v>
                </c:pt>
                <c:pt idx="57">
                  <c:v>0.40650426109170651</c:v>
                </c:pt>
                <c:pt idx="58">
                  <c:v>0.4100545840552961</c:v>
                </c:pt>
                <c:pt idx="59">
                  <c:v>0.41357443045213699</c:v>
                </c:pt>
                <c:pt idx="60">
                  <c:v>0.41706457191046226</c:v>
                </c:pt>
                <c:pt idx="61">
                  <c:v>0.42052574803679355</c:v>
                </c:pt>
                <c:pt idx="62">
                  <c:v>0.42395866824603595</c:v>
                </c:pt>
                <c:pt idx="63">
                  <c:v>0.42736401345925235</c:v>
                </c:pt>
                <c:pt idx="64">
                  <c:v>0.43074243768062559</c:v>
                </c:pt>
                <c:pt idx="65">
                  <c:v>0.43409456946395358</c:v>
                </c:pt>
                <c:pt idx="66">
                  <c:v>0.43742101327798927</c:v>
                </c:pt>
                <c:pt idx="67">
                  <c:v>0.44072235077902561</c:v>
                </c:pt>
                <c:pt idx="68">
                  <c:v>0.44399914199831303</c:v>
                </c:pt>
                <c:pt idx="69">
                  <c:v>0.44725192645117323</c:v>
                </c:pt>
                <c:pt idx="70">
                  <c:v>0.45048122417403075</c:v>
                </c:pt>
                <c:pt idx="71">
                  <c:v>0.45368753669500439</c:v>
                </c:pt>
                <c:pt idx="72">
                  <c:v>0.45687134794319129</c:v>
                </c:pt>
                <c:pt idx="73">
                  <c:v>0.4600331251013085</c:v>
                </c:pt>
                <c:pt idx="74">
                  <c:v>0.46317331940594741</c:v>
                </c:pt>
                <c:pt idx="75">
                  <c:v>0.46629236689932152</c:v>
                </c:pt>
                <c:pt idx="76">
                  <c:v>0.46939068913605336</c:v>
                </c:pt>
                <c:pt idx="77">
                  <c:v>0.47246869384824502</c:v>
                </c:pt>
                <c:pt idx="78">
                  <c:v>0.47552677557180134</c:v>
                </c:pt>
                <c:pt idx="79">
                  <c:v>0.4785653162367306</c:v>
                </c:pt>
                <c:pt idx="80">
                  <c:v>0.48158468572392288</c:v>
                </c:pt>
                <c:pt idx="81">
                  <c:v>0.48458524239070383</c:v>
                </c:pt>
                <c:pt idx="82">
                  <c:v>0.48756733356727744</c:v>
                </c:pt>
                <c:pt idx="83">
                  <c:v>0.49053129602600526</c:v>
                </c:pt>
                <c:pt idx="84">
                  <c:v>0.49347745642531637</c:v>
                </c:pt>
                <c:pt idx="85">
                  <c:v>0.49640613172990483</c:v>
                </c:pt>
                <c:pt idx="86">
                  <c:v>0.49931762960874437</c:v>
                </c:pt>
                <c:pt idx="87">
                  <c:v>0.50221224881233517</c:v>
                </c:pt>
                <c:pt idx="88">
                  <c:v>0.5050902795304919</c:v>
                </c:pt>
                <c:pt idx="89">
                  <c:v>0.5079520037318862</c:v>
                </c:pt>
                <c:pt idx="90">
                  <c:v>0.51079769548646725</c:v>
                </c:pt>
                <c:pt idx="91">
                  <c:v>0.51362762127180561</c:v>
                </c:pt>
                <c:pt idx="92">
                  <c:v>0.51644204026432727</c:v>
                </c:pt>
                <c:pt idx="93">
                  <c:v>0.51924120461634071</c:v>
                </c:pt>
                <c:pt idx="94">
                  <c:v>0.52202535971969422</c:v>
                </c:pt>
                <c:pt idx="95">
                  <c:v>0.5247947444568436</c:v>
                </c:pt>
                <c:pt idx="96">
                  <c:v>0.52754959144005742</c:v>
                </c:pt>
                <c:pt idx="97">
                  <c:v>0.53029012723943769</c:v>
                </c:pt>
                <c:pt idx="98">
                  <c:v>0.53301657260038982</c:v>
                </c:pt>
                <c:pt idx="99">
                  <c:v>0.53572914265112959</c:v>
                </c:pt>
                <c:pt idx="100">
                  <c:v>0.53842804710078207</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de-DE"/>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1.8749999999999999E-3</c:v>
                </c:pt>
                <c:pt idx="1">
                  <c:v>3.1003703703703714E-2</c:v>
                </c:pt>
                <c:pt idx="2">
                  <c:v>6.2007407407407428E-2</c:v>
                </c:pt>
                <c:pt idx="3">
                  <c:v>7.7560460287442845E-2</c:v>
                </c:pt>
                <c:pt idx="4">
                  <c:v>8.9559105250852838E-2</c:v>
                </c:pt>
                <c:pt idx="5">
                  <c:v>0.10013012367248264</c:v>
                </c:pt>
                <c:pt idx="6">
                  <c:v>0.10968705484240152</c:v>
                </c:pt>
                <c:pt idx="7">
                  <c:v>0.11847556006760776</c:v>
                </c:pt>
                <c:pt idx="8">
                  <c:v>0.12665570127975553</c:v>
                </c:pt>
                <c:pt idx="9">
                  <c:v>0.13433865787627922</c:v>
                </c:pt>
                <c:pt idx="10">
                  <c:v>0.14160537889972025</c:v>
                </c:pt>
                <c:pt idx="11">
                  <c:v>0.14851697433851346</c:v>
                </c:pt>
                <c:pt idx="12">
                  <c:v>0.15512092057488569</c:v>
                </c:pt>
                <c:pt idx="13">
                  <c:v>0.16145497308331305</c:v>
                </c:pt>
                <c:pt idx="14">
                  <c:v>0.16754974385735916</c:v>
                </c:pt>
                <c:pt idx="15">
                  <c:v>0.17343046156889505</c:v>
                </c:pt>
                <c:pt idx="16">
                  <c:v>0.17911821050170568</c:v>
                </c:pt>
                <c:pt idx="17">
                  <c:v>0.18463082534253772</c:v>
                </c:pt>
                <c:pt idx="18">
                  <c:v>0.18998355191963329</c:v>
                </c:pt>
                <c:pt idx="19">
                  <c:v>0.19518954463119517</c:v>
                </c:pt>
                <c:pt idx="20">
                  <c:v>0.20026024734496528</c:v>
                </c:pt>
                <c:pt idx="21">
                  <c:v>0.20520568949227505</c:v>
                </c:pt>
                <c:pt idx="22">
                  <c:v>0.21003471935214266</c:v>
                </c:pt>
                <c:pt idx="23">
                  <c:v>0.21475519008086086</c:v>
                </c:pt>
                <c:pt idx="24">
                  <c:v>0.21937410968480303</c:v>
                </c:pt>
                <c:pt idx="25">
                  <c:v>0.22389776312713205</c:v>
                </c:pt>
                <c:pt idx="26">
                  <c:v>0.22833181264700428</c:v>
                </c:pt>
                <c:pt idx="27">
                  <c:v>0.23268138086232862</c:v>
                </c:pt>
                <c:pt idx="28">
                  <c:v>0.23695112013521552</c:v>
                </c:pt>
                <c:pt idx="29">
                  <c:v>0.24114527087767379</c:v>
                </c:pt>
                <c:pt idx="30">
                  <c:v>0.24526771087935725</c:v>
                </c:pt>
                <c:pt idx="31">
                  <c:v>0.24932199729132073</c:v>
                </c:pt>
                <c:pt idx="32">
                  <c:v>0.25331140255951107</c:v>
                </c:pt>
                <c:pt idx="33">
                  <c:v>0.25723894534070846</c:v>
                </c:pt>
                <c:pt idx="34">
                  <c:v>0.26110741723155501</c:v>
                </c:pt>
                <c:pt idx="35">
                  <c:v>0.26491940598353053</c:v>
                </c:pt>
                <c:pt idx="36">
                  <c:v>0.26867731575255843</c:v>
                </c:pt>
                <c:pt idx="37">
                  <c:v>0.27238338483346103</c:v>
                </c:pt>
                <c:pt idx="38">
                  <c:v>0.27603970125086469</c:v>
                </c:pt>
                <c:pt idx="39">
                  <c:v>0.27964821651496369</c:v>
                </c:pt>
                <c:pt idx="40">
                  <c:v>0.28321075779944049</c:v>
                </c:pt>
                <c:pt idx="41">
                  <c:v>0.28672903875726757</c:v>
                </c:pt>
                <c:pt idx="42">
                  <c:v>0.29020466915609749</c:v>
                </c:pt>
                <c:pt idx="43">
                  <c:v>0.29363916348697994</c:v>
                </c:pt>
                <c:pt idx="44">
                  <c:v>0.29703394867702693</c:v>
                </c:pt>
                <c:pt idx="45">
                  <c:v>0.30039037101744787</c:v>
                </c:pt>
                <c:pt idx="46">
                  <c:v>0.30370970240236533</c:v>
                </c:pt>
                <c:pt idx="47">
                  <c:v>0.30699314596040517</c:v>
                </c:pt>
                <c:pt idx="48">
                  <c:v>0.31024184114977138</c:v>
                </c:pt>
                <c:pt idx="49">
                  <c:v>0.31345686837798492</c:v>
                </c:pt>
                <c:pt idx="50">
                  <c:v>0.31663925319938879</c:v>
                </c:pt>
                <c:pt idx="51">
                  <c:v>0.31978997013665078</c:v>
                </c:pt>
                <c:pt idx="52">
                  <c:v>0.32290994616662611</c:v>
                </c:pt>
                <c:pt idx="53">
                  <c:v>0.32600006390592418</c:v>
                </c:pt>
                <c:pt idx="54">
                  <c:v>0.32906116452720457</c:v>
                </c:pt>
                <c:pt idx="55">
                  <c:v>0.33209405043350798</c:v>
                </c:pt>
                <c:pt idx="56">
                  <c:v>0.33509948771471831</c:v>
                </c:pt>
                <c:pt idx="57">
                  <c:v>0.338078208407463</c:v>
                </c:pt>
                <c:pt idx="58">
                  <c:v>0.34103091257733997</c:v>
                </c:pt>
                <c:pt idx="59">
                  <c:v>0.34395827024025272</c:v>
                </c:pt>
                <c:pt idx="60">
                  <c:v>0.3468609231377901</c:v>
                </c:pt>
                <c:pt idx="61">
                  <c:v>0.34973948637998159</c:v>
                </c:pt>
                <c:pt idx="62">
                  <c:v>0.3525945499673338</c:v>
                </c:pt>
                <c:pt idx="63">
                  <c:v>0.35542668020282325</c:v>
                </c:pt>
                <c:pt idx="64">
                  <c:v>0.35823642100341135</c:v>
                </c:pt>
                <c:pt idx="65">
                  <c:v>0.36102429511968676</c:v>
                </c:pt>
                <c:pt idx="66">
                  <c:v>0.36379080527138113</c:v>
                </c:pt>
                <c:pt idx="67">
                  <c:v>0.36653643520574236</c:v>
                </c:pt>
                <c:pt idx="68">
                  <c:v>0.36926165068507544</c:v>
                </c:pt>
                <c:pt idx="69">
                  <c:v>0.37196690040916269</c:v>
                </c:pt>
                <c:pt idx="70">
                  <c:v>0.37465261687773288</c:v>
                </c:pt>
                <c:pt idx="71">
                  <c:v>0.37731921719767553</c:v>
                </c:pt>
                <c:pt idx="72">
                  <c:v>0.37996710383926657</c:v>
                </c:pt>
                <c:pt idx="73">
                  <c:v>0.38259666534528669</c:v>
                </c:pt>
                <c:pt idx="74">
                  <c:v>0.38520827699657056</c:v>
                </c:pt>
                <c:pt idx="75">
                  <c:v>0.38780230143721428</c:v>
                </c:pt>
                <c:pt idx="76">
                  <c:v>0.39037908926239034</c:v>
                </c:pt>
                <c:pt idx="77">
                  <c:v>0.39293897957146823</c:v>
                </c:pt>
                <c:pt idx="78">
                  <c:v>0.39548230048890931</c:v>
                </c:pt>
                <c:pt idx="79">
                  <c:v>0.39800936965520467</c:v>
                </c:pt>
                <c:pt idx="80">
                  <c:v>0.40052049468993056</c:v>
                </c:pt>
                <c:pt idx="81">
                  <c:v>0.40301597362883768</c:v>
                </c:pt>
                <c:pt idx="82">
                  <c:v>0.4054960953367287</c:v>
                </c:pt>
                <c:pt idx="83">
                  <c:v>0.40796113989774407</c:v>
                </c:pt>
                <c:pt idx="84">
                  <c:v>0.4104113789845501</c:v>
                </c:pt>
                <c:pt idx="85">
                  <c:v>0.4128470762078052</c:v>
                </c:pt>
                <c:pt idx="86">
                  <c:v>0.41526848744717759</c:v>
                </c:pt>
                <c:pt idx="87">
                  <c:v>0.41767586116509059</c:v>
                </c:pt>
                <c:pt idx="88">
                  <c:v>0.42006943870428531</c:v>
                </c:pt>
                <c:pt idx="89">
                  <c:v>0.42244945457020855</c:v>
                </c:pt>
                <c:pt idx="90">
                  <c:v>0.42481613669916068</c:v>
                </c:pt>
                <c:pt idx="91">
                  <c:v>0.42716970671307364</c:v>
                </c:pt>
                <c:pt idx="92">
                  <c:v>0.42951038016172172</c:v>
                </c:pt>
                <c:pt idx="93">
                  <c:v>0.43183836675311743</c:v>
                </c:pt>
                <c:pt idx="94">
                  <c:v>0.4341538705727882</c:v>
                </c:pt>
                <c:pt idx="95">
                  <c:v>0.43645709029258151</c:v>
                </c:pt>
                <c:pt idx="96">
                  <c:v>0.43874821936960606</c:v>
                </c:pt>
                <c:pt idx="97">
                  <c:v>0.44102744623587015</c:v>
                </c:pt>
                <c:pt idx="98">
                  <c:v>0.44329495447914435</c:v>
                </c:pt>
                <c:pt idx="99">
                  <c:v>0.44555092301554039</c:v>
                </c:pt>
                <c:pt idx="100">
                  <c:v>0.44779552625426411</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2.2500000000000003E-3</c:v>
                </c:pt>
                <c:pt idx="1">
                  <c:v>3.7204444444444457E-2</c:v>
                </c:pt>
                <c:pt idx="2">
                  <c:v>7.4408888888888913E-2</c:v>
                </c:pt>
                <c:pt idx="3">
                  <c:v>9.3072552344931406E-2</c:v>
                </c:pt>
                <c:pt idx="4">
                  <c:v>0.10747092630102338</c:v>
                </c:pt>
                <c:pt idx="5">
                  <c:v>0.12015614840697916</c:v>
                </c:pt>
                <c:pt idx="6">
                  <c:v>0.13162446581088183</c:v>
                </c:pt>
                <c:pt idx="7">
                  <c:v>0.14217067208112932</c:v>
                </c:pt>
                <c:pt idx="8">
                  <c:v>0.15198684153570663</c:v>
                </c:pt>
                <c:pt idx="9">
                  <c:v>0.16120638945153509</c:v>
                </c:pt>
                <c:pt idx="10">
                  <c:v>0.16992645467966427</c:v>
                </c:pt>
                <c:pt idx="11">
                  <c:v>0.17822036920621614</c:v>
                </c:pt>
                <c:pt idx="12">
                  <c:v>0.18614510468986281</c:v>
                </c:pt>
                <c:pt idx="13">
                  <c:v>0.19374596769997565</c:v>
                </c:pt>
                <c:pt idx="14">
                  <c:v>0.201059692628831</c:v>
                </c:pt>
                <c:pt idx="15">
                  <c:v>0.20811655388267411</c:v>
                </c:pt>
                <c:pt idx="16">
                  <c:v>0.21494185260204676</c:v>
                </c:pt>
                <c:pt idx="17">
                  <c:v>0.22155699041104526</c:v>
                </c:pt>
                <c:pt idx="18">
                  <c:v>0.22798026230355997</c:v>
                </c:pt>
                <c:pt idx="19">
                  <c:v>0.23422745355743418</c:v>
                </c:pt>
                <c:pt idx="20">
                  <c:v>0.24031229681395833</c:v>
                </c:pt>
                <c:pt idx="21">
                  <c:v>0.24624682739073009</c:v>
                </c:pt>
                <c:pt idx="22">
                  <c:v>0.25204166322257121</c:v>
                </c:pt>
                <c:pt idx="23">
                  <c:v>0.25770622809703303</c:v>
                </c:pt>
                <c:pt idx="24">
                  <c:v>0.26324893162176366</c:v>
                </c:pt>
                <c:pt idx="25">
                  <c:v>0.26867731575255843</c:v>
                </c:pt>
                <c:pt idx="26">
                  <c:v>0.27399817517640518</c:v>
                </c:pt>
                <c:pt idx="27">
                  <c:v>0.27921765703479429</c:v>
                </c:pt>
                <c:pt idx="28">
                  <c:v>0.28434134416225865</c:v>
                </c:pt>
                <c:pt idx="29">
                  <c:v>0.28937432505320854</c:v>
                </c:pt>
                <c:pt idx="30">
                  <c:v>0.29432125305522872</c:v>
                </c:pt>
                <c:pt idx="31">
                  <c:v>0.29918639674958486</c:v>
                </c:pt>
                <c:pt idx="32">
                  <c:v>0.30397368307141326</c:v>
                </c:pt>
                <c:pt idx="33">
                  <c:v>0.30868673440885019</c:v>
                </c:pt>
                <c:pt idx="34">
                  <c:v>0.31332890067786601</c:v>
                </c:pt>
                <c:pt idx="35">
                  <c:v>0.31790328718023664</c:v>
                </c:pt>
                <c:pt idx="36">
                  <c:v>0.32241277890307019</c:v>
                </c:pt>
                <c:pt idx="37">
                  <c:v>0.3268600618001532</c:v>
                </c:pt>
                <c:pt idx="38">
                  <c:v>0.33124764150103764</c:v>
                </c:pt>
                <c:pt idx="39">
                  <c:v>0.33557785981795646</c:v>
                </c:pt>
                <c:pt idx="40">
                  <c:v>0.33985290935932855</c:v>
                </c:pt>
                <c:pt idx="41">
                  <c:v>0.34407484650872117</c:v>
                </c:pt>
                <c:pt idx="42">
                  <c:v>0.34824560298731699</c:v>
                </c:pt>
                <c:pt idx="43">
                  <c:v>0.35236699618437589</c:v>
                </c:pt>
                <c:pt idx="44">
                  <c:v>0.35644073841243229</c:v>
                </c:pt>
                <c:pt idx="45">
                  <c:v>0.36046844522093741</c:v>
                </c:pt>
                <c:pt idx="46">
                  <c:v>0.36445164288283849</c:v>
                </c:pt>
                <c:pt idx="47">
                  <c:v>0.36839177515248622</c:v>
                </c:pt>
                <c:pt idx="48">
                  <c:v>0.37229020937972562</c:v>
                </c:pt>
                <c:pt idx="49">
                  <c:v>0.37614824205358188</c:v>
                </c:pt>
                <c:pt idx="50">
                  <c:v>0.37996710383926657</c:v>
                </c:pt>
                <c:pt idx="51">
                  <c:v>0.38374796416398094</c:v>
                </c:pt>
                <c:pt idx="52">
                  <c:v>0.3874919353999513</c:v>
                </c:pt>
                <c:pt idx="53">
                  <c:v>0.39120007668710904</c:v>
                </c:pt>
                <c:pt idx="54">
                  <c:v>0.39487339743264549</c:v>
                </c:pt>
                <c:pt idx="55">
                  <c:v>0.39851286052020957</c:v>
                </c:pt>
                <c:pt idx="56">
                  <c:v>0.402119385257662</c:v>
                </c:pt>
                <c:pt idx="57">
                  <c:v>0.40569385008895564</c:v>
                </c:pt>
                <c:pt idx="58">
                  <c:v>0.40923709509280803</c:v>
                </c:pt>
                <c:pt idx="59">
                  <c:v>0.4127499242883032</c:v>
                </c:pt>
                <c:pt idx="60">
                  <c:v>0.41623310776534822</c:v>
                </c:pt>
                <c:pt idx="61">
                  <c:v>0.41968738365597791</c:v>
                </c:pt>
                <c:pt idx="62">
                  <c:v>0.42311345996080063</c:v>
                </c:pt>
                <c:pt idx="63">
                  <c:v>0.42651201624338797</c:v>
                </c:pt>
                <c:pt idx="64">
                  <c:v>0.42988370520409352</c:v>
                </c:pt>
                <c:pt idx="65">
                  <c:v>0.43322915414362412</c:v>
                </c:pt>
                <c:pt idx="66">
                  <c:v>0.43654896632565743</c:v>
                </c:pt>
                <c:pt idx="67">
                  <c:v>0.43984372224689078</c:v>
                </c:pt>
                <c:pt idx="68">
                  <c:v>0.44311398082209053</c:v>
                </c:pt>
                <c:pt idx="69">
                  <c:v>0.4463602804909953</c:v>
                </c:pt>
                <c:pt idx="70">
                  <c:v>0.44958314025327945</c:v>
                </c:pt>
                <c:pt idx="71">
                  <c:v>0.45278306063721074</c:v>
                </c:pt>
                <c:pt idx="72">
                  <c:v>0.45596052460711994</c:v>
                </c:pt>
                <c:pt idx="73">
                  <c:v>0.45911599841434403</c:v>
                </c:pt>
                <c:pt idx="74">
                  <c:v>0.46224993239588474</c:v>
                </c:pt>
                <c:pt idx="75">
                  <c:v>0.46536276172465713</c:v>
                </c:pt>
                <c:pt idx="76">
                  <c:v>0.46845490711486837</c:v>
                </c:pt>
                <c:pt idx="77">
                  <c:v>0.47152677548576183</c:v>
                </c:pt>
                <c:pt idx="78">
                  <c:v>0.47457876058669118</c:v>
                </c:pt>
                <c:pt idx="79">
                  <c:v>0.47761124358624557</c:v>
                </c:pt>
                <c:pt idx="80">
                  <c:v>0.48062459362791665</c:v>
                </c:pt>
                <c:pt idx="81">
                  <c:v>0.48361916835460522</c:v>
                </c:pt>
                <c:pt idx="82">
                  <c:v>0.48659531440407444</c:v>
                </c:pt>
                <c:pt idx="83">
                  <c:v>0.48955336787729281</c:v>
                </c:pt>
                <c:pt idx="84">
                  <c:v>0.49249365478146018</c:v>
                </c:pt>
                <c:pt idx="85">
                  <c:v>0.49541649144936628</c:v>
                </c:pt>
                <c:pt idx="86">
                  <c:v>0.49832218493661307</c:v>
                </c:pt>
                <c:pt idx="87">
                  <c:v>0.50121103339810869</c:v>
                </c:pt>
                <c:pt idx="88">
                  <c:v>0.50408332644514242</c:v>
                </c:pt>
                <c:pt idx="89">
                  <c:v>0.50693934548425024</c:v>
                </c:pt>
                <c:pt idx="90">
                  <c:v>0.50977936403899282</c:v>
                </c:pt>
                <c:pt idx="91">
                  <c:v>0.51260364805568837</c:v>
                </c:pt>
                <c:pt idx="92">
                  <c:v>0.51541245619406606</c:v>
                </c:pt>
                <c:pt idx="93">
                  <c:v>0.51820604010374094</c:v>
                </c:pt>
                <c:pt idx="94">
                  <c:v>0.52098464468734584</c:v>
                </c:pt>
                <c:pt idx="95">
                  <c:v>0.52374850835109787</c:v>
                </c:pt>
                <c:pt idx="96">
                  <c:v>0.52649786324352732</c:v>
                </c:pt>
                <c:pt idx="97">
                  <c:v>0.52923293548304418</c:v>
                </c:pt>
                <c:pt idx="98">
                  <c:v>0.53195394537497331</c:v>
                </c:pt>
                <c:pt idx="99">
                  <c:v>0.53466110761864849</c:v>
                </c:pt>
                <c:pt idx="100">
                  <c:v>0.53735463150511686</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1.6071428571428573E-3</c:v>
                </c:pt>
                <c:pt idx="1">
                  <c:v>2.6574603174603185E-2</c:v>
                </c:pt>
                <c:pt idx="2">
                  <c:v>5.314920634920637E-2</c:v>
                </c:pt>
                <c:pt idx="3">
                  <c:v>6.6480394532093853E-2</c:v>
                </c:pt>
                <c:pt idx="4">
                  <c:v>7.6764947357873856E-2</c:v>
                </c:pt>
                <c:pt idx="5">
                  <c:v>8.5825820290699392E-2</c:v>
                </c:pt>
                <c:pt idx="6">
                  <c:v>9.4017475579201315E-2</c:v>
                </c:pt>
                <c:pt idx="7">
                  <c:v>0.10155048005794952</c:v>
                </c:pt>
                <c:pt idx="8">
                  <c:v>0.10856202966836188</c:v>
                </c:pt>
                <c:pt idx="9">
                  <c:v>0.11514742103681076</c:v>
                </c:pt>
                <c:pt idx="10">
                  <c:v>0.12137603905690306</c:v>
                </c:pt>
                <c:pt idx="11">
                  <c:v>0.12730026371872583</c:v>
                </c:pt>
                <c:pt idx="12">
                  <c:v>0.13296078906418771</c:v>
                </c:pt>
                <c:pt idx="13">
                  <c:v>0.13838997692855404</c:v>
                </c:pt>
                <c:pt idx="14">
                  <c:v>0.14361406616345071</c:v>
                </c:pt>
                <c:pt idx="15">
                  <c:v>0.1486546813447672</c:v>
                </c:pt>
                <c:pt idx="16">
                  <c:v>0.15352989471574771</c:v>
                </c:pt>
                <c:pt idx="17">
                  <c:v>0.15825499315074662</c:v>
                </c:pt>
                <c:pt idx="18">
                  <c:v>0.16284304450254283</c:v>
                </c:pt>
                <c:pt idx="19">
                  <c:v>0.16730532396959585</c:v>
                </c:pt>
                <c:pt idx="20">
                  <c:v>0.17165164058139878</c:v>
                </c:pt>
                <c:pt idx="21">
                  <c:v>0.17589059099337864</c:v>
                </c:pt>
                <c:pt idx="22">
                  <c:v>0.18002975944469371</c:v>
                </c:pt>
                <c:pt idx="23">
                  <c:v>0.18407587721216645</c:v>
                </c:pt>
                <c:pt idx="24">
                  <c:v>0.18803495115840263</c:v>
                </c:pt>
                <c:pt idx="25">
                  <c:v>0.19191236839468462</c:v>
                </c:pt>
                <c:pt idx="26">
                  <c:v>0.19571298226886083</c:v>
                </c:pt>
                <c:pt idx="27">
                  <c:v>0.19944118359628166</c:v>
                </c:pt>
                <c:pt idx="28">
                  <c:v>0.20310096011589904</c:v>
                </c:pt>
                <c:pt idx="29">
                  <c:v>0.20669594646657749</c:v>
                </c:pt>
                <c:pt idx="30">
                  <c:v>0.21022946646802049</c:v>
                </c:pt>
                <c:pt idx="31">
                  <c:v>0.21370456910684632</c:v>
                </c:pt>
                <c:pt idx="32">
                  <c:v>0.21712405933672377</c:v>
                </c:pt>
                <c:pt idx="33">
                  <c:v>0.22049052457775015</c:v>
                </c:pt>
                <c:pt idx="34">
                  <c:v>0.22380635762704712</c:v>
                </c:pt>
                <c:pt idx="35">
                  <c:v>0.22707377655731184</c:v>
                </c:pt>
                <c:pt idx="36">
                  <c:v>0.23029484207362153</c:v>
                </c:pt>
                <c:pt idx="37">
                  <c:v>0.23347147271439517</c:v>
                </c:pt>
                <c:pt idx="38">
                  <c:v>0.2366054582150269</c:v>
                </c:pt>
                <c:pt idx="39">
                  <c:v>0.2396984712985403</c:v>
                </c:pt>
                <c:pt idx="40">
                  <c:v>0.24275207811380611</c:v>
                </c:pt>
                <c:pt idx="41">
                  <c:v>0.24576774750622937</c:v>
                </c:pt>
                <c:pt idx="42">
                  <c:v>0.24874685927665496</c:v>
                </c:pt>
                <c:pt idx="43">
                  <c:v>0.25169071156026851</c:v>
                </c:pt>
                <c:pt idx="44">
                  <c:v>0.25460052743745165</c:v>
                </c:pt>
                <c:pt idx="45">
                  <c:v>0.25747746087209822</c:v>
                </c:pt>
                <c:pt idx="46">
                  <c:v>0.26032260205917029</c:v>
                </c:pt>
                <c:pt idx="47">
                  <c:v>0.2631369822517759</c:v>
                </c:pt>
                <c:pt idx="48">
                  <c:v>0.26592157812837541</c:v>
                </c:pt>
                <c:pt idx="49">
                  <c:v>0.26867731575255849</c:v>
                </c:pt>
                <c:pt idx="50">
                  <c:v>0.2714050741709047</c:v>
                </c:pt>
                <c:pt idx="51">
                  <c:v>0.27410568868855784</c:v>
                </c:pt>
                <c:pt idx="52">
                  <c:v>0.27677995385710807</c:v>
                </c:pt>
                <c:pt idx="53">
                  <c:v>0.27942862620507791</c:v>
                </c:pt>
                <c:pt idx="54">
                  <c:v>0.28205242673760395</c:v>
                </c:pt>
                <c:pt idx="55">
                  <c:v>0.28465204322872112</c:v>
                </c:pt>
                <c:pt idx="56">
                  <c:v>0.28722813232690142</c:v>
                </c:pt>
                <c:pt idx="57">
                  <c:v>0.28978132149211117</c:v>
                </c:pt>
                <c:pt idx="58">
                  <c:v>0.29231221078057712</c:v>
                </c:pt>
                <c:pt idx="59">
                  <c:v>0.29482137449164514</c:v>
                </c:pt>
                <c:pt idx="60">
                  <c:v>0.2973093626895344</c:v>
                </c:pt>
                <c:pt idx="61">
                  <c:v>0.29977670261141287</c:v>
                </c:pt>
                <c:pt idx="62">
                  <c:v>0.30222389997200044</c:v>
                </c:pt>
                <c:pt idx="63">
                  <c:v>0.30465144017384854</c:v>
                </c:pt>
                <c:pt idx="64">
                  <c:v>0.30705978943149542</c:v>
                </c:pt>
                <c:pt idx="65">
                  <c:v>0.30944939581687436</c:v>
                </c:pt>
                <c:pt idx="66">
                  <c:v>0.31182069023261244</c:v>
                </c:pt>
                <c:pt idx="67">
                  <c:v>0.31417408731920771</c:v>
                </c:pt>
                <c:pt idx="68">
                  <c:v>0.31650998630149324</c:v>
                </c:pt>
                <c:pt idx="69">
                  <c:v>0.31882877177928237</c:v>
                </c:pt>
                <c:pt idx="70">
                  <c:v>0.32113081446662817</c:v>
                </c:pt>
                <c:pt idx="71">
                  <c:v>0.32341647188372191</c:v>
                </c:pt>
                <c:pt idx="72">
                  <c:v>0.32568608900508567</c:v>
                </c:pt>
                <c:pt idx="73">
                  <c:v>0.32793999886738862</c:v>
                </c:pt>
                <c:pt idx="74">
                  <c:v>0.33017852313991763</c:v>
                </c:pt>
                <c:pt idx="75">
                  <c:v>0.33240197266046939</c:v>
                </c:pt>
                <c:pt idx="76">
                  <c:v>0.33461064793919171</c:v>
                </c:pt>
                <c:pt idx="77">
                  <c:v>0.33680483963268704</c:v>
                </c:pt>
                <c:pt idx="78">
                  <c:v>0.33898482899049376</c:v>
                </c:pt>
                <c:pt idx="79">
                  <c:v>0.34115088827588969</c:v>
                </c:pt>
                <c:pt idx="80">
                  <c:v>0.34330328116279757</c:v>
                </c:pt>
                <c:pt idx="81">
                  <c:v>0.34544226311043225</c:v>
                </c:pt>
                <c:pt idx="82">
                  <c:v>0.34756808171719605</c:v>
                </c:pt>
                <c:pt idx="83">
                  <c:v>0.34968097705520912</c:v>
                </c:pt>
                <c:pt idx="84">
                  <c:v>0.35178118198675729</c:v>
                </c:pt>
                <c:pt idx="85">
                  <c:v>0.35386892246383306</c:v>
                </c:pt>
                <c:pt idx="86">
                  <c:v>0.35594441781186648</c:v>
                </c:pt>
                <c:pt idx="87">
                  <c:v>0.35800788099864911</c:v>
                </c:pt>
                <c:pt idx="88">
                  <c:v>0.36005951888938742</c:v>
                </c:pt>
                <c:pt idx="89">
                  <c:v>0.36209953248875021</c:v>
                </c:pt>
                <c:pt idx="90">
                  <c:v>0.36412811717070914</c:v>
                </c:pt>
                <c:pt idx="91">
                  <c:v>0.36614546289692029</c:v>
                </c:pt>
                <c:pt idx="92">
                  <c:v>0.3681517544243329</c:v>
                </c:pt>
                <c:pt idx="93">
                  <c:v>0.37014717150267218</c:v>
                </c:pt>
                <c:pt idx="94">
                  <c:v>0.37213188906238992</c:v>
                </c:pt>
                <c:pt idx="95">
                  <c:v>0.37410607739364138</c:v>
                </c:pt>
                <c:pt idx="96">
                  <c:v>0.37606990231680526</c:v>
                </c:pt>
                <c:pt idx="97">
                  <c:v>0.37802352534503153</c:v>
                </c:pt>
                <c:pt idx="98">
                  <c:v>0.37996710383926657</c:v>
                </c:pt>
                <c:pt idx="99">
                  <c:v>0.38190079115617748</c:v>
                </c:pt>
                <c:pt idx="100">
                  <c:v>0.38382473678936924</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165.35308641975314</c:v>
                </c:pt>
                <c:pt idx="2">
                  <c:v>330.70617283950628</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1.8749999999999999E-3</c:v>
                </c:pt>
                <c:pt idx="1">
                  <c:v>3.1003703703703714E-2</c:v>
                </c:pt>
                <c:pt idx="2">
                  <c:v>6.2007407407407428E-2</c:v>
                </c:pt>
                <c:pt idx="3">
                  <c:v>7.7560460287442845E-2</c:v>
                </c:pt>
                <c:pt idx="4">
                  <c:v>8.9559105250852838E-2</c:v>
                </c:pt>
                <c:pt idx="5">
                  <c:v>0.10013012367248264</c:v>
                </c:pt>
                <c:pt idx="6">
                  <c:v>0.10968705484240152</c:v>
                </c:pt>
                <c:pt idx="7">
                  <c:v>0.11847556006760776</c:v>
                </c:pt>
                <c:pt idx="8">
                  <c:v>0.12665570127975553</c:v>
                </c:pt>
                <c:pt idx="9">
                  <c:v>0.13433865787627922</c:v>
                </c:pt>
                <c:pt idx="10">
                  <c:v>0.14160537889972025</c:v>
                </c:pt>
                <c:pt idx="11">
                  <c:v>0.14851697433851346</c:v>
                </c:pt>
                <c:pt idx="12">
                  <c:v>0.15512092057488569</c:v>
                </c:pt>
                <c:pt idx="13">
                  <c:v>0.16145497308331305</c:v>
                </c:pt>
                <c:pt idx="14">
                  <c:v>0.16754974385735916</c:v>
                </c:pt>
                <c:pt idx="15">
                  <c:v>0.17343046156889505</c:v>
                </c:pt>
                <c:pt idx="16">
                  <c:v>0.17911821050170568</c:v>
                </c:pt>
                <c:pt idx="17">
                  <c:v>0.18463082534253772</c:v>
                </c:pt>
                <c:pt idx="18">
                  <c:v>0.18998355191963329</c:v>
                </c:pt>
                <c:pt idx="19">
                  <c:v>0.19518954463119517</c:v>
                </c:pt>
                <c:pt idx="20">
                  <c:v>0.20026024734496528</c:v>
                </c:pt>
                <c:pt idx="21">
                  <c:v>0.20520568949227505</c:v>
                </c:pt>
                <c:pt idx="22">
                  <c:v>0.21003471935214266</c:v>
                </c:pt>
                <c:pt idx="23">
                  <c:v>0.21475519008086086</c:v>
                </c:pt>
                <c:pt idx="24">
                  <c:v>0.21937410968480303</c:v>
                </c:pt>
                <c:pt idx="25">
                  <c:v>0.22389776312713205</c:v>
                </c:pt>
                <c:pt idx="26">
                  <c:v>0.22833181264700428</c:v>
                </c:pt>
                <c:pt idx="27">
                  <c:v>0.23268138086232862</c:v>
                </c:pt>
                <c:pt idx="28">
                  <c:v>0.23695112013521552</c:v>
                </c:pt>
                <c:pt idx="29">
                  <c:v>0.24114527087767379</c:v>
                </c:pt>
                <c:pt idx="30">
                  <c:v>0.24526771087935725</c:v>
                </c:pt>
                <c:pt idx="31">
                  <c:v>0.24932199729132073</c:v>
                </c:pt>
                <c:pt idx="32">
                  <c:v>0.25331140255951107</c:v>
                </c:pt>
                <c:pt idx="33">
                  <c:v>0.25723894534070846</c:v>
                </c:pt>
                <c:pt idx="34">
                  <c:v>0.26110741723155501</c:v>
                </c:pt>
                <c:pt idx="35">
                  <c:v>0.26491940598353053</c:v>
                </c:pt>
                <c:pt idx="36">
                  <c:v>0.26867731575255843</c:v>
                </c:pt>
                <c:pt idx="37">
                  <c:v>0.27238338483346103</c:v>
                </c:pt>
                <c:pt idx="38">
                  <c:v>0.27603970125086469</c:v>
                </c:pt>
                <c:pt idx="39">
                  <c:v>0.27964821651496369</c:v>
                </c:pt>
                <c:pt idx="40">
                  <c:v>0.28321075779944049</c:v>
                </c:pt>
                <c:pt idx="41">
                  <c:v>0.28672903875726757</c:v>
                </c:pt>
                <c:pt idx="42">
                  <c:v>0.29020466915609749</c:v>
                </c:pt>
                <c:pt idx="43">
                  <c:v>0.29363916348697994</c:v>
                </c:pt>
                <c:pt idx="44">
                  <c:v>0.29703394867702693</c:v>
                </c:pt>
                <c:pt idx="45">
                  <c:v>0.30039037101744787</c:v>
                </c:pt>
                <c:pt idx="46">
                  <c:v>0.30370970240236533</c:v>
                </c:pt>
                <c:pt idx="47">
                  <c:v>0.30699314596040517</c:v>
                </c:pt>
                <c:pt idx="48">
                  <c:v>0.31024184114977138</c:v>
                </c:pt>
                <c:pt idx="49">
                  <c:v>0.31345686837798492</c:v>
                </c:pt>
                <c:pt idx="50">
                  <c:v>0.31663925319938879</c:v>
                </c:pt>
                <c:pt idx="51">
                  <c:v>0.31978997013665078</c:v>
                </c:pt>
                <c:pt idx="52">
                  <c:v>0.32290994616662611</c:v>
                </c:pt>
                <c:pt idx="53">
                  <c:v>0.32600006390592418</c:v>
                </c:pt>
                <c:pt idx="54">
                  <c:v>0.32906116452720457</c:v>
                </c:pt>
                <c:pt idx="55">
                  <c:v>0.33209405043350798</c:v>
                </c:pt>
                <c:pt idx="56">
                  <c:v>0.33509948771471831</c:v>
                </c:pt>
                <c:pt idx="57">
                  <c:v>0.338078208407463</c:v>
                </c:pt>
                <c:pt idx="58">
                  <c:v>0.34103091257733997</c:v>
                </c:pt>
                <c:pt idx="59">
                  <c:v>0.34395827024025272</c:v>
                </c:pt>
                <c:pt idx="60">
                  <c:v>0.3468609231377901</c:v>
                </c:pt>
                <c:pt idx="61">
                  <c:v>0.34973948637998159</c:v>
                </c:pt>
                <c:pt idx="62">
                  <c:v>0.3525945499673338</c:v>
                </c:pt>
                <c:pt idx="63">
                  <c:v>0.35542668020282325</c:v>
                </c:pt>
                <c:pt idx="64">
                  <c:v>0.35823642100341135</c:v>
                </c:pt>
                <c:pt idx="65">
                  <c:v>0.36102429511968676</c:v>
                </c:pt>
                <c:pt idx="66">
                  <c:v>0.36379080527138113</c:v>
                </c:pt>
                <c:pt idx="67">
                  <c:v>0.36653643520574236</c:v>
                </c:pt>
                <c:pt idx="68">
                  <c:v>0.36926165068507544</c:v>
                </c:pt>
                <c:pt idx="69">
                  <c:v>0.37196690040916269</c:v>
                </c:pt>
                <c:pt idx="70">
                  <c:v>0.37465261687773288</c:v>
                </c:pt>
                <c:pt idx="71">
                  <c:v>0.37731921719767553</c:v>
                </c:pt>
                <c:pt idx="72">
                  <c:v>0.37996710383926657</c:v>
                </c:pt>
                <c:pt idx="73">
                  <c:v>0.38259666534528669</c:v>
                </c:pt>
                <c:pt idx="74">
                  <c:v>0.38520827699657056</c:v>
                </c:pt>
                <c:pt idx="75">
                  <c:v>0.38780230143721428</c:v>
                </c:pt>
                <c:pt idx="76">
                  <c:v>0.39037908926239034</c:v>
                </c:pt>
                <c:pt idx="77">
                  <c:v>0.39293897957146823</c:v>
                </c:pt>
                <c:pt idx="78">
                  <c:v>0.39548230048890931</c:v>
                </c:pt>
                <c:pt idx="79">
                  <c:v>0.39800936965520467</c:v>
                </c:pt>
                <c:pt idx="80">
                  <c:v>0.40052049468993056</c:v>
                </c:pt>
                <c:pt idx="81">
                  <c:v>0.40301597362883768</c:v>
                </c:pt>
                <c:pt idx="82">
                  <c:v>0.4054960953367287</c:v>
                </c:pt>
                <c:pt idx="83">
                  <c:v>0.40796113989774407</c:v>
                </c:pt>
                <c:pt idx="84">
                  <c:v>0.4104113789845501</c:v>
                </c:pt>
                <c:pt idx="85">
                  <c:v>0.4128470762078052</c:v>
                </c:pt>
                <c:pt idx="86">
                  <c:v>0.41526848744717759</c:v>
                </c:pt>
                <c:pt idx="87">
                  <c:v>0.41767586116509059</c:v>
                </c:pt>
                <c:pt idx="88">
                  <c:v>0.42006943870428531</c:v>
                </c:pt>
                <c:pt idx="89">
                  <c:v>0.42244945457020855</c:v>
                </c:pt>
                <c:pt idx="90">
                  <c:v>0.42481613669916068</c:v>
                </c:pt>
                <c:pt idx="91">
                  <c:v>0.42716970671307364</c:v>
                </c:pt>
                <c:pt idx="92">
                  <c:v>0.42951038016172172</c:v>
                </c:pt>
                <c:pt idx="93">
                  <c:v>0.43183836675311743</c:v>
                </c:pt>
                <c:pt idx="94">
                  <c:v>0.4341538705727882</c:v>
                </c:pt>
                <c:pt idx="95">
                  <c:v>0.43645709029258151</c:v>
                </c:pt>
                <c:pt idx="96">
                  <c:v>0.43874821936960606</c:v>
                </c:pt>
                <c:pt idx="97">
                  <c:v>0.44102744623587015</c:v>
                </c:pt>
                <c:pt idx="98">
                  <c:v>0.44329495447914435</c:v>
                </c:pt>
                <c:pt idx="99">
                  <c:v>0.44555092301554039</c:v>
                </c:pt>
                <c:pt idx="100">
                  <c:v>0.44779552625426411</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2.2500000000000003E-3</c:v>
                </c:pt>
                <c:pt idx="1">
                  <c:v>3.7204444444444457E-2</c:v>
                </c:pt>
                <c:pt idx="2">
                  <c:v>7.4408888888888913E-2</c:v>
                </c:pt>
                <c:pt idx="3">
                  <c:v>9.3072552344931406E-2</c:v>
                </c:pt>
                <c:pt idx="4">
                  <c:v>0.10747092630102338</c:v>
                </c:pt>
                <c:pt idx="5">
                  <c:v>0.12015614840697916</c:v>
                </c:pt>
                <c:pt idx="6">
                  <c:v>0.13162446581088183</c:v>
                </c:pt>
                <c:pt idx="7">
                  <c:v>0.14217067208112932</c:v>
                </c:pt>
                <c:pt idx="8">
                  <c:v>0.15198684153570663</c:v>
                </c:pt>
                <c:pt idx="9">
                  <c:v>0.16120638945153509</c:v>
                </c:pt>
                <c:pt idx="10">
                  <c:v>0.16992645467966427</c:v>
                </c:pt>
                <c:pt idx="11">
                  <c:v>0.17822036920621614</c:v>
                </c:pt>
                <c:pt idx="12">
                  <c:v>0.18614510468986281</c:v>
                </c:pt>
                <c:pt idx="13">
                  <c:v>0.19374596769997565</c:v>
                </c:pt>
                <c:pt idx="14">
                  <c:v>0.201059692628831</c:v>
                </c:pt>
                <c:pt idx="15">
                  <c:v>0.20811655388267411</c:v>
                </c:pt>
                <c:pt idx="16">
                  <c:v>0.21494185260204676</c:v>
                </c:pt>
                <c:pt idx="17">
                  <c:v>0.22155699041104526</c:v>
                </c:pt>
                <c:pt idx="18">
                  <c:v>0.22798026230355997</c:v>
                </c:pt>
                <c:pt idx="19">
                  <c:v>0.23422745355743418</c:v>
                </c:pt>
                <c:pt idx="20">
                  <c:v>0.24031229681395833</c:v>
                </c:pt>
                <c:pt idx="21">
                  <c:v>0.24624682739073009</c:v>
                </c:pt>
                <c:pt idx="22">
                  <c:v>0.25204166322257121</c:v>
                </c:pt>
                <c:pt idx="23">
                  <c:v>0.25770622809703303</c:v>
                </c:pt>
                <c:pt idx="24">
                  <c:v>0.26324893162176366</c:v>
                </c:pt>
                <c:pt idx="25">
                  <c:v>0.26867731575255843</c:v>
                </c:pt>
                <c:pt idx="26">
                  <c:v>0.27399817517640518</c:v>
                </c:pt>
                <c:pt idx="27">
                  <c:v>0.27921765703479429</c:v>
                </c:pt>
                <c:pt idx="28">
                  <c:v>0.28434134416225865</c:v>
                </c:pt>
                <c:pt idx="29">
                  <c:v>0.28937432505320854</c:v>
                </c:pt>
                <c:pt idx="30">
                  <c:v>0.29432125305522872</c:v>
                </c:pt>
                <c:pt idx="31">
                  <c:v>0.29918639674958486</c:v>
                </c:pt>
                <c:pt idx="32">
                  <c:v>0.30397368307141326</c:v>
                </c:pt>
                <c:pt idx="33">
                  <c:v>0.30868673440885019</c:v>
                </c:pt>
                <c:pt idx="34">
                  <c:v>0.31332890067786601</c:v>
                </c:pt>
                <c:pt idx="35">
                  <c:v>0.31790328718023664</c:v>
                </c:pt>
                <c:pt idx="36">
                  <c:v>0.32241277890307019</c:v>
                </c:pt>
                <c:pt idx="37">
                  <c:v>0.3268600618001532</c:v>
                </c:pt>
                <c:pt idx="38">
                  <c:v>0.33124764150103764</c:v>
                </c:pt>
                <c:pt idx="39">
                  <c:v>0.33557785981795646</c:v>
                </c:pt>
                <c:pt idx="40">
                  <c:v>0.33985290935932855</c:v>
                </c:pt>
                <c:pt idx="41">
                  <c:v>0.34407484650872117</c:v>
                </c:pt>
                <c:pt idx="42">
                  <c:v>0.34824560298731699</c:v>
                </c:pt>
                <c:pt idx="43">
                  <c:v>0.35236699618437589</c:v>
                </c:pt>
                <c:pt idx="44">
                  <c:v>0.35644073841243229</c:v>
                </c:pt>
                <c:pt idx="45">
                  <c:v>0.36046844522093741</c:v>
                </c:pt>
                <c:pt idx="46">
                  <c:v>0.36445164288283849</c:v>
                </c:pt>
                <c:pt idx="47">
                  <c:v>0.36839177515248622</c:v>
                </c:pt>
                <c:pt idx="48">
                  <c:v>0.37229020937972562</c:v>
                </c:pt>
                <c:pt idx="49">
                  <c:v>0.37614824205358188</c:v>
                </c:pt>
                <c:pt idx="50">
                  <c:v>0.37996710383926657</c:v>
                </c:pt>
                <c:pt idx="51">
                  <c:v>0.38374796416398094</c:v>
                </c:pt>
                <c:pt idx="52">
                  <c:v>0.3874919353999513</c:v>
                </c:pt>
                <c:pt idx="53">
                  <c:v>0.39120007668710904</c:v>
                </c:pt>
                <c:pt idx="54">
                  <c:v>0.39487339743264549</c:v>
                </c:pt>
                <c:pt idx="55">
                  <c:v>0.39851286052020957</c:v>
                </c:pt>
                <c:pt idx="56">
                  <c:v>0.402119385257662</c:v>
                </c:pt>
                <c:pt idx="57">
                  <c:v>0.40569385008895564</c:v>
                </c:pt>
                <c:pt idx="58">
                  <c:v>0.40923709509280803</c:v>
                </c:pt>
                <c:pt idx="59">
                  <c:v>0.4127499242883032</c:v>
                </c:pt>
                <c:pt idx="60">
                  <c:v>0.41623310776534822</c:v>
                </c:pt>
                <c:pt idx="61">
                  <c:v>0.41968738365597791</c:v>
                </c:pt>
                <c:pt idx="62">
                  <c:v>0.42311345996080063</c:v>
                </c:pt>
                <c:pt idx="63">
                  <c:v>0.42651201624338797</c:v>
                </c:pt>
                <c:pt idx="64">
                  <c:v>0.42988370520409352</c:v>
                </c:pt>
                <c:pt idx="65">
                  <c:v>0.43322915414362412</c:v>
                </c:pt>
                <c:pt idx="66">
                  <c:v>0.43654896632565743</c:v>
                </c:pt>
                <c:pt idx="67">
                  <c:v>0.43984372224689078</c:v>
                </c:pt>
                <c:pt idx="68">
                  <c:v>0.44311398082209053</c:v>
                </c:pt>
                <c:pt idx="69">
                  <c:v>0.4463602804909953</c:v>
                </c:pt>
                <c:pt idx="70">
                  <c:v>0.44958314025327945</c:v>
                </c:pt>
                <c:pt idx="71">
                  <c:v>0.45278306063721074</c:v>
                </c:pt>
                <c:pt idx="72">
                  <c:v>0.45596052460711994</c:v>
                </c:pt>
                <c:pt idx="73">
                  <c:v>0.45911599841434403</c:v>
                </c:pt>
                <c:pt idx="74">
                  <c:v>0.46224993239588474</c:v>
                </c:pt>
                <c:pt idx="75">
                  <c:v>0.46536276172465713</c:v>
                </c:pt>
                <c:pt idx="76">
                  <c:v>0.46845490711486837</c:v>
                </c:pt>
                <c:pt idx="77">
                  <c:v>0.47152677548576183</c:v>
                </c:pt>
                <c:pt idx="78">
                  <c:v>0.47457876058669118</c:v>
                </c:pt>
                <c:pt idx="79">
                  <c:v>0.47761124358624557</c:v>
                </c:pt>
                <c:pt idx="80">
                  <c:v>0.48062459362791665</c:v>
                </c:pt>
                <c:pt idx="81">
                  <c:v>0.48361916835460522</c:v>
                </c:pt>
                <c:pt idx="82">
                  <c:v>0.48659531440407444</c:v>
                </c:pt>
                <c:pt idx="83">
                  <c:v>0.48955336787729281</c:v>
                </c:pt>
                <c:pt idx="84">
                  <c:v>0.49249365478146018</c:v>
                </c:pt>
                <c:pt idx="85">
                  <c:v>0.49541649144936628</c:v>
                </c:pt>
                <c:pt idx="86">
                  <c:v>0.49832218493661307</c:v>
                </c:pt>
                <c:pt idx="87">
                  <c:v>0.50121103339810869</c:v>
                </c:pt>
                <c:pt idx="88">
                  <c:v>0.50408332644514242</c:v>
                </c:pt>
                <c:pt idx="89">
                  <c:v>0.50693934548425024</c:v>
                </c:pt>
                <c:pt idx="90">
                  <c:v>0.50977936403899282</c:v>
                </c:pt>
                <c:pt idx="91">
                  <c:v>0.51260364805568837</c:v>
                </c:pt>
                <c:pt idx="92">
                  <c:v>0.51541245619406606</c:v>
                </c:pt>
                <c:pt idx="93">
                  <c:v>0.51820604010374094</c:v>
                </c:pt>
                <c:pt idx="94">
                  <c:v>0.52098464468734584</c:v>
                </c:pt>
                <c:pt idx="95">
                  <c:v>0.52374850835109787</c:v>
                </c:pt>
                <c:pt idx="96">
                  <c:v>0.52649786324352732</c:v>
                </c:pt>
                <c:pt idx="97">
                  <c:v>0.52923293548304418</c:v>
                </c:pt>
                <c:pt idx="98">
                  <c:v>0.53195394537497331</c:v>
                </c:pt>
                <c:pt idx="99">
                  <c:v>0.53466110761864849</c:v>
                </c:pt>
                <c:pt idx="100">
                  <c:v>0.53735463150511686</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1.6071428571428573E-3</c:v>
                </c:pt>
                <c:pt idx="1">
                  <c:v>2.6574603174603185E-2</c:v>
                </c:pt>
                <c:pt idx="2">
                  <c:v>5.314920634920637E-2</c:v>
                </c:pt>
                <c:pt idx="3">
                  <c:v>6.6480394532093853E-2</c:v>
                </c:pt>
                <c:pt idx="4">
                  <c:v>7.6764947357873856E-2</c:v>
                </c:pt>
                <c:pt idx="5">
                  <c:v>8.5825820290699392E-2</c:v>
                </c:pt>
                <c:pt idx="6">
                  <c:v>9.4017475579201315E-2</c:v>
                </c:pt>
                <c:pt idx="7">
                  <c:v>0.10155048005794952</c:v>
                </c:pt>
                <c:pt idx="8">
                  <c:v>0.10856202966836188</c:v>
                </c:pt>
                <c:pt idx="9">
                  <c:v>0.11514742103681076</c:v>
                </c:pt>
                <c:pt idx="10">
                  <c:v>0.12137603905690306</c:v>
                </c:pt>
                <c:pt idx="11">
                  <c:v>0.12730026371872583</c:v>
                </c:pt>
                <c:pt idx="12">
                  <c:v>0.13296078906418771</c:v>
                </c:pt>
                <c:pt idx="13">
                  <c:v>0.13838997692855404</c:v>
                </c:pt>
                <c:pt idx="14">
                  <c:v>0.14361406616345071</c:v>
                </c:pt>
                <c:pt idx="15">
                  <c:v>0.1486546813447672</c:v>
                </c:pt>
                <c:pt idx="16">
                  <c:v>0.15352989471574771</c:v>
                </c:pt>
                <c:pt idx="17">
                  <c:v>0.15825499315074662</c:v>
                </c:pt>
                <c:pt idx="18">
                  <c:v>0.16284304450254283</c:v>
                </c:pt>
                <c:pt idx="19">
                  <c:v>0.16730532396959585</c:v>
                </c:pt>
                <c:pt idx="20">
                  <c:v>0.17165164058139878</c:v>
                </c:pt>
                <c:pt idx="21">
                  <c:v>0.17589059099337864</c:v>
                </c:pt>
                <c:pt idx="22">
                  <c:v>0.18002975944469371</c:v>
                </c:pt>
                <c:pt idx="23">
                  <c:v>0.18407587721216645</c:v>
                </c:pt>
                <c:pt idx="24">
                  <c:v>0.18803495115840263</c:v>
                </c:pt>
                <c:pt idx="25">
                  <c:v>0.19191236839468462</c:v>
                </c:pt>
                <c:pt idx="26">
                  <c:v>0.19571298226886083</c:v>
                </c:pt>
                <c:pt idx="27">
                  <c:v>0.19944118359628166</c:v>
                </c:pt>
                <c:pt idx="28">
                  <c:v>0.20310096011589904</c:v>
                </c:pt>
                <c:pt idx="29">
                  <c:v>0.20669594646657749</c:v>
                </c:pt>
                <c:pt idx="30">
                  <c:v>0.21022946646802049</c:v>
                </c:pt>
                <c:pt idx="31">
                  <c:v>0.21370456910684632</c:v>
                </c:pt>
                <c:pt idx="32">
                  <c:v>0.21712405933672377</c:v>
                </c:pt>
                <c:pt idx="33">
                  <c:v>0.22049052457775015</c:v>
                </c:pt>
                <c:pt idx="34">
                  <c:v>0.22380635762704712</c:v>
                </c:pt>
                <c:pt idx="35">
                  <c:v>0.22707377655731184</c:v>
                </c:pt>
                <c:pt idx="36">
                  <c:v>0.23029484207362153</c:v>
                </c:pt>
                <c:pt idx="37">
                  <c:v>0.23347147271439517</c:v>
                </c:pt>
                <c:pt idx="38">
                  <c:v>0.2366054582150269</c:v>
                </c:pt>
                <c:pt idx="39">
                  <c:v>0.2396984712985403</c:v>
                </c:pt>
                <c:pt idx="40">
                  <c:v>0.24275207811380611</c:v>
                </c:pt>
                <c:pt idx="41">
                  <c:v>0.24576774750622937</c:v>
                </c:pt>
                <c:pt idx="42">
                  <c:v>0.24874685927665496</c:v>
                </c:pt>
                <c:pt idx="43">
                  <c:v>0.25169071156026851</c:v>
                </c:pt>
                <c:pt idx="44">
                  <c:v>0.25460052743745165</c:v>
                </c:pt>
                <c:pt idx="45">
                  <c:v>0.25747746087209822</c:v>
                </c:pt>
                <c:pt idx="46">
                  <c:v>0.26032260205917029</c:v>
                </c:pt>
                <c:pt idx="47">
                  <c:v>0.2631369822517759</c:v>
                </c:pt>
                <c:pt idx="48">
                  <c:v>0.26592157812837541</c:v>
                </c:pt>
                <c:pt idx="49">
                  <c:v>0.26867731575255849</c:v>
                </c:pt>
                <c:pt idx="50">
                  <c:v>0.2714050741709047</c:v>
                </c:pt>
                <c:pt idx="51">
                  <c:v>0.27410568868855784</c:v>
                </c:pt>
                <c:pt idx="52">
                  <c:v>0.27677995385710807</c:v>
                </c:pt>
                <c:pt idx="53">
                  <c:v>0.27942862620507791</c:v>
                </c:pt>
                <c:pt idx="54">
                  <c:v>0.28205242673760395</c:v>
                </c:pt>
                <c:pt idx="55">
                  <c:v>0.28465204322872112</c:v>
                </c:pt>
                <c:pt idx="56">
                  <c:v>0.28722813232690142</c:v>
                </c:pt>
                <c:pt idx="57">
                  <c:v>0.28978132149211117</c:v>
                </c:pt>
                <c:pt idx="58">
                  <c:v>0.29231221078057712</c:v>
                </c:pt>
                <c:pt idx="59">
                  <c:v>0.29482137449164514</c:v>
                </c:pt>
                <c:pt idx="60">
                  <c:v>0.2973093626895344</c:v>
                </c:pt>
                <c:pt idx="61">
                  <c:v>0.29977670261141287</c:v>
                </c:pt>
                <c:pt idx="62">
                  <c:v>0.30222389997200044</c:v>
                </c:pt>
                <c:pt idx="63">
                  <c:v>0.30465144017384854</c:v>
                </c:pt>
                <c:pt idx="64">
                  <c:v>0.30705978943149542</c:v>
                </c:pt>
                <c:pt idx="65">
                  <c:v>0.30944939581687436</c:v>
                </c:pt>
                <c:pt idx="66">
                  <c:v>0.31182069023261244</c:v>
                </c:pt>
                <c:pt idx="67">
                  <c:v>0.31417408731920771</c:v>
                </c:pt>
                <c:pt idx="68">
                  <c:v>0.31650998630149324</c:v>
                </c:pt>
                <c:pt idx="69">
                  <c:v>0.31882877177928237</c:v>
                </c:pt>
                <c:pt idx="70">
                  <c:v>0.32113081446662817</c:v>
                </c:pt>
                <c:pt idx="71">
                  <c:v>0.32341647188372191</c:v>
                </c:pt>
                <c:pt idx="72">
                  <c:v>0.32568608900508567</c:v>
                </c:pt>
                <c:pt idx="73">
                  <c:v>0.32793999886738862</c:v>
                </c:pt>
                <c:pt idx="74">
                  <c:v>0.33017852313991763</c:v>
                </c:pt>
                <c:pt idx="75">
                  <c:v>0.33240197266046939</c:v>
                </c:pt>
                <c:pt idx="76">
                  <c:v>0.33461064793919171</c:v>
                </c:pt>
                <c:pt idx="77">
                  <c:v>0.33680483963268704</c:v>
                </c:pt>
                <c:pt idx="78">
                  <c:v>0.33898482899049376</c:v>
                </c:pt>
                <c:pt idx="79">
                  <c:v>0.34115088827588969</c:v>
                </c:pt>
                <c:pt idx="80">
                  <c:v>0.34330328116279757</c:v>
                </c:pt>
                <c:pt idx="81">
                  <c:v>0.34544226311043225</c:v>
                </c:pt>
                <c:pt idx="82">
                  <c:v>0.34756808171719605</c:v>
                </c:pt>
                <c:pt idx="83">
                  <c:v>0.34968097705520912</c:v>
                </c:pt>
                <c:pt idx="84">
                  <c:v>0.35178118198675729</c:v>
                </c:pt>
                <c:pt idx="85">
                  <c:v>0.35386892246383306</c:v>
                </c:pt>
                <c:pt idx="86">
                  <c:v>0.35594441781186648</c:v>
                </c:pt>
                <c:pt idx="87">
                  <c:v>0.35800788099864911</c:v>
                </c:pt>
                <c:pt idx="88">
                  <c:v>0.36005951888938742</c:v>
                </c:pt>
                <c:pt idx="89">
                  <c:v>0.36209953248875021</c:v>
                </c:pt>
                <c:pt idx="90">
                  <c:v>0.36412811717070914</c:v>
                </c:pt>
                <c:pt idx="91">
                  <c:v>0.36614546289692029</c:v>
                </c:pt>
                <c:pt idx="92">
                  <c:v>0.3681517544243329</c:v>
                </c:pt>
                <c:pt idx="93">
                  <c:v>0.37014717150267218</c:v>
                </c:pt>
                <c:pt idx="94">
                  <c:v>0.37213188906238992</c:v>
                </c:pt>
                <c:pt idx="95">
                  <c:v>0.37410607739364138</c:v>
                </c:pt>
                <c:pt idx="96">
                  <c:v>0.37606990231680526</c:v>
                </c:pt>
                <c:pt idx="97">
                  <c:v>0.37802352534503153</c:v>
                </c:pt>
                <c:pt idx="98">
                  <c:v>0.37996710383926657</c:v>
                </c:pt>
                <c:pt idx="99">
                  <c:v>0.38190079115617748</c:v>
                </c:pt>
                <c:pt idx="100">
                  <c:v>0.38382473678936924</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de-DE"/>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de-DE"/>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de-DE"/>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0.15</c:v>
                </c:pt>
                <c:pt idx="1">
                  <c:v>0.15</c:v>
                </c:pt>
                <c:pt idx="2">
                  <c:v>0.15</c:v>
                </c:pt>
                <c:pt idx="3">
                  <c:v>0.17728105208558365</c:v>
                </c:pt>
                <c:pt idx="4">
                  <c:v>0.20470652628766359</c:v>
                </c:pt>
                <c:pt idx="5">
                  <c:v>0.22886885410853172</c:v>
                </c:pt>
                <c:pt idx="6">
                  <c:v>0.25071326821120349</c:v>
                </c:pt>
                <c:pt idx="7">
                  <c:v>0.27080128015453203</c:v>
                </c:pt>
                <c:pt idx="8">
                  <c:v>0.28949874578229834</c:v>
                </c:pt>
                <c:pt idx="9">
                  <c:v>0.30705978943149537</c:v>
                </c:pt>
                <c:pt idx="10">
                  <c:v>0.32366943748507482</c:v>
                </c:pt>
                <c:pt idx="11">
                  <c:v>0.3394673699166022</c:v>
                </c:pt>
                <c:pt idx="12">
                  <c:v>0.35456210417116729</c:v>
                </c:pt>
                <c:pt idx="13">
                  <c:v>0.36903993847614408</c:v>
                </c:pt>
                <c:pt idx="14">
                  <c:v>0.38297084310253526</c:v>
                </c:pt>
                <c:pt idx="15">
                  <c:v>0.39641248358604592</c:v>
                </c:pt>
                <c:pt idx="16">
                  <c:v>0.40941305257532717</c:v>
                </c:pt>
                <c:pt idx="17">
                  <c:v>0.42201331506865764</c:v>
                </c:pt>
                <c:pt idx="18">
                  <c:v>0.43424811867344754</c:v>
                </c:pt>
                <c:pt idx="19">
                  <c:v>0.44614753058558893</c:v>
                </c:pt>
                <c:pt idx="20">
                  <c:v>0.45773770821706344</c:v>
                </c:pt>
                <c:pt idx="21">
                  <c:v>0.46904157598234297</c:v>
                </c:pt>
                <c:pt idx="22">
                  <c:v>0.48007935851918326</c:v>
                </c:pt>
                <c:pt idx="23">
                  <c:v>0.49086900589911048</c:v>
                </c:pt>
                <c:pt idx="24">
                  <c:v>0.50142653642240698</c:v>
                </c:pt>
                <c:pt idx="25">
                  <c:v>0.51176631571915898</c:v>
                </c:pt>
                <c:pt idx="26">
                  <c:v>0.52190128605029551</c:v>
                </c:pt>
                <c:pt idx="27">
                  <c:v>0.53184315625675105</c:v>
                </c:pt>
                <c:pt idx="28">
                  <c:v>0.54160256030906406</c:v>
                </c:pt>
                <c:pt idx="29">
                  <c:v>0.55118919057754001</c:v>
                </c:pt>
                <c:pt idx="30">
                  <c:v>0.56061191058138804</c:v>
                </c:pt>
                <c:pt idx="31">
                  <c:v>0.56987885095159019</c:v>
                </c:pt>
                <c:pt idx="32">
                  <c:v>0.57899749156459668</c:v>
                </c:pt>
                <c:pt idx="33">
                  <c:v>0.58797473220733365</c:v>
                </c:pt>
                <c:pt idx="34">
                  <c:v>0.59681695367212573</c:v>
                </c:pt>
                <c:pt idx="35">
                  <c:v>0.60553007081949828</c:v>
                </c:pt>
                <c:pt idx="36">
                  <c:v>0.61411957886299073</c:v>
                </c:pt>
                <c:pt idx="37">
                  <c:v>0.62259059390505378</c:v>
                </c:pt>
                <c:pt idx="38">
                  <c:v>0.63094788857340511</c:v>
                </c:pt>
                <c:pt idx="39">
                  <c:v>0.6391959234627741</c:v>
                </c:pt>
                <c:pt idx="40">
                  <c:v>0.64733887497014964</c:v>
                </c:pt>
                <c:pt idx="41">
                  <c:v>0.65538066001661166</c:v>
                </c:pt>
                <c:pt idx="42">
                  <c:v>0.66332495807107994</c:v>
                </c:pt>
                <c:pt idx="43">
                  <c:v>0.67117523082738273</c:v>
                </c:pt>
                <c:pt idx="44">
                  <c:v>0.6789347398332044</c:v>
                </c:pt>
                <c:pt idx="45">
                  <c:v>0.68660656232559514</c:v>
                </c:pt>
                <c:pt idx="46">
                  <c:v>0.69419360549112086</c:v>
                </c:pt>
                <c:pt idx="47">
                  <c:v>0.7016986193380691</c:v>
                </c:pt>
                <c:pt idx="48">
                  <c:v>0.70912420834233458</c:v>
                </c:pt>
                <c:pt idx="49">
                  <c:v>0.7164728420068226</c:v>
                </c:pt>
                <c:pt idx="50">
                  <c:v>0.72374686445574588</c:v>
                </c:pt>
                <c:pt idx="51">
                  <c:v>0.73094850316948756</c:v>
                </c:pt>
                <c:pt idx="52">
                  <c:v>0.73807987695228816</c:v>
                </c:pt>
                <c:pt idx="53">
                  <c:v>0.74514300321354099</c:v>
                </c:pt>
                <c:pt idx="54">
                  <c:v>0.75213980463361052</c:v>
                </c:pt>
                <c:pt idx="55">
                  <c:v>0.75907211527658969</c:v>
                </c:pt>
                <c:pt idx="56">
                  <c:v>0.76594168620507053</c:v>
                </c:pt>
                <c:pt idx="57">
                  <c:v>0.77275019064562978</c:v>
                </c:pt>
                <c:pt idx="58">
                  <c:v>0.77949922874820565</c:v>
                </c:pt>
                <c:pt idx="59">
                  <c:v>0.78619033197772037</c:v>
                </c:pt>
                <c:pt idx="60">
                  <c:v>0.79282496717209183</c:v>
                </c:pt>
                <c:pt idx="61">
                  <c:v>0.79940454029710084</c:v>
                </c:pt>
                <c:pt idx="62">
                  <c:v>0.80593039992533444</c:v>
                </c:pt>
                <c:pt idx="63">
                  <c:v>0.81240384046359604</c:v>
                </c:pt>
                <c:pt idx="64">
                  <c:v>0.81882610515065435</c:v>
                </c:pt>
                <c:pt idx="65">
                  <c:v>0.8251983888449983</c:v>
                </c:pt>
                <c:pt idx="66">
                  <c:v>0.83152184062029988</c:v>
                </c:pt>
                <c:pt idx="67">
                  <c:v>0.83779756618455392</c:v>
                </c:pt>
                <c:pt idx="68">
                  <c:v>0.84402663013731527</c:v>
                </c:pt>
                <c:pt idx="69">
                  <c:v>0.85021005807808625</c:v>
                </c:pt>
                <c:pt idx="70">
                  <c:v>0.85634883857767519</c:v>
                </c:pt>
                <c:pt idx="71">
                  <c:v>0.8624439250232584</c:v>
                </c:pt>
                <c:pt idx="72">
                  <c:v>0.86849623734689507</c:v>
                </c:pt>
                <c:pt idx="73">
                  <c:v>0.87450666364636964</c:v>
                </c:pt>
                <c:pt idx="74">
                  <c:v>0.8804760617064471</c:v>
                </c:pt>
                <c:pt idx="75">
                  <c:v>0.88640526042791834</c:v>
                </c:pt>
                <c:pt idx="76">
                  <c:v>0.89229506117117785</c:v>
                </c:pt>
                <c:pt idx="77">
                  <c:v>0.89814623902049873</c:v>
                </c:pt>
                <c:pt idx="78">
                  <c:v>0.90395954397464995</c:v>
                </c:pt>
                <c:pt idx="79">
                  <c:v>0.9097357020690392</c:v>
                </c:pt>
                <c:pt idx="80">
                  <c:v>0.91547541643412689</c:v>
                </c:pt>
                <c:pt idx="81">
                  <c:v>0.9211793682944861</c:v>
                </c:pt>
                <c:pt idx="82">
                  <c:v>0.9268482179125227</c:v>
                </c:pt>
                <c:pt idx="83">
                  <c:v>0.93248260548055772</c:v>
                </c:pt>
                <c:pt idx="84">
                  <c:v>0.93808315196468595</c:v>
                </c:pt>
                <c:pt idx="85">
                  <c:v>0.94365045990355478</c:v>
                </c:pt>
                <c:pt idx="86">
                  <c:v>0.94918511416497731</c:v>
                </c:pt>
                <c:pt idx="87">
                  <c:v>0.95468768266306414</c:v>
                </c:pt>
                <c:pt idx="88">
                  <c:v>0.96015871703836653</c:v>
                </c:pt>
                <c:pt idx="89">
                  <c:v>0.96559875330333378</c:v>
                </c:pt>
                <c:pt idx="90">
                  <c:v>0.97100831245522445</c:v>
                </c:pt>
                <c:pt idx="91">
                  <c:v>0.97638790105845408</c:v>
                </c:pt>
                <c:pt idx="92">
                  <c:v>0.98173801179822096</c:v>
                </c:pt>
                <c:pt idx="93">
                  <c:v>0.9870591240071257</c:v>
                </c:pt>
                <c:pt idx="94">
                  <c:v>0.99235170416637297</c:v>
                </c:pt>
                <c:pt idx="95">
                  <c:v>0.99761620638304349</c:v>
                </c:pt>
                <c:pt idx="96">
                  <c:v>1.002853072844814</c:v>
                </c:pt>
                <c:pt idx="97">
                  <c:v>1.0080627342534174</c:v>
                </c:pt>
                <c:pt idx="98">
                  <c:v>1.0132456102380443</c:v>
                </c:pt>
                <c:pt idx="99">
                  <c:v>1.0184021097498066</c:v>
                </c:pt>
                <c:pt idx="100">
                  <c:v>1.023532631438318</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Dual'!$AI$5:$AI$105</c:f>
              <c:numCache>
                <c:formatCode>0.000</c:formatCode>
                <c:ptCount val="101"/>
                <c:pt idx="0">
                  <c:v>0.15</c:v>
                </c:pt>
                <c:pt idx="1">
                  <c:v>0.15</c:v>
                </c:pt>
                <c:pt idx="2">
                  <c:v>0.15</c:v>
                </c:pt>
                <c:pt idx="3">
                  <c:v>0.17728105208558365</c:v>
                </c:pt>
                <c:pt idx="4">
                  <c:v>0.20470652628766359</c:v>
                </c:pt>
                <c:pt idx="5">
                  <c:v>0.22886885410853172</c:v>
                </c:pt>
                <c:pt idx="6">
                  <c:v>0.25071326821120349</c:v>
                </c:pt>
                <c:pt idx="7">
                  <c:v>0.27080128015453203</c:v>
                </c:pt>
                <c:pt idx="8">
                  <c:v>0.28949874578229834</c:v>
                </c:pt>
                <c:pt idx="9">
                  <c:v>0.30705978943149537</c:v>
                </c:pt>
                <c:pt idx="10">
                  <c:v>0.32366943748507482</c:v>
                </c:pt>
                <c:pt idx="11">
                  <c:v>0.3394673699166022</c:v>
                </c:pt>
                <c:pt idx="12">
                  <c:v>0.35456210417116729</c:v>
                </c:pt>
                <c:pt idx="13">
                  <c:v>0.36903993847614408</c:v>
                </c:pt>
                <c:pt idx="14">
                  <c:v>0.38297084310253526</c:v>
                </c:pt>
                <c:pt idx="15">
                  <c:v>0.39641248358604592</c:v>
                </c:pt>
                <c:pt idx="16">
                  <c:v>0.40941305257532717</c:v>
                </c:pt>
                <c:pt idx="17">
                  <c:v>0.42201331506865764</c:v>
                </c:pt>
                <c:pt idx="18">
                  <c:v>0.43424811867344754</c:v>
                </c:pt>
                <c:pt idx="19">
                  <c:v>0.44614753058558893</c:v>
                </c:pt>
                <c:pt idx="20">
                  <c:v>0.45773770821706344</c:v>
                </c:pt>
                <c:pt idx="21">
                  <c:v>0.46904157598234297</c:v>
                </c:pt>
                <c:pt idx="22">
                  <c:v>0.48007935851918326</c:v>
                </c:pt>
                <c:pt idx="23">
                  <c:v>0.49086900589911048</c:v>
                </c:pt>
                <c:pt idx="24">
                  <c:v>0.50142653642240698</c:v>
                </c:pt>
                <c:pt idx="25">
                  <c:v>0.51176631571915898</c:v>
                </c:pt>
                <c:pt idx="26">
                  <c:v>0.52190128605029551</c:v>
                </c:pt>
                <c:pt idx="27">
                  <c:v>0.53184315625675105</c:v>
                </c:pt>
                <c:pt idx="28">
                  <c:v>0.54160256030906406</c:v>
                </c:pt>
                <c:pt idx="29">
                  <c:v>0.55118919057754001</c:v>
                </c:pt>
                <c:pt idx="30">
                  <c:v>0.56061191058138804</c:v>
                </c:pt>
                <c:pt idx="31">
                  <c:v>0.56987885095159019</c:v>
                </c:pt>
                <c:pt idx="32">
                  <c:v>0.57899749156459668</c:v>
                </c:pt>
                <c:pt idx="33">
                  <c:v>0.58797473220733365</c:v>
                </c:pt>
                <c:pt idx="34">
                  <c:v>0.59681695367212573</c:v>
                </c:pt>
                <c:pt idx="35">
                  <c:v>0.60553007081949828</c:v>
                </c:pt>
                <c:pt idx="36">
                  <c:v>0.61411957886299073</c:v>
                </c:pt>
                <c:pt idx="37">
                  <c:v>0.62259059390505378</c:v>
                </c:pt>
                <c:pt idx="38">
                  <c:v>0.63094788857340511</c:v>
                </c:pt>
                <c:pt idx="39">
                  <c:v>0.6391959234627741</c:v>
                </c:pt>
                <c:pt idx="40">
                  <c:v>0.64733887497014964</c:v>
                </c:pt>
                <c:pt idx="41">
                  <c:v>0.65538066001661166</c:v>
                </c:pt>
                <c:pt idx="42">
                  <c:v>0.66332495807107994</c:v>
                </c:pt>
                <c:pt idx="43">
                  <c:v>0.67117523082738273</c:v>
                </c:pt>
                <c:pt idx="44">
                  <c:v>0.6789347398332044</c:v>
                </c:pt>
                <c:pt idx="45">
                  <c:v>0.68660656232559514</c:v>
                </c:pt>
                <c:pt idx="46">
                  <c:v>0.69419360549112086</c:v>
                </c:pt>
                <c:pt idx="47">
                  <c:v>0.7016986193380691</c:v>
                </c:pt>
                <c:pt idx="48">
                  <c:v>0.70912420834233458</c:v>
                </c:pt>
                <c:pt idx="49">
                  <c:v>0.7164728420068226</c:v>
                </c:pt>
                <c:pt idx="50">
                  <c:v>0.72374686445574588</c:v>
                </c:pt>
                <c:pt idx="51">
                  <c:v>0.73094850316948756</c:v>
                </c:pt>
                <c:pt idx="52">
                  <c:v>0.73807987695228816</c:v>
                </c:pt>
                <c:pt idx="53">
                  <c:v>0.74514300321354099</c:v>
                </c:pt>
                <c:pt idx="54">
                  <c:v>0.75213980463361052</c:v>
                </c:pt>
                <c:pt idx="55">
                  <c:v>0.75907211527658969</c:v>
                </c:pt>
                <c:pt idx="56">
                  <c:v>0.76594168620507053</c:v>
                </c:pt>
                <c:pt idx="57">
                  <c:v>0.77275019064562978</c:v>
                </c:pt>
                <c:pt idx="58">
                  <c:v>0.77949922874820565</c:v>
                </c:pt>
                <c:pt idx="59">
                  <c:v>0.78619033197772037</c:v>
                </c:pt>
                <c:pt idx="60">
                  <c:v>0.79282496717209183</c:v>
                </c:pt>
                <c:pt idx="61">
                  <c:v>0.79940454029710084</c:v>
                </c:pt>
                <c:pt idx="62">
                  <c:v>0.80593039992533444</c:v>
                </c:pt>
                <c:pt idx="63">
                  <c:v>0.81240384046359604</c:v>
                </c:pt>
                <c:pt idx="64">
                  <c:v>0.81882610515065435</c:v>
                </c:pt>
                <c:pt idx="65">
                  <c:v>0.8251983888449983</c:v>
                </c:pt>
                <c:pt idx="66">
                  <c:v>0.83152184062029988</c:v>
                </c:pt>
                <c:pt idx="67">
                  <c:v>0.83779756618455392</c:v>
                </c:pt>
                <c:pt idx="68">
                  <c:v>0.84402663013731527</c:v>
                </c:pt>
                <c:pt idx="69">
                  <c:v>0.85021005807808625</c:v>
                </c:pt>
                <c:pt idx="70">
                  <c:v>0.85634883857767519</c:v>
                </c:pt>
                <c:pt idx="71">
                  <c:v>0.8624439250232584</c:v>
                </c:pt>
                <c:pt idx="72">
                  <c:v>0.86849623734689507</c:v>
                </c:pt>
                <c:pt idx="73">
                  <c:v>0.87450666364636964</c:v>
                </c:pt>
                <c:pt idx="74">
                  <c:v>0.8804760617064471</c:v>
                </c:pt>
                <c:pt idx="75">
                  <c:v>0.88640526042791834</c:v>
                </c:pt>
                <c:pt idx="76">
                  <c:v>0.89229506117117785</c:v>
                </c:pt>
                <c:pt idx="77">
                  <c:v>0.89814623902049873</c:v>
                </c:pt>
                <c:pt idx="78">
                  <c:v>0.90395954397464995</c:v>
                </c:pt>
                <c:pt idx="79">
                  <c:v>0.9097357020690392</c:v>
                </c:pt>
                <c:pt idx="80">
                  <c:v>0.91547541643412689</c:v>
                </c:pt>
                <c:pt idx="81">
                  <c:v>0.9211793682944861</c:v>
                </c:pt>
                <c:pt idx="82">
                  <c:v>0.9268482179125227</c:v>
                </c:pt>
                <c:pt idx="83">
                  <c:v>0.93248260548055772</c:v>
                </c:pt>
                <c:pt idx="84">
                  <c:v>0.93808315196468595</c:v>
                </c:pt>
                <c:pt idx="85">
                  <c:v>0.94365045990355478</c:v>
                </c:pt>
                <c:pt idx="86">
                  <c:v>0.94918511416497731</c:v>
                </c:pt>
                <c:pt idx="87">
                  <c:v>0.95468768266306414</c:v>
                </c:pt>
                <c:pt idx="88">
                  <c:v>0.96015871703836653</c:v>
                </c:pt>
                <c:pt idx="89">
                  <c:v>0.96559875330333378</c:v>
                </c:pt>
                <c:pt idx="90">
                  <c:v>0.97100831245522445</c:v>
                </c:pt>
                <c:pt idx="91">
                  <c:v>0.97638790105845408</c:v>
                </c:pt>
                <c:pt idx="92">
                  <c:v>0.98173801179822096</c:v>
                </c:pt>
                <c:pt idx="93">
                  <c:v>0.9870591240071257</c:v>
                </c:pt>
                <c:pt idx="94">
                  <c:v>0.99235170416637297</c:v>
                </c:pt>
                <c:pt idx="95">
                  <c:v>0.99761620638304349</c:v>
                </c:pt>
                <c:pt idx="96">
                  <c:v>1.002853072844814</c:v>
                </c:pt>
                <c:pt idx="97">
                  <c:v>1.0080627342534174</c:v>
                </c:pt>
                <c:pt idx="98">
                  <c:v>1.0132456102380443</c:v>
                </c:pt>
                <c:pt idx="99">
                  <c:v>1.0184021097498066</c:v>
                </c:pt>
                <c:pt idx="100">
                  <c:v>1.023532631438318</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0.15</c:v>
                </c:pt>
                <c:pt idx="1">
                  <c:v>0.15</c:v>
                </c:pt>
                <c:pt idx="2">
                  <c:v>0.15</c:v>
                </c:pt>
                <c:pt idx="3">
                  <c:v>0.17728105208558365</c:v>
                </c:pt>
                <c:pt idx="4">
                  <c:v>0.20470652628766359</c:v>
                </c:pt>
                <c:pt idx="5">
                  <c:v>0.22886885410853172</c:v>
                </c:pt>
                <c:pt idx="6">
                  <c:v>0.25071326821120349</c:v>
                </c:pt>
                <c:pt idx="7">
                  <c:v>0.27080128015453203</c:v>
                </c:pt>
                <c:pt idx="8">
                  <c:v>0.28949874578229834</c:v>
                </c:pt>
                <c:pt idx="9">
                  <c:v>0.30705978943149537</c:v>
                </c:pt>
                <c:pt idx="10">
                  <c:v>0.32366943748507482</c:v>
                </c:pt>
                <c:pt idx="11">
                  <c:v>0.3394673699166022</c:v>
                </c:pt>
                <c:pt idx="12">
                  <c:v>0.35456210417116729</c:v>
                </c:pt>
                <c:pt idx="13">
                  <c:v>0.36903993847614408</c:v>
                </c:pt>
                <c:pt idx="14">
                  <c:v>0.38297084310253526</c:v>
                </c:pt>
                <c:pt idx="15">
                  <c:v>0.39641248358604592</c:v>
                </c:pt>
                <c:pt idx="16">
                  <c:v>0.40941305257532717</c:v>
                </c:pt>
                <c:pt idx="17">
                  <c:v>0.42201331506865764</c:v>
                </c:pt>
                <c:pt idx="18">
                  <c:v>0.43424811867344754</c:v>
                </c:pt>
                <c:pt idx="19">
                  <c:v>0.44614753058558893</c:v>
                </c:pt>
                <c:pt idx="20">
                  <c:v>0.45773770821706344</c:v>
                </c:pt>
                <c:pt idx="21">
                  <c:v>0.46904157598234297</c:v>
                </c:pt>
                <c:pt idx="22">
                  <c:v>0.48007935851918326</c:v>
                </c:pt>
                <c:pt idx="23">
                  <c:v>0.49086900589911048</c:v>
                </c:pt>
                <c:pt idx="24">
                  <c:v>0.50142653642240698</c:v>
                </c:pt>
                <c:pt idx="25">
                  <c:v>0.51176631571915898</c:v>
                </c:pt>
                <c:pt idx="26">
                  <c:v>0.52190128605029551</c:v>
                </c:pt>
                <c:pt idx="27">
                  <c:v>0.53184315625675105</c:v>
                </c:pt>
                <c:pt idx="28">
                  <c:v>0.54160256030906406</c:v>
                </c:pt>
                <c:pt idx="29">
                  <c:v>0.55118919057754001</c:v>
                </c:pt>
                <c:pt idx="30">
                  <c:v>0.56061191058138804</c:v>
                </c:pt>
                <c:pt idx="31">
                  <c:v>0.56987885095159019</c:v>
                </c:pt>
                <c:pt idx="32">
                  <c:v>0.57899749156459668</c:v>
                </c:pt>
                <c:pt idx="33">
                  <c:v>0.58797473220733365</c:v>
                </c:pt>
                <c:pt idx="34">
                  <c:v>0.59681695367212573</c:v>
                </c:pt>
                <c:pt idx="35">
                  <c:v>0.60553007081949828</c:v>
                </c:pt>
                <c:pt idx="36">
                  <c:v>0.61411957886299073</c:v>
                </c:pt>
                <c:pt idx="37">
                  <c:v>0.62259059390505378</c:v>
                </c:pt>
                <c:pt idx="38">
                  <c:v>0.63094788857340511</c:v>
                </c:pt>
                <c:pt idx="39">
                  <c:v>0.6391959234627741</c:v>
                </c:pt>
                <c:pt idx="40">
                  <c:v>0.64733887497014964</c:v>
                </c:pt>
                <c:pt idx="41">
                  <c:v>0.65538066001661166</c:v>
                </c:pt>
                <c:pt idx="42">
                  <c:v>0.66332495807107994</c:v>
                </c:pt>
                <c:pt idx="43">
                  <c:v>0.67117523082738273</c:v>
                </c:pt>
                <c:pt idx="44">
                  <c:v>0.6789347398332044</c:v>
                </c:pt>
                <c:pt idx="45">
                  <c:v>0.68660656232559514</c:v>
                </c:pt>
                <c:pt idx="46">
                  <c:v>0.69419360549112086</c:v>
                </c:pt>
                <c:pt idx="47">
                  <c:v>0.7016986193380691</c:v>
                </c:pt>
                <c:pt idx="48">
                  <c:v>0.70912420834233458</c:v>
                </c:pt>
                <c:pt idx="49">
                  <c:v>0.7164728420068226</c:v>
                </c:pt>
                <c:pt idx="50">
                  <c:v>0.72374686445574588</c:v>
                </c:pt>
                <c:pt idx="51">
                  <c:v>0.73094850316948756</c:v>
                </c:pt>
                <c:pt idx="52">
                  <c:v>0.73807987695228816</c:v>
                </c:pt>
                <c:pt idx="53">
                  <c:v>0.74514300321354099</c:v>
                </c:pt>
                <c:pt idx="54">
                  <c:v>0.75213980463361052</c:v>
                </c:pt>
                <c:pt idx="55">
                  <c:v>0.75907211527658969</c:v>
                </c:pt>
                <c:pt idx="56">
                  <c:v>0.76594168620507053</c:v>
                </c:pt>
                <c:pt idx="57">
                  <c:v>0.77275019064562978</c:v>
                </c:pt>
                <c:pt idx="58">
                  <c:v>0.77949922874820565</c:v>
                </c:pt>
                <c:pt idx="59">
                  <c:v>0.78619033197772037</c:v>
                </c:pt>
                <c:pt idx="60">
                  <c:v>0.79282496717209183</c:v>
                </c:pt>
                <c:pt idx="61">
                  <c:v>0.79940454029710084</c:v>
                </c:pt>
                <c:pt idx="62">
                  <c:v>0.80593039992533444</c:v>
                </c:pt>
                <c:pt idx="63">
                  <c:v>0.81240384046359604</c:v>
                </c:pt>
                <c:pt idx="64">
                  <c:v>0.81882610515065435</c:v>
                </c:pt>
                <c:pt idx="65">
                  <c:v>0.8251983888449983</c:v>
                </c:pt>
                <c:pt idx="66">
                  <c:v>0.83152184062029988</c:v>
                </c:pt>
                <c:pt idx="67">
                  <c:v>0.83779756618455392</c:v>
                </c:pt>
                <c:pt idx="68">
                  <c:v>0.84402663013731527</c:v>
                </c:pt>
                <c:pt idx="69">
                  <c:v>0.85021005807808625</c:v>
                </c:pt>
                <c:pt idx="70">
                  <c:v>0.85634883857767519</c:v>
                </c:pt>
                <c:pt idx="71">
                  <c:v>0.8624439250232584</c:v>
                </c:pt>
                <c:pt idx="72">
                  <c:v>0.86849623734689507</c:v>
                </c:pt>
                <c:pt idx="73">
                  <c:v>0.87450666364636964</c:v>
                </c:pt>
                <c:pt idx="74">
                  <c:v>0.8804760617064471</c:v>
                </c:pt>
                <c:pt idx="75">
                  <c:v>0.88640526042791834</c:v>
                </c:pt>
                <c:pt idx="76">
                  <c:v>0.89229506117117785</c:v>
                </c:pt>
                <c:pt idx="77">
                  <c:v>0.89814623902049873</c:v>
                </c:pt>
                <c:pt idx="78">
                  <c:v>0.90395954397464995</c:v>
                </c:pt>
                <c:pt idx="79">
                  <c:v>0.9097357020690392</c:v>
                </c:pt>
                <c:pt idx="80">
                  <c:v>0.91547541643412689</c:v>
                </c:pt>
                <c:pt idx="81">
                  <c:v>0.9211793682944861</c:v>
                </c:pt>
                <c:pt idx="82">
                  <c:v>0.9268482179125227</c:v>
                </c:pt>
                <c:pt idx="83">
                  <c:v>0.93248260548055772</c:v>
                </c:pt>
                <c:pt idx="84">
                  <c:v>0.93808315196468595</c:v>
                </c:pt>
                <c:pt idx="85">
                  <c:v>0.94365045990355478</c:v>
                </c:pt>
                <c:pt idx="86">
                  <c:v>0.94918511416497731</c:v>
                </c:pt>
                <c:pt idx="87">
                  <c:v>0.95468768266306414</c:v>
                </c:pt>
                <c:pt idx="88">
                  <c:v>0.96015871703836653</c:v>
                </c:pt>
                <c:pt idx="89">
                  <c:v>0.96559875330333378</c:v>
                </c:pt>
                <c:pt idx="90">
                  <c:v>0.97100831245522445</c:v>
                </c:pt>
                <c:pt idx="91">
                  <c:v>0.97638790105845408</c:v>
                </c:pt>
                <c:pt idx="92">
                  <c:v>0.98173801179822096</c:v>
                </c:pt>
                <c:pt idx="93">
                  <c:v>0.9870591240071257</c:v>
                </c:pt>
                <c:pt idx="94">
                  <c:v>0.99235170416637297</c:v>
                </c:pt>
                <c:pt idx="95">
                  <c:v>0.99761620638304349</c:v>
                </c:pt>
                <c:pt idx="96">
                  <c:v>1.002853072844814</c:v>
                </c:pt>
                <c:pt idx="97">
                  <c:v>1.0080627342534174</c:v>
                </c:pt>
                <c:pt idx="98">
                  <c:v>1.0132456102380443</c:v>
                </c:pt>
                <c:pt idx="99">
                  <c:v>1.0184021097498066</c:v>
                </c:pt>
                <c:pt idx="100">
                  <c:v>1.023532631438318</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de-DE"/>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de-DE"/>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24"/>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8"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2" val="0"/>
</file>

<file path=xl/ctrlProps/ctrlProp8.xml><?xml version="1.0" encoding="utf-8"?>
<formControlPr xmlns="http://schemas.microsoft.com/office/spreadsheetml/2009/9/main" objectType="Drop" dropLines="5" dropStyle="combo" dx="22" fmlaLink="'Variable Mgmt'!$Q$15" fmlaRange="'Variable Mgmt'!$P$10:$P$14" noThreeD="1" sel="2"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144780</xdr:colOff>
          <xdr:row>0</xdr:row>
          <xdr:rowOff>381000</xdr:rowOff>
        </xdr:from>
        <xdr:to>
          <xdr:col>24</xdr:col>
          <xdr:colOff>525780</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94"/>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95"/>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129540</xdr:colOff>
          <xdr:row>6</xdr:row>
          <xdr:rowOff>15240</xdr:rowOff>
        </xdr:from>
        <xdr:to>
          <xdr:col>5</xdr:col>
          <xdr:colOff>304800</xdr:colOff>
          <xdr:row>7</xdr:row>
          <xdr:rowOff>30480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20V...28V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28</xdr:row>
          <xdr:rowOff>0</xdr:rowOff>
        </xdr:from>
        <xdr:to>
          <xdr:col>5</xdr:col>
          <xdr:colOff>281940</xdr:colOff>
          <xdr:row>29</xdr:row>
          <xdr:rowOff>30480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0,00866kΩ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34</xdr:row>
          <xdr:rowOff>0</xdr:rowOff>
        </xdr:from>
        <xdr:to>
          <xdr:col>5</xdr:col>
          <xdr:colOff>259080</xdr:colOff>
          <xdr:row>35</xdr:row>
          <xdr:rowOff>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15240</xdr:colOff>
          <xdr:row>11</xdr:row>
          <xdr:rowOff>0</xdr:rowOff>
        </xdr:from>
        <xdr:to>
          <xdr:col>12</xdr:col>
          <xdr:colOff>68580</xdr:colOff>
          <xdr:row>12</xdr:row>
          <xdr:rowOff>15240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15240</xdr:rowOff>
        </xdr:from>
        <xdr:to>
          <xdr:col>5</xdr:col>
          <xdr:colOff>266700</xdr:colOff>
          <xdr:row>32</xdr:row>
          <xdr:rowOff>15240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0,54</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0%</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8V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0,5A</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47µF</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96"/>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4</xdr:row>
          <xdr:rowOff>15240</xdr:rowOff>
        </xdr:from>
        <xdr:to>
          <xdr:col>5</xdr:col>
          <xdr:colOff>403860</xdr:colOff>
          <xdr:row>5</xdr:row>
          <xdr:rowOff>0</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LM5181</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890935,5V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0%</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0%</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0%</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9522"/>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90545"/>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909000" y="65171955"/>
          <a:ext cx="0" cy="433768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15240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15240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15240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15240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15240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15240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15240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15240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15240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15240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15240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15240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15240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90"/>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280kΩ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25,5kΩ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20V...28V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0,00866kΩ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0,54</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8V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0,5A</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47µF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899160</xdr:colOff>
          <xdr:row>32</xdr:row>
          <xdr:rowOff>15240</xdr:rowOff>
        </xdr:from>
        <xdr:to>
          <xdr:col>6</xdr:col>
          <xdr:colOff>868680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15240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LM5181</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129540</xdr:rowOff>
        </xdr:from>
        <xdr:to>
          <xdr:col>1</xdr:col>
          <xdr:colOff>396240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182880</xdr:colOff>
          <xdr:row>111</xdr:row>
          <xdr:rowOff>144780</xdr:rowOff>
        </xdr:from>
        <xdr:to>
          <xdr:col>36</xdr:col>
          <xdr:colOff>15240</xdr:colOff>
          <xdr:row>125</xdr:row>
          <xdr:rowOff>144780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0%</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I68"/>
  <sheetViews>
    <sheetView tabSelected="1" topLeftCell="A3" zoomScaleNormal="100" zoomScaleSheetLayoutView="70" workbookViewId="0">
      <selection activeCell="E23" sqref="E23"/>
    </sheetView>
  </sheetViews>
  <sheetFormatPr baseColWidth="10" defaultColWidth="9.21875" defaultRowHeight="13.8" x14ac:dyDescent="0.3"/>
  <cols>
    <col min="1" max="1" width="8.21875" style="108" customWidth="1"/>
    <col min="2" max="2" width="8.21875" style="47" customWidth="1"/>
    <col min="3" max="3" width="13.5546875" style="47" customWidth="1"/>
    <col min="4" max="4" width="9.77734375" style="47" customWidth="1"/>
    <col min="5" max="5" width="9.21875" style="47" customWidth="1"/>
    <col min="6" max="6" width="8.77734375" style="47" customWidth="1"/>
    <col min="7" max="7" width="2.77734375" style="47" customWidth="1"/>
    <col min="8" max="9" width="8.21875" style="47" customWidth="1"/>
    <col min="10" max="10" width="13.77734375" style="47" customWidth="1"/>
    <col min="11" max="11" width="10" style="47" customWidth="1"/>
    <col min="12" max="12" width="9.44140625" style="47" customWidth="1"/>
    <col min="13" max="13" width="8.77734375" style="47" customWidth="1"/>
    <col min="14" max="15" width="9.21875" style="47"/>
    <col min="16" max="18" width="10.21875" style="47" customWidth="1"/>
    <col min="19" max="19" width="10" style="47" bestFit="1" customWidth="1"/>
    <col min="20" max="25" width="9.21875" style="47"/>
    <col min="26" max="26" width="29" style="47" customWidth="1"/>
    <col min="27" max="27" width="3.21875" style="47" customWidth="1"/>
    <col min="28" max="16384" width="9.21875" style="47"/>
  </cols>
  <sheetData>
    <row r="1" spans="1:27" ht="47.25" customHeight="1" x14ac:dyDescent="0.3">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 customHeight="1" x14ac:dyDescent="0.55000000000000004">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6.05" customHeight="1" x14ac:dyDescent="0.55000000000000004">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 customHeight="1" thickBot="1" x14ac:dyDescent="0.4">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4">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3">
      <c r="A6" s="142"/>
      <c r="B6" s="143"/>
      <c r="C6" s="144"/>
      <c r="D6" s="145" t="s">
        <v>370</v>
      </c>
      <c r="E6" s="146">
        <v>20</v>
      </c>
      <c r="F6" s="431" t="s">
        <v>0</v>
      </c>
      <c r="G6" s="91"/>
      <c r="H6" s="462"/>
      <c r="I6" s="514"/>
      <c r="J6" s="210"/>
      <c r="K6" s="515" t="s">
        <v>675</v>
      </c>
      <c r="L6" s="746">
        <f>Lmin</f>
        <v>1738466.4500000002</v>
      </c>
      <c r="M6" s="640" t="s">
        <v>96</v>
      </c>
      <c r="N6" s="50"/>
      <c r="O6" s="50"/>
      <c r="P6" s="50"/>
      <c r="Q6" s="50"/>
      <c r="R6" s="83"/>
      <c r="S6" s="83"/>
      <c r="T6" s="76"/>
      <c r="U6" s="76"/>
      <c r="V6" s="76"/>
      <c r="W6" s="76"/>
      <c r="X6" s="76"/>
      <c r="Y6" s="76"/>
      <c r="Z6" s="511"/>
      <c r="AA6" s="506"/>
    </row>
    <row r="7" spans="1:27" ht="14.25" customHeight="1" x14ac:dyDescent="0.35">
      <c r="A7" s="136"/>
      <c r="B7" s="135"/>
      <c r="C7" s="137"/>
      <c r="D7" s="147" t="s">
        <v>371</v>
      </c>
      <c r="E7" s="148">
        <v>24</v>
      </c>
      <c r="F7" s="432" t="s">
        <v>0</v>
      </c>
      <c r="G7" s="91"/>
      <c r="H7" s="89"/>
      <c r="I7" s="90"/>
      <c r="J7" s="88"/>
      <c r="K7" s="101" t="s">
        <v>368</v>
      </c>
      <c r="L7" s="148">
        <v>30</v>
      </c>
      <c r="M7" s="432" t="s">
        <v>96</v>
      </c>
      <c r="N7" s="50"/>
      <c r="O7" s="50"/>
      <c r="P7" s="50"/>
      <c r="Q7" s="50"/>
      <c r="R7" s="83"/>
      <c r="S7" s="83"/>
      <c r="T7" s="76"/>
      <c r="U7" s="76"/>
      <c r="V7" s="76"/>
      <c r="W7" s="76"/>
      <c r="X7" s="76"/>
      <c r="Y7" s="76"/>
      <c r="Z7" s="511"/>
      <c r="AA7" s="506"/>
    </row>
    <row r="8" spans="1:27" ht="15.75" customHeight="1" x14ac:dyDescent="0.3">
      <c r="A8" s="136"/>
      <c r="B8" s="135"/>
      <c r="C8" s="137"/>
      <c r="D8" s="147" t="s">
        <v>372</v>
      </c>
      <c r="E8" s="148">
        <v>28</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3">
      <c r="A9" s="136"/>
      <c r="B9" s="135"/>
      <c r="C9" s="137"/>
      <c r="D9" s="147" t="s">
        <v>369</v>
      </c>
      <c r="E9" s="592"/>
      <c r="F9" s="149"/>
      <c r="G9" s="91"/>
      <c r="H9" s="89"/>
      <c r="I9" s="90"/>
      <c r="J9" s="88"/>
      <c r="K9" s="101" t="str">
        <f>CHOOSE(MODE, "Secondary Winding DCR", "Secondary Winding #1 DCR")</f>
        <v>Secondary Winding #1 DCR</v>
      </c>
      <c r="L9" s="148">
        <v>30</v>
      </c>
      <c r="M9" s="432" t="s">
        <v>20</v>
      </c>
      <c r="N9" s="50"/>
      <c r="O9" s="50"/>
      <c r="P9" s="50"/>
      <c r="Q9" s="50"/>
      <c r="R9" s="83"/>
      <c r="S9" s="83"/>
      <c r="T9" s="76"/>
      <c r="U9" s="76"/>
      <c r="V9" s="76"/>
      <c r="W9" s="76"/>
      <c r="X9" s="76"/>
      <c r="Y9" s="76"/>
      <c r="Z9" s="511"/>
      <c r="AA9" s="506"/>
    </row>
    <row r="10" spans="1:27" ht="15.75" customHeight="1" x14ac:dyDescent="0.3">
      <c r="A10" s="136"/>
      <c r="B10" s="135"/>
      <c r="C10" s="137"/>
      <c r="D10" s="147" t="str">
        <f>CHOOSE(MODE, "Output Voltage, VOUT ", "Output Voltage, VOUT1")</f>
        <v>Output Voltage, VOUT1</v>
      </c>
      <c r="E10" s="148">
        <v>15</v>
      </c>
      <c r="F10" s="432" t="s">
        <v>0</v>
      </c>
      <c r="G10" s="91"/>
      <c r="H10" s="89"/>
      <c r="I10" s="90"/>
      <c r="J10" s="88"/>
      <c r="K10" s="101" t="str">
        <f>CHOOSE(MODE, "", "Secondary Winding #2 DCR")</f>
        <v>Secondary Winding #2 DCR</v>
      </c>
      <c r="L10" s="148">
        <v>50</v>
      </c>
      <c r="M10" s="432" t="str">
        <f>CHOOSE(MODE, "", "mΩ")</f>
        <v>mΩ</v>
      </c>
      <c r="N10" s="50"/>
      <c r="O10" s="50"/>
      <c r="P10" s="50"/>
      <c r="Q10" s="50"/>
      <c r="R10" s="83"/>
      <c r="S10" s="83"/>
      <c r="T10" s="76"/>
      <c r="U10" s="76"/>
      <c r="V10" s="76"/>
      <c r="W10" s="76"/>
      <c r="X10" s="76"/>
      <c r="Y10" s="76"/>
      <c r="Z10" s="511"/>
      <c r="AA10" s="506"/>
    </row>
    <row r="11" spans="1:27" ht="15.75" customHeight="1" thickBot="1" x14ac:dyDescent="0.35">
      <c r="A11" s="139"/>
      <c r="B11" s="156"/>
      <c r="C11" s="512"/>
      <c r="D11" s="518" t="str">
        <f>CHOOSE(MODE, "Rated Output Current, IOUT ", "Rated Output Current, IOUT1")</f>
        <v>Rated Output Current, IOUT1</v>
      </c>
      <c r="E11" s="519">
        <v>0.1</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3">
      <c r="A12" s="76"/>
      <c r="B12" s="76"/>
      <c r="C12" s="76"/>
      <c r="D12" s="147" t="str">
        <f>CHOOSE(MODE, "", "Output Voltage, VOUT2")</f>
        <v>Output Voltage, VOUT2</v>
      </c>
      <c r="E12" s="148">
        <v>8</v>
      </c>
      <c r="F12" s="432" t="str">
        <f>CHOOSE(MODE, "", "V", "V")</f>
        <v>V</v>
      </c>
      <c r="G12" s="91"/>
      <c r="H12" s="89"/>
      <c r="I12" s="90"/>
      <c r="J12" s="88"/>
      <c r="K12" s="87" t="str">
        <f>IF(MODE=1, "Transformer Turns Ratio, Pri : Sec", "Turns Ratio, PRI : SEC1")</f>
        <v>Turns Ratio, PRI : SEC1</v>
      </c>
      <c r="L12" s="440"/>
      <c r="M12" s="461"/>
      <c r="N12" s="50"/>
      <c r="O12" s="50"/>
      <c r="P12" s="50"/>
      <c r="Q12" s="50"/>
      <c r="R12" s="83"/>
      <c r="S12" s="83"/>
      <c r="T12" s="76"/>
      <c r="U12" s="76"/>
      <c r="V12" s="76"/>
      <c r="W12" s="76"/>
      <c r="X12" s="76"/>
      <c r="Y12" s="76"/>
      <c r="Z12" s="511"/>
      <c r="AA12" s="506"/>
    </row>
    <row r="13" spans="1:27" ht="15.75" customHeight="1" thickBot="1" x14ac:dyDescent="0.35">
      <c r="A13" s="139"/>
      <c r="B13" s="156"/>
      <c r="C13" s="512"/>
      <c r="D13" s="518" t="str">
        <f>CHOOSE(MODE, "", "Rated Output Current, IOUT2")</f>
        <v>Rated Output Current, IOUT2</v>
      </c>
      <c r="E13" s="519">
        <v>0.5</v>
      </c>
      <c r="F13" s="432" t="str">
        <f>CHOOSE(MODE, "", "A", "A")</f>
        <v>A</v>
      </c>
      <c r="G13" s="91"/>
      <c r="H13" s="136"/>
      <c r="I13" s="135"/>
      <c r="J13" s="137"/>
      <c r="K13" s="88" t="str">
        <f>CHOOSE(MODE, "SW Voltage at VIN(max) - Spike Not Included", "Turns Ratio, SEC2 : SEC1")</f>
        <v>Turns Ratio, SEC2 : SEC1</v>
      </c>
      <c r="L13" s="639">
        <f>CHOOSE(MODE, ROUND('Variable Mgmt'!B50,0), ROUND(Nsec1sec2,2))</f>
        <v>0.54</v>
      </c>
      <c r="M13" s="461" t="str">
        <f>CHOOSE(MODE, "V", "")</f>
        <v/>
      </c>
      <c r="N13" s="50"/>
      <c r="O13" s="50"/>
      <c r="P13" s="50"/>
      <c r="Q13" s="50"/>
      <c r="R13" s="83"/>
      <c r="S13" s="83"/>
      <c r="T13" s="76"/>
      <c r="U13" s="76"/>
      <c r="V13" s="76"/>
      <c r="W13" s="76"/>
      <c r="X13" s="76"/>
      <c r="Y13" s="76"/>
      <c r="Z13" s="511"/>
      <c r="AA13" s="506"/>
    </row>
    <row r="14" spans="1:27" ht="15.75" customHeight="1" x14ac:dyDescent="0.3">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3">
      <c r="A15" s="429"/>
      <c r="B15" s="76"/>
      <c r="C15" s="76"/>
      <c r="D15" s="76"/>
      <c r="E15" s="76"/>
      <c r="F15" s="788"/>
      <c r="G15" s="92"/>
      <c r="H15" s="136"/>
      <c r="I15" s="135"/>
      <c r="J15" s="611"/>
      <c r="K15" s="88" t="str">
        <f>CHOOSE(MODE, "Max Output Current at VIN(min)", "Max Output Power at VIN(min)")</f>
        <v>Max Output Power at VIN(min)</v>
      </c>
      <c r="L15" s="754">
        <f>CHOOSE(MODE, 'Variable Mgmt'!B46, 'Variable Mgmt'!B45)</f>
        <v>6.7498058689637359</v>
      </c>
      <c r="M15" s="642" t="str">
        <f>CHOOSE(MODE, "A", "W")</f>
        <v>W</v>
      </c>
      <c r="N15" s="50"/>
      <c r="O15" s="50"/>
      <c r="P15" s="50"/>
      <c r="Q15" s="50"/>
      <c r="R15" s="83"/>
      <c r="S15" s="83"/>
      <c r="T15" s="76"/>
      <c r="U15" s="76"/>
      <c r="V15" s="76"/>
      <c r="W15" s="76"/>
      <c r="X15" s="76"/>
      <c r="Y15" s="76"/>
      <c r="Z15" s="511"/>
      <c r="AA15" s="506"/>
    </row>
    <row r="16" spans="1:27" ht="16.5" customHeight="1" thickBot="1" x14ac:dyDescent="0.4">
      <c r="A16" s="107" t="s">
        <v>297</v>
      </c>
      <c r="B16" s="93"/>
      <c r="C16" s="94"/>
      <c r="D16" s="94"/>
      <c r="E16" s="95"/>
      <c r="F16" s="94"/>
      <c r="G16" s="91"/>
      <c r="H16" s="742"/>
      <c r="I16" s="50"/>
      <c r="J16" s="50"/>
      <c r="K16" s="212" t="s">
        <v>673</v>
      </c>
      <c r="L16" s="755">
        <f>Don_Vinmin*100</f>
        <v>99.997139022206483</v>
      </c>
      <c r="M16" s="642" t="s">
        <v>674</v>
      </c>
      <c r="N16" s="50"/>
      <c r="O16" s="50"/>
      <c r="P16" s="50"/>
      <c r="Q16" s="50"/>
      <c r="R16" s="83"/>
      <c r="S16" s="83"/>
      <c r="T16" s="76"/>
      <c r="U16" s="76"/>
      <c r="V16" s="76"/>
      <c r="W16" s="76"/>
      <c r="X16" s="76"/>
      <c r="Y16" s="76"/>
      <c r="Z16" s="511"/>
      <c r="AA16" s="506"/>
    </row>
    <row r="17" spans="1:27" ht="15.75" customHeight="1" x14ac:dyDescent="0.3">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35">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3">
      <c r="A19" s="98"/>
      <c r="B19" s="90"/>
      <c r="C19" s="153"/>
      <c r="D19" s="147" t="s">
        <v>104</v>
      </c>
      <c r="E19" s="152">
        <v>3</v>
      </c>
      <c r="F19" s="435" t="s">
        <v>20</v>
      </c>
      <c r="G19" s="91"/>
      <c r="H19" s="90"/>
      <c r="I19" s="50"/>
      <c r="J19" s="50"/>
      <c r="K19" s="749" t="s">
        <v>809</v>
      </c>
      <c r="L19" s="751">
        <f>'Calculations - Single'!U105</f>
        <v>0.13889368238567068</v>
      </c>
      <c r="M19" s="90" t="s">
        <v>1</v>
      </c>
      <c r="N19" s="50"/>
      <c r="O19" s="50"/>
      <c r="P19" s="50"/>
      <c r="Q19" s="50"/>
      <c r="R19" s="83"/>
      <c r="S19" s="83"/>
      <c r="T19" s="76"/>
      <c r="U19" s="76"/>
      <c r="V19" s="76"/>
      <c r="W19" s="76"/>
      <c r="X19" s="76"/>
      <c r="Y19" s="76"/>
      <c r="Z19" s="511"/>
      <c r="AA19" s="506"/>
    </row>
    <row r="20" spans="1:27" ht="15.75" customHeight="1" thickBot="1" x14ac:dyDescent="0.4">
      <c r="A20" s="102"/>
      <c r="B20" s="103"/>
      <c r="C20" s="109"/>
      <c r="D20" s="212" t="s">
        <v>506</v>
      </c>
      <c r="E20" s="213">
        <f>Vinripple2</f>
        <v>40.937494783089249</v>
      </c>
      <c r="F20" s="106" t="s">
        <v>103</v>
      </c>
      <c r="G20" s="91"/>
      <c r="H20" s="90"/>
      <c r="I20" s="50"/>
      <c r="J20" s="50"/>
      <c r="K20" s="752" t="s">
        <v>810</v>
      </c>
      <c r="L20" s="753">
        <f>Nps*L19</f>
        <v>6345.9134545189081</v>
      </c>
      <c r="M20" s="105" t="s">
        <v>1</v>
      </c>
      <c r="N20" s="50"/>
      <c r="O20" s="50"/>
      <c r="P20" s="50"/>
      <c r="Q20" s="50"/>
      <c r="R20" s="83"/>
      <c r="S20" s="83"/>
      <c r="T20" s="76"/>
      <c r="U20" s="76"/>
      <c r="V20" s="76"/>
      <c r="W20" s="76"/>
      <c r="X20" s="76"/>
      <c r="Y20" s="76"/>
      <c r="Z20" s="511"/>
      <c r="AA20" s="506"/>
    </row>
    <row r="21" spans="1:27" ht="15.75" customHeight="1" thickBot="1" x14ac:dyDescent="0.35">
      <c r="A21" s="426"/>
      <c r="B21" s="427"/>
      <c r="C21" s="428"/>
      <c r="D21" s="428" t="str">
        <f>CHOOSE(MODE, "Minimum Output Capacitance", "Minimum Output Capacitance, Output #1")</f>
        <v>Minimum Output Capacitance, Output #1</v>
      </c>
      <c r="E21" s="748">
        <f>'Variable Mgmt'!B102</f>
        <v>4.7</v>
      </c>
      <c r="F21" s="433" t="s">
        <v>97</v>
      </c>
      <c r="G21" s="596"/>
      <c r="H21" s="586"/>
      <c r="I21" s="595"/>
      <c r="J21" s="507"/>
      <c r="K21" s="428" t="str">
        <f>CHOOSE(MODE, "", "Minimum Output Capacitance, Output #2")</f>
        <v>Minimum Output Capacitance, Output #2</v>
      </c>
      <c r="L21" s="638">
        <f>'Variable Mgmt'!B112</f>
        <v>4.7</v>
      </c>
      <c r="M21" s="433" t="s">
        <v>97</v>
      </c>
      <c r="N21" s="50"/>
      <c r="O21" s="50"/>
      <c r="P21" s="50"/>
      <c r="Q21" s="50"/>
      <c r="R21" s="83"/>
      <c r="S21" s="83"/>
      <c r="T21" s="76"/>
      <c r="U21" s="76"/>
      <c r="V21" s="76"/>
      <c r="W21" s="76"/>
      <c r="X21" s="76"/>
      <c r="Y21" s="76"/>
      <c r="Z21" s="511"/>
      <c r="AA21" s="506"/>
    </row>
    <row r="22" spans="1:27" ht="15.75" customHeight="1" x14ac:dyDescent="0.3">
      <c r="A22" s="89"/>
      <c r="B22" s="90"/>
      <c r="C22" s="137"/>
      <c r="D22" s="154" t="s">
        <v>140</v>
      </c>
      <c r="E22" s="148">
        <v>10</v>
      </c>
      <c r="F22" s="432" t="s">
        <v>97</v>
      </c>
      <c r="G22" s="597"/>
      <c r="H22" s="90"/>
      <c r="I22" s="50"/>
      <c r="J22" s="76"/>
      <c r="K22" s="154" t="s">
        <v>545</v>
      </c>
      <c r="L22" s="148">
        <v>47</v>
      </c>
      <c r="M22" s="432" t="s">
        <v>97</v>
      </c>
      <c r="N22" s="50"/>
      <c r="O22" s="50"/>
      <c r="P22" s="50"/>
      <c r="Q22" s="50"/>
      <c r="R22" s="83"/>
      <c r="S22" s="83"/>
      <c r="T22" s="76"/>
      <c r="U22" s="76"/>
      <c r="V22" s="76"/>
      <c r="W22" s="76"/>
      <c r="X22" s="76"/>
      <c r="Y22" s="76"/>
      <c r="Z22" s="511"/>
      <c r="AA22" s="506"/>
    </row>
    <row r="23" spans="1:27" ht="16.5" customHeight="1" thickBot="1" x14ac:dyDescent="0.3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4">
      <c r="A24" s="102"/>
      <c r="B24" s="105"/>
      <c r="C24" s="105"/>
      <c r="D24" s="212" t="str">
        <f>CHOOSE(MODE, "Resulting Output Voltage Ripple", "Resulting Output Voltage Ripple, Output #1")</f>
        <v>Resulting Output Voltage Ripple, Output #1</v>
      </c>
      <c r="E24" s="213">
        <f>Vripple1_actual</f>
        <v>1.9087249652130232</v>
      </c>
      <c r="F24" s="106" t="s">
        <v>103</v>
      </c>
      <c r="G24" s="596"/>
      <c r="H24" s="105"/>
      <c r="I24" s="509"/>
      <c r="J24" s="508"/>
      <c r="K24" s="212" t="str">
        <f>CHOOSE(MODE, "", "Resulting Output Voltage Ripple, Output #2")</f>
        <v>Resulting Output Voltage Ripple, Output #2</v>
      </c>
      <c r="L24" s="213">
        <f>Vripple2_actual</f>
        <v>5.6799321268362828</v>
      </c>
      <c r="M24" s="106" t="s">
        <v>103</v>
      </c>
      <c r="N24" s="50"/>
      <c r="O24" s="50"/>
      <c r="P24" s="50"/>
      <c r="Q24" s="50"/>
      <c r="R24" s="83"/>
      <c r="S24" s="83"/>
      <c r="T24" s="76"/>
      <c r="U24" s="76"/>
      <c r="V24" s="76"/>
      <c r="W24" s="76"/>
      <c r="X24" s="76"/>
      <c r="Y24" s="76"/>
      <c r="Z24" s="511"/>
      <c r="AA24" s="506"/>
    </row>
    <row r="25" spans="1:27" ht="13.5" customHeight="1" x14ac:dyDescent="0.3">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35">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3">
      <c r="A27" s="142"/>
      <c r="B27" s="143"/>
      <c r="C27" s="210"/>
      <c r="D27" s="210" t="s">
        <v>374</v>
      </c>
      <c r="E27" s="589">
        <f>Rfb_recommend</f>
        <v>6953865.8000000007</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35">
      <c r="A28" s="136"/>
      <c r="B28" s="135"/>
      <c r="C28" s="137"/>
      <c r="D28" s="154" t="s">
        <v>373</v>
      </c>
      <c r="E28" s="155">
        <v>196</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 customHeight="1" x14ac:dyDescent="0.3">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3">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4">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3">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3">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35">
      <c r="A34" s="139"/>
      <c r="B34" s="156"/>
      <c r="C34" s="156"/>
      <c r="D34" s="512" t="s">
        <v>388</v>
      </c>
      <c r="E34" s="532">
        <f>RTC</f>
        <v>8.6599999999999993E-3</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3">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3">
      <c r="A36" s="136"/>
      <c r="B36" s="135"/>
      <c r="C36" s="153"/>
      <c r="D36" s="154" t="str">
        <f>CHOOSE(MODE_UVLO, "Input UVLO Turn-On Threshold", "*Connect EN pin to VIN or Logic HIGH")</f>
        <v>Input UVLO Turn-On Threshold</v>
      </c>
      <c r="E36" s="155">
        <v>18</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35">
      <c r="A37" s="139"/>
      <c r="B37" s="156"/>
      <c r="C37" s="156"/>
      <c r="D37" s="437" t="str">
        <f>CHOOSE(MODE_UVLO, "Input UVLO Turn-Off Threshold", "")</f>
        <v>Input UVLO Turn-Off Threshold</v>
      </c>
      <c r="E37" s="438">
        <v>16</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3">
      <c r="A38" s="462"/>
      <c r="B38" s="135"/>
      <c r="C38" s="153"/>
      <c r="D38" s="137" t="s">
        <v>378</v>
      </c>
      <c r="E38" s="580">
        <f>'Variable Mgmt'!F157</f>
        <v>280</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35">
      <c r="A39" s="139"/>
      <c r="B39" s="156"/>
      <c r="C39" s="156"/>
      <c r="D39" s="512" t="s">
        <v>293</v>
      </c>
      <c r="E39" s="513">
        <f>'Variable Mgmt'!F158</f>
        <v>25.5</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3">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3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35">
      <c r="A42" s="576"/>
      <c r="B42" s="507"/>
      <c r="C42" s="507"/>
      <c r="D42" s="577" t="s">
        <v>655</v>
      </c>
      <c r="E42" s="581">
        <v>0.22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35">
      <c r="A43" s="429"/>
      <c r="B43" s="76"/>
      <c r="C43" s="76"/>
      <c r="D43" s="636" t="s">
        <v>656</v>
      </c>
      <c r="E43" s="99">
        <v>0.3</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3">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35">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35">
      <c r="A46" s="89"/>
      <c r="B46" s="90"/>
      <c r="C46" s="90"/>
      <c r="D46" s="88" t="s">
        <v>798</v>
      </c>
      <c r="E46" s="374">
        <f>CHOOSE(MODE, 'Calculations - Single'!BP105, 'Calculations - Dual'!BO105)</f>
        <v>8550514784.1688547</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4">
      <c r="A47" s="102"/>
      <c r="B47" s="103"/>
      <c r="C47" s="103"/>
      <c r="D47" s="377" t="s">
        <v>799</v>
      </c>
      <c r="E47" s="521">
        <f>E45+E46/1000*ThetaJA</f>
        <v>350571161.15092301</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3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3">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3">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3">
      <c r="A51" s="776"/>
      <c r="B51" s="777"/>
      <c r="C51" s="777"/>
      <c r="D51" s="789" t="str">
        <f>CHOOSE(MODE, "Recommended Csnb", "Recommended Csnb1")</f>
        <v>Recommended Csnb1</v>
      </c>
      <c r="E51" s="790">
        <v>22</v>
      </c>
      <c r="F51" s="779" t="s">
        <v>15</v>
      </c>
      <c r="G51" s="90"/>
      <c r="H51" s="776"/>
      <c r="I51" s="783"/>
      <c r="J51" s="783"/>
      <c r="K51" s="789" t="str">
        <f>CHOOSE(MODE, "", "Recommended Csnb2")</f>
        <v>Recommended Csnb2</v>
      </c>
      <c r="L51" s="790">
        <f>CHOOSE(MODE, "", 22)</f>
        <v>22</v>
      </c>
      <c r="M51" s="779" t="str">
        <f>CHOOSE(MODE, "", "pF")</f>
        <v>pF</v>
      </c>
      <c r="N51" s="50"/>
      <c r="O51" s="50"/>
      <c r="P51" s="50"/>
      <c r="Q51" s="50"/>
      <c r="R51" s="83"/>
      <c r="S51" s="83"/>
      <c r="T51" s="76"/>
      <c r="U51" s="76"/>
      <c r="V51" s="76"/>
      <c r="W51" s="76"/>
      <c r="X51" s="76"/>
      <c r="Y51" s="76"/>
      <c r="Z51" s="511"/>
      <c r="AA51" s="506"/>
    </row>
    <row r="52" spans="1:35" ht="15.75" customHeight="1" x14ac:dyDescent="0.3">
      <c r="A52" s="780"/>
      <c r="B52" s="90"/>
      <c r="C52" s="90"/>
      <c r="D52" s="88" t="s">
        <v>853</v>
      </c>
      <c r="E52" s="374">
        <f>(VIN_max/Npri_sec1+E10)*1.5</f>
        <v>22.50091925846484</v>
      </c>
      <c r="F52" s="781" t="s">
        <v>0</v>
      </c>
      <c r="G52" s="90"/>
      <c r="H52" s="780"/>
      <c r="I52" s="50"/>
      <c r="J52" s="50"/>
      <c r="K52" s="88" t="str">
        <f>CHOOSE(MODE, "", "Snubber Capacitor Voltage Rating &gt;")</f>
        <v>Snubber Capacitor Voltage Rating &gt;</v>
      </c>
      <c r="L52" s="374">
        <f>CHOOSE(MODE, "", (VIN_max/Npri_sec2+ABS(E12))*1.5)</f>
        <v>12.000496472048683</v>
      </c>
      <c r="M52" s="781" t="str">
        <f>CHOOSE(MODE, "", "V")</f>
        <v>V</v>
      </c>
      <c r="N52" s="50"/>
      <c r="O52" s="50"/>
      <c r="P52" s="50"/>
      <c r="Q52" s="50"/>
      <c r="R52" s="83"/>
      <c r="S52" s="83"/>
      <c r="T52" s="76"/>
      <c r="U52" s="76"/>
      <c r="V52" s="76"/>
      <c r="W52" s="76"/>
      <c r="X52" s="76"/>
      <c r="Y52" s="76"/>
      <c r="Z52" s="511"/>
      <c r="AA52" s="506"/>
    </row>
    <row r="53" spans="1:35" ht="15.75" customHeight="1" x14ac:dyDescent="0.3">
      <c r="A53" s="780"/>
      <c r="B53" s="90"/>
      <c r="C53" s="90"/>
      <c r="D53" s="88" t="str">
        <f>CHOOSE(MODE, "Recommended Rsnb", "Recommended Rsnb1")</f>
        <v>Recommended Rsnb1</v>
      </c>
      <c r="E53" s="374">
        <v>100</v>
      </c>
      <c r="F53" s="782" t="s">
        <v>136</v>
      </c>
      <c r="G53" s="90"/>
      <c r="H53" s="780"/>
      <c r="I53" s="50"/>
      <c r="J53" s="50"/>
      <c r="K53" s="88" t="str">
        <f>CHOOSE(MODE, "", "Recommended Rsnb2")</f>
        <v>Recommended Rsnb2</v>
      </c>
      <c r="L53" s="374">
        <f>CHOOSE(MODE, "", 100)</f>
        <v>100</v>
      </c>
      <c r="M53" s="782" t="str">
        <f>CHOOSE(MODE, "", "Ω")</f>
        <v>Ω</v>
      </c>
      <c r="N53" s="50"/>
      <c r="O53" s="50"/>
      <c r="P53" s="50"/>
      <c r="Q53" s="50"/>
      <c r="R53" s="83"/>
      <c r="S53" s="83"/>
      <c r="T53" s="76"/>
      <c r="U53" s="76"/>
      <c r="V53" s="76"/>
      <c r="W53" s="76"/>
      <c r="X53" s="76"/>
      <c r="Y53" s="76"/>
      <c r="Z53" s="511"/>
      <c r="AA53" s="506"/>
    </row>
    <row r="54" spans="1:35" ht="15.75" customHeight="1" x14ac:dyDescent="0.3">
      <c r="A54" s="772"/>
      <c r="B54" s="773"/>
      <c r="C54" s="773"/>
      <c r="D54" s="791" t="s">
        <v>854</v>
      </c>
      <c r="E54" s="792">
        <f>E52*E52*E51*0.000000000001*350000*4</f>
        <v>1.5593774118259381E-2</v>
      </c>
      <c r="F54" s="775" t="s">
        <v>45</v>
      </c>
      <c r="G54" s="90"/>
      <c r="H54" s="772"/>
      <c r="I54" s="786"/>
      <c r="J54" s="786"/>
      <c r="K54" s="791" t="str">
        <f>CHOOSE(MODE, "", "Snubber Resistor Power Dissipation Rating &gt;")</f>
        <v>Snubber Resistor Power Dissipation Rating &gt;</v>
      </c>
      <c r="L54" s="792">
        <f>CHOOSE(MODE, "", L52*L52*L51*0.000000000001*350000*4)</f>
        <v>4.4355669997301088E-3</v>
      </c>
      <c r="M54" s="775" t="str">
        <f>CHOOSE(MODE, "", "W")</f>
        <v>W</v>
      </c>
      <c r="N54" s="50"/>
      <c r="O54" s="50"/>
      <c r="P54" s="50"/>
      <c r="Q54" s="50"/>
      <c r="R54" s="83"/>
      <c r="S54" s="83"/>
      <c r="T54" s="76"/>
      <c r="U54" s="76"/>
      <c r="V54" s="76"/>
      <c r="W54" s="76"/>
      <c r="X54" s="76"/>
      <c r="Y54" s="76"/>
      <c r="Z54" s="511"/>
      <c r="AA54" s="506"/>
    </row>
    <row r="55" spans="1:35" ht="15.75" customHeight="1" x14ac:dyDescent="0.3">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3">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3">
      <c r="A57" s="776"/>
      <c r="B57" s="777"/>
      <c r="C57" s="777"/>
      <c r="D57" s="778" t="str">
        <f>CHOOSE(MODE, "Min Load Current, IOUTmin ", "Min Load Current, IOUT1min")</f>
        <v>Min Load Current, IOUT1min</v>
      </c>
      <c r="E57" s="795">
        <v>5.0000000000000001E-3</v>
      </c>
      <c r="F57" s="779" t="s">
        <v>1</v>
      </c>
      <c r="G57" s="90"/>
      <c r="H57" s="776"/>
      <c r="I57" s="783"/>
      <c r="J57" s="783"/>
      <c r="K57" s="778" t="str">
        <f>CHOOSE(MODE, " ", "Min Load Current, IOUT2min")</f>
        <v>Min Load Current, IOUT2min</v>
      </c>
      <c r="L57" s="797">
        <v>5.0000000000000001E-3</v>
      </c>
      <c r="M57" s="784" t="str">
        <f>CHOOSE(MODE, "", "A")</f>
        <v>A</v>
      </c>
      <c r="N57" s="50"/>
      <c r="O57" s="50"/>
      <c r="P57" s="50"/>
      <c r="Q57" s="50"/>
      <c r="R57" s="83"/>
      <c r="S57" s="83"/>
      <c r="T57" s="76"/>
      <c r="U57" s="76"/>
      <c r="V57" s="76"/>
      <c r="W57" s="76"/>
      <c r="X57" s="76"/>
      <c r="Y57" s="76"/>
      <c r="Z57" s="511"/>
      <c r="AA57" s="506"/>
    </row>
    <row r="58" spans="1:35" ht="15.75" customHeight="1" x14ac:dyDescent="0.3">
      <c r="A58" s="780"/>
      <c r="B58" s="90"/>
      <c r="C58" s="90"/>
      <c r="D58" s="87" t="str">
        <f>CHOOSE(MODE,"Max Output Voltage Limit, VOUTmax","Max Output Voltage Limit, VOUT1max")</f>
        <v>Max Output Voltage Limit, VOUT1max</v>
      </c>
      <c r="E58" s="796">
        <v>16</v>
      </c>
      <c r="F58" s="781" t="s">
        <v>0</v>
      </c>
      <c r="G58" s="90"/>
      <c r="H58" s="780"/>
      <c r="I58" s="50"/>
      <c r="J58" s="50"/>
      <c r="K58" s="87" t="str">
        <f>CHOOSE(MODE,"","Max Output Voltage Limit, VOUT2max")</f>
        <v>Max Output Voltage Limit, VOUT2max</v>
      </c>
      <c r="L58" s="798">
        <v>9</v>
      </c>
      <c r="M58" s="785" t="str">
        <f>CHOOSE(MODE,"","V")</f>
        <v>V</v>
      </c>
      <c r="N58" s="50"/>
      <c r="O58" s="50"/>
      <c r="P58" s="50"/>
      <c r="Q58" s="50"/>
      <c r="R58" s="83"/>
      <c r="S58" s="83"/>
      <c r="T58" s="76"/>
      <c r="U58" s="76"/>
      <c r="V58" s="76"/>
      <c r="W58" s="76"/>
      <c r="X58" s="76"/>
      <c r="Y58" s="76"/>
      <c r="Z58" s="511"/>
      <c r="AA58" s="506"/>
    </row>
    <row r="59" spans="1:35" ht="15.75" customHeight="1" x14ac:dyDescent="0.3">
      <c r="A59" s="780"/>
      <c r="B59" s="90"/>
      <c r="C59" s="83"/>
      <c r="D59" s="88" t="str">
        <f>CHOOSE(MODE," Zener Clamp Dz or Dymmy Load Rdmy","Zener Clamp Dz1 or Dummy Load Rdmy1")</f>
        <v>Zener Clamp Dz1 or Dummy Load Rdmy1</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Zener Clamp Dz2 or Dummy Load Rdmy2</v>
      </c>
      <c r="L59" s="799" t="str">
        <f>CHOOSE(MODE, "", IF('Calculations - Dual'!N329="Yes",IF(ABS(L58)&gt;ROUND(Vout2*11.25,0)/10, "Dz2", "Rdmy2"), "None"))</f>
        <v>None</v>
      </c>
      <c r="M59" s="785"/>
      <c r="N59" s="50"/>
      <c r="O59" s="50"/>
      <c r="P59" s="50"/>
      <c r="Q59" s="50"/>
      <c r="R59" s="83"/>
      <c r="S59" s="83"/>
      <c r="T59" s="76"/>
      <c r="U59" s="76"/>
      <c r="V59" s="76"/>
      <c r="W59" s="76"/>
      <c r="X59" s="76"/>
      <c r="Y59" s="76"/>
      <c r="Z59" s="511"/>
      <c r="AA59" s="506"/>
    </row>
    <row r="60" spans="1:35" ht="15.75" customHeight="1" x14ac:dyDescent="0.3">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xml:space="preserve">Selection </v>
      </c>
      <c r="L60" s="800" t="str">
        <f>CHOOSE(MODE,"",IF(L59="Rdmy2",'Standard Value Calculator'!J25,IF(L59="None","None",ROUND(ABS(L58)/0.0105,0)/100)))</f>
        <v>None</v>
      </c>
      <c r="M60" s="782" t="str">
        <f>IF(L59="DZ2", "V", IF(L59="Rdmy2","Ohm", ""))</f>
        <v/>
      </c>
      <c r="N60" s="50"/>
      <c r="O60" s="50"/>
      <c r="P60" s="50"/>
      <c r="Q60" s="50"/>
      <c r="R60" s="83"/>
      <c r="S60" s="83"/>
      <c r="T60" s="76"/>
      <c r="U60" s="76"/>
      <c r="V60" s="76"/>
      <c r="W60" s="76"/>
      <c r="X60" s="76"/>
      <c r="Y60" s="76"/>
      <c r="Z60" s="511"/>
      <c r="AA60" s="506"/>
    </row>
    <row r="61" spans="1:35" ht="15.75" customHeight="1" x14ac:dyDescent="0.3">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Selected Device Min Power Rating&gt;</v>
      </c>
      <c r="L61" s="774" t="str">
        <f>CHOOSE(MODE, "", IF(L59="Rdmy2",(Vout2*1.08)^2/L60*4, IF(L59="Dz2", ABS(L60*1.065*L57*4*0+'Standard Value Calculator'!I29*5), "N/A")))</f>
        <v>N/A</v>
      </c>
      <c r="M61" s="775" t="str">
        <f>CHOOSE(MODE, "", "W")</f>
        <v>W</v>
      </c>
      <c r="N61" s="50"/>
      <c r="O61" s="50"/>
      <c r="P61" s="50"/>
      <c r="Q61" s="50"/>
      <c r="R61" s="83"/>
      <c r="S61" s="83"/>
      <c r="T61" s="76"/>
      <c r="U61" s="76"/>
      <c r="V61" s="76"/>
      <c r="W61" s="76"/>
      <c r="X61" s="76"/>
      <c r="Y61" s="76"/>
      <c r="Z61" s="511"/>
      <c r="AA61" s="506"/>
    </row>
    <row r="62" spans="1:35" ht="15.75" customHeight="1" thickBot="1" x14ac:dyDescent="0.3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3">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3">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3">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3">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3">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3">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144780</xdr:colOff>
                    <xdr:row>0</xdr:row>
                    <xdr:rowOff>381000</xdr:rowOff>
                  </from>
                  <to>
                    <xdr:col>24</xdr:col>
                    <xdr:colOff>525780</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129540</xdr:colOff>
                    <xdr:row>6</xdr:row>
                    <xdr:rowOff>15240</xdr:rowOff>
                  </from>
                  <to>
                    <xdr:col>5</xdr:col>
                    <xdr:colOff>304800</xdr:colOff>
                    <xdr:row>7</xdr:row>
                    <xdr:rowOff>30480</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15240</xdr:colOff>
                    <xdr:row>28</xdr:row>
                    <xdr:rowOff>0</xdr:rowOff>
                  </from>
                  <to>
                    <xdr:col>5</xdr:col>
                    <xdr:colOff>281940</xdr:colOff>
                    <xdr:row>29</xdr:row>
                    <xdr:rowOff>30480</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15240</xdr:colOff>
                    <xdr:row>34</xdr:row>
                    <xdr:rowOff>0</xdr:rowOff>
                  </from>
                  <to>
                    <xdr:col>5</xdr:col>
                    <xdr:colOff>259080</xdr:colOff>
                    <xdr:row>34</xdr:row>
                    <xdr:rowOff>205740</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15240</xdr:colOff>
                    <xdr:row>11</xdr:row>
                    <xdr:rowOff>0</xdr:rowOff>
                  </from>
                  <to>
                    <xdr:col>12</xdr:col>
                    <xdr:colOff>68580</xdr:colOff>
                    <xdr:row>12</xdr:row>
                    <xdr:rowOff>15240</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15240</xdr:rowOff>
                  </from>
                  <to>
                    <xdr:col>5</xdr:col>
                    <xdr:colOff>266700</xdr:colOff>
                    <xdr:row>32</xdr:row>
                    <xdr:rowOff>15240</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30480</xdr:colOff>
                    <xdr:row>4</xdr:row>
                    <xdr:rowOff>15240</xdr:rowOff>
                  </from>
                  <to>
                    <xdr:col>5</xdr:col>
                    <xdr:colOff>403860</xdr:colOff>
                    <xdr:row>4</xdr:row>
                    <xdr:rowOff>243840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7"/>
  <sheetViews>
    <sheetView topLeftCell="A4" zoomScaleNormal="100" workbookViewId="0">
      <selection activeCell="H7" sqref="H7"/>
    </sheetView>
  </sheetViews>
  <sheetFormatPr baseColWidth="10" defaultColWidth="8.88671875" defaultRowHeight="13.2" x14ac:dyDescent="0.25"/>
  <cols>
    <col min="2" max="2" width="126.44140625" customWidth="1"/>
  </cols>
  <sheetData>
    <row r="2" spans="1:2" ht="17.25" customHeight="1" x14ac:dyDescent="0.25">
      <c r="A2" s="77" t="str">
        <f>CHOOSE(MODE, "EFF_SINGLE", "EFF_DUAL")</f>
        <v>EFF_DUAL</v>
      </c>
    </row>
    <row r="5" spans="1:2" ht="409.5" customHeight="1" x14ac:dyDescent="0.25">
      <c r="B5" s="364"/>
    </row>
    <row r="6" spans="1:2" ht="17.100000000000001"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2:B7"/>
  <sheetViews>
    <sheetView zoomScaleNormal="100" workbookViewId="0">
      <selection activeCell="C7" sqref="C7"/>
    </sheetView>
  </sheetViews>
  <sheetFormatPr baseColWidth="10" defaultColWidth="8.88671875" defaultRowHeight="13.2" x14ac:dyDescent="0.25"/>
  <cols>
    <col min="2" max="2" width="126.44140625" customWidth="1"/>
  </cols>
  <sheetData>
    <row r="2" spans="1:2" ht="17.25" customHeight="1" x14ac:dyDescent="0.25">
      <c r="A2" s="77" t="str">
        <f>CHOOSE(MODE, "Fsw_SINGLE", "Fsw_DUAL")</f>
        <v>Fsw_DUAL</v>
      </c>
    </row>
    <row r="5" spans="1:2" ht="409.5" customHeight="1" x14ac:dyDescent="0.25">
      <c r="B5" s="364"/>
    </row>
    <row r="6" spans="1:2" ht="17.100000000000001"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T67"/>
  <sheetViews>
    <sheetView zoomScale="25" zoomScaleNormal="25" zoomScaleSheetLayoutView="145" workbookViewId="0">
      <selection activeCell="H23" sqref="H23"/>
    </sheetView>
  </sheetViews>
  <sheetFormatPr baseColWidth="10" defaultColWidth="8.88671875" defaultRowHeight="13.2" x14ac:dyDescent="0.25"/>
  <cols>
    <col min="1" max="1" width="12.77734375" style="364" customWidth="1"/>
    <col min="2" max="2" width="124.77734375" style="11" customWidth="1"/>
    <col min="3" max="4" width="9.21875" style="364"/>
    <col min="5" max="5" width="124.77734375" style="7" customWidth="1"/>
    <col min="8" max="8" width="124.77734375" style="365" customWidth="1"/>
  </cols>
  <sheetData>
    <row r="2" spans="1:15" x14ac:dyDescent="0.25">
      <c r="A2" s="364" t="str">
        <f>'Variable Mgmt'!K52</f>
        <v>SCH_DUAL_UVLOadj_SSadj_TCyes</v>
      </c>
    </row>
    <row r="5" spans="1:15" s="364" customFormat="1" ht="13.5" customHeight="1" x14ac:dyDescent="0.25">
      <c r="E5" s="365"/>
      <c r="H5" s="365"/>
    </row>
    <row r="6" spans="1:15" s="364" customFormat="1" ht="16.5" customHeight="1" x14ac:dyDescent="0.25">
      <c r="E6" s="365"/>
      <c r="H6" s="365"/>
    </row>
    <row r="7" spans="1:15" ht="357" customHeight="1" x14ac:dyDescent="0.25">
      <c r="B7" s="12"/>
      <c r="E7" s="391"/>
      <c r="F7" s="11"/>
      <c r="G7" s="11"/>
      <c r="I7" s="11"/>
      <c r="J7" s="11"/>
      <c r="K7" s="11"/>
      <c r="L7" s="11"/>
      <c r="M7" s="11"/>
      <c r="N7" s="11"/>
    </row>
    <row r="8" spans="1:15" s="364" customFormat="1" ht="17.25" customHeight="1" x14ac:dyDescent="0.25">
      <c r="B8" s="365"/>
      <c r="E8" s="365"/>
      <c r="H8" s="365"/>
      <c r="O8" s="366"/>
    </row>
    <row r="9" spans="1:15" ht="357" customHeight="1" x14ac:dyDescent="0.25">
      <c r="B9" s="112"/>
      <c r="D9" s="365"/>
      <c r="E9" s="391"/>
      <c r="F9" s="364"/>
      <c r="G9" s="11"/>
      <c r="I9" s="11"/>
      <c r="J9" s="11"/>
      <c r="K9" s="11"/>
      <c r="L9" s="11"/>
      <c r="M9" s="11"/>
      <c r="N9" s="11"/>
      <c r="O9" s="367"/>
    </row>
    <row r="10" spans="1:15" s="364" customFormat="1" x14ac:dyDescent="0.25">
      <c r="E10" s="365"/>
      <c r="H10" s="365"/>
    </row>
    <row r="11" spans="1:15" ht="357" customHeight="1" x14ac:dyDescent="0.25">
      <c r="B11" s="391"/>
      <c r="D11" s="365"/>
      <c r="E11" s="365"/>
      <c r="F11" s="364"/>
      <c r="G11" s="11"/>
      <c r="I11" s="11"/>
      <c r="J11" s="11"/>
      <c r="K11" s="11"/>
      <c r="L11" s="11"/>
      <c r="M11" s="11"/>
      <c r="N11" s="11"/>
      <c r="O11" s="367"/>
    </row>
    <row r="12" spans="1:15" x14ac:dyDescent="0.25">
      <c r="B12" s="364"/>
      <c r="E12" s="365"/>
      <c r="F12" s="364"/>
      <c r="G12" s="11"/>
      <c r="I12" s="11"/>
      <c r="J12" s="11"/>
      <c r="K12" s="11"/>
      <c r="L12" s="11"/>
      <c r="M12" s="11"/>
      <c r="N12" s="11"/>
    </row>
    <row r="13" spans="1:15" ht="357" customHeight="1" x14ac:dyDescent="0.25">
      <c r="B13" s="391"/>
      <c r="E13" s="365"/>
      <c r="F13" s="364"/>
      <c r="G13" s="11"/>
      <c r="I13" s="11"/>
      <c r="J13" s="11"/>
      <c r="K13" s="11"/>
      <c r="L13" s="11"/>
      <c r="M13" s="11"/>
      <c r="N13" s="11"/>
      <c r="O13" s="367"/>
    </row>
    <row r="14" spans="1:15" x14ac:dyDescent="0.25">
      <c r="B14" s="364"/>
      <c r="E14" s="365"/>
      <c r="F14" s="364"/>
      <c r="G14" s="11"/>
      <c r="I14" s="11"/>
      <c r="J14" s="11"/>
      <c r="K14" s="11"/>
      <c r="L14" s="11"/>
      <c r="M14" s="11"/>
      <c r="N14" s="11"/>
    </row>
    <row r="15" spans="1:15" ht="357" customHeight="1" x14ac:dyDescent="0.25">
      <c r="E15" s="365"/>
      <c r="F15" s="364"/>
      <c r="G15" s="11"/>
      <c r="I15" s="11"/>
      <c r="J15" s="11"/>
      <c r="K15" s="11"/>
      <c r="L15" s="11"/>
      <c r="M15" s="11"/>
      <c r="N15" s="11"/>
      <c r="O15" s="367"/>
    </row>
    <row r="16" spans="1:15" x14ac:dyDescent="0.25">
      <c r="B16" s="364"/>
      <c r="E16" s="365"/>
      <c r="F16" s="11"/>
      <c r="G16" s="11"/>
      <c r="I16" s="11"/>
      <c r="J16" s="11"/>
      <c r="K16" s="11"/>
      <c r="L16" s="11"/>
      <c r="M16" s="11"/>
      <c r="N16" s="11"/>
    </row>
    <row r="17" spans="2:15" ht="357" customHeight="1" x14ac:dyDescent="0.25">
      <c r="B17" s="391"/>
      <c r="E17" s="365"/>
      <c r="F17" s="364"/>
      <c r="G17" s="11"/>
      <c r="I17" s="11"/>
      <c r="J17" s="11"/>
      <c r="K17" s="11"/>
      <c r="L17" s="11"/>
      <c r="M17" s="11"/>
      <c r="N17" s="11"/>
      <c r="O17" s="367"/>
    </row>
    <row r="18" spans="2:15" ht="12" customHeight="1" x14ac:dyDescent="0.25">
      <c r="B18" s="364"/>
      <c r="E18" s="365"/>
      <c r="F18" s="11"/>
      <c r="G18" s="11"/>
      <c r="I18" s="11"/>
      <c r="J18" s="11"/>
      <c r="K18" s="11"/>
      <c r="L18" s="11"/>
      <c r="M18" s="11"/>
      <c r="N18" s="11"/>
    </row>
    <row r="19" spans="2:15" ht="357" customHeight="1" x14ac:dyDescent="0.25">
      <c r="B19" s="364"/>
      <c r="E19" s="365"/>
      <c r="F19" s="11"/>
      <c r="G19" s="11"/>
      <c r="I19" s="11"/>
      <c r="J19" s="11"/>
      <c r="K19" s="11"/>
      <c r="L19" s="11"/>
      <c r="M19" s="11"/>
      <c r="N19" s="11"/>
    </row>
    <row r="20" spans="2:15" ht="13.5" customHeight="1" x14ac:dyDescent="0.25">
      <c r="B20" s="364"/>
      <c r="E20" s="365"/>
      <c r="F20" s="11"/>
      <c r="G20" s="11"/>
      <c r="I20" s="11"/>
      <c r="J20" s="11"/>
      <c r="K20" s="11"/>
      <c r="L20" s="11"/>
      <c r="M20" s="11"/>
      <c r="N20" s="11"/>
    </row>
    <row r="21" spans="2:15" ht="357" customHeight="1" x14ac:dyDescent="0.25">
      <c r="B21" s="364"/>
      <c r="E21" s="365"/>
      <c r="F21" s="11"/>
      <c r="G21" s="11"/>
      <c r="I21" s="11"/>
      <c r="J21" s="11"/>
      <c r="K21" s="11"/>
      <c r="L21" s="11"/>
      <c r="M21" s="11"/>
      <c r="N21" s="11"/>
    </row>
    <row r="22" spans="2:15" x14ac:dyDescent="0.25">
      <c r="B22" s="364"/>
      <c r="E22" s="365"/>
      <c r="F22" s="11"/>
      <c r="G22" s="11"/>
      <c r="I22" s="11"/>
      <c r="J22" s="11"/>
      <c r="K22" s="11"/>
      <c r="L22" s="11"/>
      <c r="M22" s="11"/>
      <c r="N22" s="11"/>
    </row>
    <row r="23" spans="2:15" ht="357" customHeight="1" x14ac:dyDescent="0.25">
      <c r="B23" s="364"/>
      <c r="E23" s="365"/>
      <c r="F23" s="11"/>
      <c r="G23" s="11"/>
      <c r="I23" s="11"/>
      <c r="J23" s="11"/>
      <c r="K23" s="11"/>
      <c r="L23" s="11"/>
      <c r="M23" s="11"/>
      <c r="N23" s="11"/>
    </row>
    <row r="24" spans="2:15" x14ac:dyDescent="0.25">
      <c r="B24" s="364"/>
      <c r="E24" s="365"/>
      <c r="F24" s="11"/>
      <c r="G24" s="11"/>
      <c r="I24" s="11"/>
      <c r="J24" s="11"/>
      <c r="K24" s="11"/>
      <c r="L24" s="11"/>
      <c r="M24" s="11"/>
      <c r="N24" s="11"/>
    </row>
    <row r="25" spans="2:15" ht="327.75" customHeight="1" x14ac:dyDescent="0.25">
      <c r="B25" s="364"/>
      <c r="E25" s="365"/>
      <c r="F25" s="11"/>
      <c r="G25" s="11"/>
      <c r="I25" s="11"/>
      <c r="J25" s="11"/>
      <c r="K25" s="11"/>
      <c r="L25" s="11"/>
      <c r="M25" s="11"/>
      <c r="N25" s="11"/>
    </row>
    <row r="26" spans="2:15" x14ac:dyDescent="0.25">
      <c r="E26" s="365"/>
      <c r="F26" s="11"/>
      <c r="G26" s="11"/>
      <c r="I26" s="11"/>
      <c r="J26" s="11"/>
      <c r="K26" s="11"/>
      <c r="L26" s="11"/>
      <c r="M26" s="11"/>
      <c r="N26" s="11"/>
    </row>
    <row r="27" spans="2:15" ht="327.60000000000002" customHeight="1" x14ac:dyDescent="0.25">
      <c r="B27" s="364"/>
      <c r="E27" s="365"/>
      <c r="F27" s="11"/>
      <c r="G27" s="11"/>
      <c r="I27" s="11"/>
      <c r="J27" s="11"/>
      <c r="K27" s="11"/>
      <c r="L27" s="11"/>
      <c r="M27" s="11"/>
      <c r="N27" s="11"/>
    </row>
    <row r="28" spans="2:15" x14ac:dyDescent="0.25">
      <c r="B28" s="364"/>
      <c r="E28" s="365"/>
      <c r="F28" s="11"/>
      <c r="G28" s="11"/>
      <c r="I28" s="11"/>
      <c r="J28" s="11"/>
      <c r="K28" s="11"/>
      <c r="L28" s="11"/>
      <c r="M28" s="11"/>
      <c r="N28" s="11"/>
    </row>
    <row r="29" spans="2:15" ht="327.75" customHeight="1" x14ac:dyDescent="0.25">
      <c r="B29" s="364"/>
      <c r="E29" s="365"/>
      <c r="F29" s="11"/>
      <c r="G29" s="11"/>
      <c r="I29" s="11"/>
      <c r="J29" s="11"/>
      <c r="K29" s="11"/>
      <c r="L29" s="11"/>
      <c r="M29" s="11"/>
      <c r="N29" s="11"/>
    </row>
    <row r="30" spans="2:15" ht="13.5" customHeight="1" x14ac:dyDescent="0.25">
      <c r="B30" s="364"/>
      <c r="E30" s="365"/>
      <c r="F30" s="11"/>
      <c r="G30" s="11"/>
      <c r="I30" s="11"/>
      <c r="J30" s="11"/>
      <c r="K30" s="11"/>
      <c r="L30" s="11"/>
      <c r="M30" s="11"/>
      <c r="N30" s="11"/>
    </row>
    <row r="31" spans="2:15" ht="327.75" customHeight="1" x14ac:dyDescent="0.25">
      <c r="B31" s="364"/>
      <c r="E31" s="365"/>
      <c r="F31" s="11"/>
      <c r="G31" s="11"/>
      <c r="I31" s="11"/>
      <c r="J31" s="11"/>
      <c r="K31" s="11"/>
      <c r="L31" s="11"/>
      <c r="M31" s="11"/>
      <c r="N31" s="11"/>
    </row>
    <row r="32" spans="2:15" ht="13.5" customHeight="1" x14ac:dyDescent="0.25">
      <c r="B32" s="364"/>
      <c r="E32" s="365"/>
      <c r="F32" s="11"/>
      <c r="G32" s="11"/>
      <c r="I32" s="11"/>
      <c r="J32" s="11"/>
      <c r="K32" s="11"/>
      <c r="L32" s="11"/>
      <c r="M32" s="11"/>
      <c r="N32" s="11"/>
    </row>
    <row r="33" spans="2:20" ht="327.75" customHeight="1" x14ac:dyDescent="0.25">
      <c r="B33" s="364"/>
      <c r="E33" s="365"/>
      <c r="F33" s="11"/>
      <c r="G33" s="11"/>
      <c r="I33" s="11"/>
      <c r="J33" s="11"/>
      <c r="K33" s="11"/>
      <c r="L33" s="11"/>
      <c r="M33" s="11"/>
      <c r="N33" s="11"/>
    </row>
    <row r="34" spans="2:20" ht="13.5" customHeight="1" x14ac:dyDescent="0.25">
      <c r="B34" s="364"/>
      <c r="E34" s="365"/>
      <c r="F34" s="11"/>
      <c r="G34" s="11"/>
      <c r="I34" s="11"/>
      <c r="J34" s="11"/>
      <c r="K34" s="11"/>
      <c r="L34" s="11"/>
      <c r="M34" s="11"/>
      <c r="N34" s="11"/>
    </row>
    <row r="35" spans="2:20" ht="327.60000000000002" customHeight="1" x14ac:dyDescent="0.25">
      <c r="B35" s="364"/>
      <c r="E35" s="365"/>
      <c r="F35" s="11"/>
      <c r="G35" s="11"/>
      <c r="I35" s="11"/>
      <c r="J35" s="11"/>
      <c r="K35" s="11"/>
      <c r="L35" s="11"/>
      <c r="M35" s="11"/>
      <c r="N35" s="11"/>
    </row>
    <row r="36" spans="2:20" ht="13.5" customHeight="1" x14ac:dyDescent="0.25">
      <c r="B36" s="364"/>
      <c r="E36" s="365"/>
      <c r="F36" s="11"/>
      <c r="G36" s="11"/>
      <c r="I36" s="11"/>
      <c r="J36" s="11"/>
      <c r="K36" s="11"/>
      <c r="L36" s="11"/>
      <c r="M36" s="11"/>
      <c r="N36" s="11"/>
    </row>
    <row r="37" spans="2:20" ht="327.75" customHeight="1" x14ac:dyDescent="0.25">
      <c r="B37" s="364"/>
      <c r="E37" s="365"/>
      <c r="F37" s="11"/>
      <c r="G37" s="11"/>
      <c r="I37" s="11"/>
      <c r="J37" s="11"/>
      <c r="K37" s="11"/>
      <c r="L37" s="11"/>
      <c r="M37" s="11"/>
      <c r="N37" s="11"/>
    </row>
    <row r="38" spans="2:20" ht="13.5" customHeight="1" x14ac:dyDescent="0.4">
      <c r="B38" s="364"/>
      <c r="E38" s="365"/>
      <c r="F38" s="11"/>
      <c r="G38" s="368"/>
      <c r="I38" s="369"/>
      <c r="J38" s="11"/>
      <c r="K38" s="11"/>
      <c r="L38" s="11"/>
      <c r="M38" s="11"/>
      <c r="N38" s="11"/>
    </row>
    <row r="39" spans="2:20" ht="327.75" customHeight="1" x14ac:dyDescent="0.25">
      <c r="B39" s="364"/>
      <c r="E39" s="365"/>
      <c r="F39" s="11"/>
      <c r="G39" s="11"/>
      <c r="I39" s="369"/>
      <c r="J39" s="11"/>
      <c r="K39" s="11"/>
      <c r="L39" s="11"/>
      <c r="M39" s="11"/>
      <c r="N39" s="11"/>
    </row>
    <row r="40" spans="2:20" x14ac:dyDescent="0.25">
      <c r="B40" s="364"/>
      <c r="E40" s="365"/>
      <c r="F40" s="11"/>
      <c r="G40" s="11"/>
      <c r="I40" s="11"/>
      <c r="J40" s="11"/>
      <c r="K40" s="11"/>
      <c r="L40" s="11"/>
      <c r="M40" s="11"/>
      <c r="N40" s="11"/>
      <c r="O40" s="11"/>
      <c r="P40" s="11"/>
      <c r="Q40" s="13"/>
      <c r="S40" s="370"/>
      <c r="T40" s="370"/>
    </row>
    <row r="41" spans="2:20" ht="327.75" customHeight="1" x14ac:dyDescent="0.25">
      <c r="B41" s="364"/>
      <c r="E41" s="365"/>
      <c r="F41" s="11"/>
      <c r="G41" s="11"/>
      <c r="I41" s="11"/>
      <c r="J41" s="11"/>
      <c r="K41" s="11"/>
      <c r="L41" s="11"/>
      <c r="M41" s="11"/>
      <c r="N41" s="11"/>
      <c r="O41" s="11"/>
      <c r="P41" s="11"/>
      <c r="Q41" s="13"/>
      <c r="S41" s="370"/>
    </row>
    <row r="42" spans="2:20" x14ac:dyDescent="0.25">
      <c r="B42" s="364"/>
      <c r="E42" s="365"/>
      <c r="F42" s="11"/>
      <c r="G42" s="11"/>
      <c r="I42" s="11"/>
      <c r="J42" s="11"/>
      <c r="K42" s="11"/>
      <c r="L42" s="11"/>
      <c r="M42" s="11"/>
      <c r="N42" s="11"/>
      <c r="O42" s="11"/>
      <c r="P42" s="11"/>
      <c r="Q42" s="13"/>
      <c r="S42" s="370"/>
    </row>
    <row r="43" spans="2:20" ht="327.75" customHeight="1" x14ac:dyDescent="0.25">
      <c r="B43" s="364"/>
      <c r="E43" s="365"/>
      <c r="F43" s="11"/>
      <c r="G43" s="11"/>
      <c r="I43" s="11"/>
      <c r="J43" s="11"/>
      <c r="K43" s="11"/>
      <c r="L43" s="11"/>
      <c r="M43" s="11"/>
      <c r="N43" s="11"/>
      <c r="O43" s="11"/>
      <c r="P43" s="11"/>
      <c r="Q43" s="13"/>
      <c r="S43" s="370"/>
    </row>
    <row r="44" spans="2:20" x14ac:dyDescent="0.25">
      <c r="B44" s="364"/>
      <c r="E44" s="365"/>
      <c r="F44" s="11"/>
      <c r="G44" s="11"/>
      <c r="I44" s="11"/>
      <c r="J44" s="11"/>
      <c r="K44" s="11"/>
      <c r="L44" s="11"/>
      <c r="M44" s="11"/>
      <c r="N44" s="11"/>
      <c r="O44" s="11"/>
      <c r="P44" s="11"/>
      <c r="Q44" s="13"/>
      <c r="S44" s="370"/>
    </row>
    <row r="45" spans="2:20" ht="327.75" customHeight="1" x14ac:dyDescent="0.25">
      <c r="B45" s="364"/>
      <c r="E45" s="365"/>
      <c r="F45" s="11"/>
      <c r="G45" s="11"/>
      <c r="I45" s="11"/>
      <c r="J45" s="11"/>
      <c r="K45" s="11"/>
      <c r="L45" s="11"/>
      <c r="M45" s="11"/>
      <c r="N45" s="11"/>
      <c r="O45" s="11"/>
      <c r="P45" s="11"/>
      <c r="Q45" s="13"/>
      <c r="S45" s="370"/>
    </row>
    <row r="46" spans="2:20" x14ac:dyDescent="0.25">
      <c r="B46" s="364"/>
      <c r="E46" s="365"/>
      <c r="F46" s="11"/>
      <c r="G46" s="11"/>
      <c r="I46" s="11"/>
      <c r="J46" s="11"/>
      <c r="K46" s="11"/>
      <c r="L46" s="11"/>
      <c r="M46" s="11"/>
      <c r="N46" s="11"/>
      <c r="O46" s="11"/>
      <c r="P46" s="11"/>
      <c r="Q46" s="13"/>
      <c r="S46" s="370"/>
    </row>
    <row r="47" spans="2:20" ht="327.75" customHeight="1" x14ac:dyDescent="0.25">
      <c r="B47" s="364"/>
      <c r="E47" s="365"/>
      <c r="F47" s="11"/>
      <c r="G47" s="11"/>
      <c r="I47" s="11"/>
      <c r="J47" s="11"/>
      <c r="K47" s="11"/>
      <c r="L47" s="11"/>
      <c r="M47" s="11"/>
      <c r="N47" s="11"/>
      <c r="O47" s="11"/>
      <c r="P47" s="11"/>
      <c r="Q47" s="13"/>
      <c r="S47" s="371"/>
    </row>
    <row r="48" spans="2:20" x14ac:dyDescent="0.25">
      <c r="B48" s="364"/>
      <c r="E48" s="365"/>
      <c r="F48" s="11"/>
      <c r="G48" s="11"/>
      <c r="I48" s="11"/>
      <c r="J48" s="11"/>
      <c r="K48" s="11"/>
      <c r="L48" s="11"/>
      <c r="M48" s="11"/>
      <c r="N48" s="11"/>
      <c r="O48" s="11"/>
      <c r="P48" s="11"/>
      <c r="Q48" s="13"/>
      <c r="S48" s="370"/>
    </row>
    <row r="49" spans="2:19" ht="327.75" customHeight="1" x14ac:dyDescent="0.25">
      <c r="B49" s="364"/>
      <c r="E49" s="365"/>
      <c r="F49" s="11"/>
      <c r="G49" s="11"/>
      <c r="I49" s="11"/>
      <c r="J49" s="11"/>
      <c r="K49" s="11"/>
      <c r="L49" s="11"/>
      <c r="M49" s="11"/>
      <c r="N49" s="11"/>
      <c r="O49" s="11"/>
      <c r="P49" s="11"/>
      <c r="Q49" s="13"/>
      <c r="S49" s="370"/>
    </row>
    <row r="50" spans="2:19" x14ac:dyDescent="0.25">
      <c r="B50" s="364"/>
      <c r="E50" s="365"/>
      <c r="F50" s="11"/>
      <c r="G50" s="11"/>
      <c r="I50" s="11"/>
      <c r="J50" s="11"/>
      <c r="K50" s="11"/>
      <c r="L50" s="11"/>
      <c r="M50" s="11"/>
      <c r="N50" s="11"/>
      <c r="O50" s="11"/>
      <c r="P50" s="11"/>
      <c r="Q50" s="13"/>
      <c r="S50" s="370"/>
    </row>
    <row r="51" spans="2:19" x14ac:dyDescent="0.25">
      <c r="B51" s="364"/>
      <c r="E51" s="365"/>
      <c r="F51" s="11"/>
      <c r="G51" s="11"/>
      <c r="I51" s="11"/>
      <c r="J51" s="11"/>
      <c r="K51" s="11"/>
      <c r="L51" s="11"/>
      <c r="M51" s="11"/>
      <c r="N51" s="11"/>
      <c r="O51" s="11"/>
      <c r="P51" s="11"/>
      <c r="Q51" s="13"/>
      <c r="S51" s="370"/>
    </row>
    <row r="52" spans="2:19" x14ac:dyDescent="0.25">
      <c r="B52" s="364"/>
      <c r="E52" s="365"/>
      <c r="F52" s="11"/>
      <c r="G52" s="11"/>
      <c r="I52" s="11"/>
      <c r="J52" s="11"/>
      <c r="K52" s="11"/>
      <c r="L52" s="11"/>
      <c r="M52" s="11"/>
      <c r="N52" s="11"/>
      <c r="O52" s="11"/>
      <c r="P52" s="11"/>
      <c r="Q52" s="13"/>
      <c r="S52" s="370"/>
    </row>
    <row r="53" spans="2:19" x14ac:dyDescent="0.25">
      <c r="B53" s="364"/>
      <c r="E53" s="365"/>
      <c r="F53" s="11"/>
      <c r="G53" s="11"/>
      <c r="I53" s="11"/>
      <c r="J53" s="11"/>
      <c r="K53" s="11"/>
      <c r="L53" s="11"/>
      <c r="M53" s="11"/>
      <c r="N53" s="11"/>
    </row>
    <row r="54" spans="2:19" x14ac:dyDescent="0.25">
      <c r="B54" s="364"/>
      <c r="E54" s="365"/>
      <c r="F54" s="11"/>
      <c r="G54" s="11"/>
      <c r="I54" s="11"/>
      <c r="J54" s="11"/>
      <c r="K54" s="11"/>
      <c r="L54" s="11"/>
      <c r="M54" s="11"/>
      <c r="N54" s="11"/>
    </row>
    <row r="55" spans="2:19" x14ac:dyDescent="0.25">
      <c r="B55" s="364"/>
      <c r="E55" s="365"/>
      <c r="F55" s="11"/>
      <c r="G55" s="11"/>
      <c r="I55" s="11"/>
      <c r="J55" s="11"/>
      <c r="K55" s="11"/>
      <c r="L55" s="11"/>
      <c r="M55" s="11"/>
      <c r="N55" s="11"/>
      <c r="R55" s="14"/>
    </row>
    <row r="56" spans="2:19" x14ac:dyDescent="0.25">
      <c r="B56" s="364"/>
      <c r="E56" s="365"/>
      <c r="F56" s="11"/>
      <c r="G56" s="11"/>
      <c r="I56" s="11"/>
      <c r="J56" s="11"/>
      <c r="K56" s="11"/>
      <c r="L56" s="11"/>
      <c r="M56" s="11"/>
      <c r="N56" s="11"/>
    </row>
    <row r="57" spans="2:19" x14ac:dyDescent="0.25">
      <c r="B57" s="364"/>
      <c r="E57" s="365"/>
      <c r="F57" s="11"/>
      <c r="G57" s="11"/>
      <c r="I57" s="11"/>
      <c r="J57" s="11"/>
      <c r="K57" s="11"/>
      <c r="L57" s="11"/>
      <c r="M57" s="11"/>
      <c r="N57" s="11"/>
    </row>
    <row r="58" spans="2:19" x14ac:dyDescent="0.25">
      <c r="E58" s="12"/>
      <c r="F58" s="11"/>
      <c r="G58" s="11"/>
      <c r="I58" s="11"/>
      <c r="J58" s="11"/>
      <c r="K58" s="11"/>
      <c r="L58" s="11"/>
      <c r="M58" s="11"/>
      <c r="N58" s="11"/>
    </row>
    <row r="59" spans="2:19" x14ac:dyDescent="0.25">
      <c r="E59" s="12"/>
      <c r="F59" s="11"/>
      <c r="G59" s="11"/>
      <c r="I59" s="11"/>
      <c r="J59" s="11"/>
      <c r="K59" s="11"/>
      <c r="L59" s="11"/>
      <c r="M59" s="11"/>
      <c r="N59" s="11"/>
    </row>
    <row r="60" spans="2:19" x14ac:dyDescent="0.25">
      <c r="E60" s="12"/>
      <c r="F60" s="11"/>
      <c r="G60" s="11"/>
      <c r="I60" s="11"/>
      <c r="J60" s="11"/>
      <c r="K60" s="11"/>
      <c r="L60" s="11"/>
      <c r="M60" s="11"/>
      <c r="N60" s="11"/>
    </row>
    <row r="61" spans="2:19" x14ac:dyDescent="0.25">
      <c r="E61" s="12"/>
      <c r="F61" s="11"/>
      <c r="G61" s="11"/>
      <c r="I61" s="11"/>
      <c r="J61" s="11"/>
      <c r="K61" s="11"/>
      <c r="L61" s="11"/>
      <c r="M61" s="11"/>
      <c r="N61" s="11"/>
    </row>
    <row r="62" spans="2:19" x14ac:dyDescent="0.25">
      <c r="E62" s="12"/>
      <c r="F62" s="11"/>
      <c r="G62" s="11"/>
      <c r="I62" s="11"/>
      <c r="J62" s="11"/>
      <c r="K62" s="11"/>
      <c r="L62" s="11"/>
      <c r="M62" s="11"/>
      <c r="N62" s="11"/>
    </row>
    <row r="63" spans="2:19" x14ac:dyDescent="0.25">
      <c r="E63" s="12"/>
      <c r="F63" s="11"/>
      <c r="G63" s="11"/>
      <c r="I63" s="11"/>
      <c r="J63" s="11"/>
      <c r="K63" s="11"/>
      <c r="L63" s="11"/>
      <c r="M63" s="11"/>
      <c r="N63" s="11"/>
    </row>
    <row r="64" spans="2:19" x14ac:dyDescent="0.25">
      <c r="E64" s="12"/>
      <c r="F64" s="11"/>
      <c r="G64" s="11"/>
      <c r="I64" s="11"/>
      <c r="J64" s="11"/>
      <c r="K64" s="11"/>
      <c r="L64" s="11"/>
      <c r="M64" s="11"/>
      <c r="N64" s="11"/>
    </row>
    <row r="65" spans="5:18" x14ac:dyDescent="0.25">
      <c r="E65" s="12"/>
      <c r="F65" s="11"/>
      <c r="G65" s="11"/>
      <c r="I65" s="11"/>
      <c r="J65" s="11"/>
      <c r="K65" s="11"/>
      <c r="L65" s="11"/>
      <c r="M65" s="11"/>
      <c r="N65" s="11"/>
    </row>
    <row r="66" spans="5:18" x14ac:dyDescent="0.25">
      <c r="E66" s="12"/>
      <c r="F66" s="11"/>
      <c r="G66" s="11"/>
      <c r="I66" s="11"/>
      <c r="J66" s="11"/>
      <c r="K66" s="11"/>
      <c r="L66" s="11"/>
      <c r="M66" s="11"/>
      <c r="N66" s="11"/>
      <c r="R66" s="14"/>
    </row>
    <row r="67" spans="5:18" x14ac:dyDescent="0.25">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9"/>
  <sheetViews>
    <sheetView workbookViewId="0">
      <selection activeCell="H27" sqref="H27"/>
    </sheetView>
  </sheetViews>
  <sheetFormatPr baseColWidth="10" defaultColWidth="8.88671875" defaultRowHeight="13.2" x14ac:dyDescent="0.25"/>
  <cols>
    <col min="1" max="1" width="17.21875" customWidth="1"/>
    <col min="2" max="2" width="12" bestFit="1" customWidth="1"/>
    <col min="8" max="8" width="12.21875" customWidth="1"/>
    <col min="9" max="9" width="12.44140625" bestFit="1" customWidth="1"/>
    <col min="10" max="10" width="15.44140625" customWidth="1"/>
  </cols>
  <sheetData>
    <row r="2" spans="1:11" x14ac:dyDescent="0.25">
      <c r="A2" t="s">
        <v>68</v>
      </c>
      <c r="B2" t="s">
        <v>66</v>
      </c>
      <c r="C2" t="s">
        <v>14</v>
      </c>
      <c r="D2" t="s">
        <v>28</v>
      </c>
      <c r="E2" t="s">
        <v>75</v>
      </c>
    </row>
    <row r="3" spans="1:11" x14ac:dyDescent="0.25">
      <c r="A3" t="s">
        <v>71</v>
      </c>
      <c r="B3">
        <f>Css</f>
        <v>4.4999999999999999E-8</v>
      </c>
      <c r="C3">
        <f>Cout</f>
        <v>10</v>
      </c>
      <c r="D3">
        <f>Cin</f>
        <v>10</v>
      </c>
      <c r="E3">
        <f>Cb</f>
        <v>0</v>
      </c>
      <c r="H3" t="s">
        <v>73</v>
      </c>
      <c r="I3" t="s">
        <v>74</v>
      </c>
      <c r="J3" s="3" t="s">
        <v>70</v>
      </c>
    </row>
    <row r="4" spans="1:11" ht="13.8" x14ac:dyDescent="0.3">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8" x14ac:dyDescent="0.3">
      <c r="A5" t="s">
        <v>69</v>
      </c>
      <c r="J5" s="3"/>
      <c r="K5" s="17"/>
    </row>
    <row r="6" spans="1:11" ht="13.8" x14ac:dyDescent="0.3">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ht="13.8" x14ac:dyDescent="0.3">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ht="13.8" x14ac:dyDescent="0.3">
      <c r="A8">
        <v>0.68</v>
      </c>
      <c r="B8">
        <f t="shared" si="3"/>
        <v>0</v>
      </c>
      <c r="C8">
        <f t="shared" si="4"/>
        <v>0</v>
      </c>
      <c r="D8">
        <f t="shared" si="5"/>
        <v>0</v>
      </c>
      <c r="E8">
        <f t="shared" si="6"/>
        <v>0</v>
      </c>
      <c r="J8" s="3"/>
      <c r="K8" s="17"/>
    </row>
    <row r="9" spans="1:11" ht="13.8" x14ac:dyDescent="0.3">
      <c r="A9">
        <v>0.82</v>
      </c>
      <c r="B9">
        <f t="shared" si="3"/>
        <v>0</v>
      </c>
      <c r="C9">
        <f t="shared" si="4"/>
        <v>0</v>
      </c>
      <c r="D9">
        <f t="shared" si="5"/>
        <v>0</v>
      </c>
      <c r="E9">
        <f t="shared" si="6"/>
        <v>0</v>
      </c>
      <c r="H9" t="s">
        <v>383</v>
      </c>
      <c r="I9">
        <f>RTC_1</f>
        <v>8.5797456718247282</v>
      </c>
      <c r="J9" s="3">
        <f t="shared" si="1"/>
        <v>8.66</v>
      </c>
      <c r="K9" s="17" t="s">
        <v>136</v>
      </c>
    </row>
    <row r="10" spans="1:11" ht="13.8" x14ac:dyDescent="0.3">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7" t="s">
        <v>136</v>
      </c>
    </row>
    <row r="11" spans="1:11" x14ac:dyDescent="0.25">
      <c r="A11">
        <v>1.2</v>
      </c>
      <c r="B11">
        <f t="shared" si="3"/>
        <v>0</v>
      </c>
      <c r="C11">
        <f t="shared" si="4"/>
        <v>0</v>
      </c>
      <c r="D11">
        <f t="shared" si="5"/>
        <v>0</v>
      </c>
      <c r="E11">
        <f t="shared" si="6"/>
        <v>0</v>
      </c>
      <c r="J11" s="3"/>
    </row>
    <row r="12" spans="1:11" x14ac:dyDescent="0.25">
      <c r="A12">
        <v>1.5</v>
      </c>
      <c r="B12">
        <f t="shared" si="3"/>
        <v>0</v>
      </c>
      <c r="C12">
        <f t="shared" si="4"/>
        <v>0</v>
      </c>
      <c r="D12">
        <f t="shared" si="5"/>
        <v>0</v>
      </c>
      <c r="E12">
        <f t="shared" si="6"/>
        <v>0</v>
      </c>
      <c r="J12" s="3"/>
    </row>
    <row r="13" spans="1:11" ht="13.8" x14ac:dyDescent="0.3">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5">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5">
      <c r="A15">
        <v>2.7</v>
      </c>
      <c r="B15">
        <f t="shared" si="3"/>
        <v>0</v>
      </c>
      <c r="C15">
        <f t="shared" si="4"/>
        <v>0</v>
      </c>
      <c r="D15">
        <f t="shared" si="5"/>
        <v>0</v>
      </c>
      <c r="E15">
        <f t="shared" si="6"/>
        <v>0</v>
      </c>
    </row>
    <row r="16" spans="1:11" ht="13.8" x14ac:dyDescent="0.3">
      <c r="A16">
        <v>3.3</v>
      </c>
      <c r="B16">
        <f t="shared" si="3"/>
        <v>0</v>
      </c>
      <c r="C16">
        <f t="shared" si="4"/>
        <v>0</v>
      </c>
      <c r="D16">
        <f t="shared" si="5"/>
        <v>0</v>
      </c>
      <c r="E16">
        <f t="shared" si="6"/>
        <v>0</v>
      </c>
      <c r="H16" s="77" t="s">
        <v>130</v>
      </c>
      <c r="I16">
        <f>Ruvlo1</f>
        <v>279.99999999999972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280</v>
      </c>
      <c r="K16" s="17" t="s">
        <v>113</v>
      </c>
    </row>
    <row r="17" spans="1:11" ht="13.8" x14ac:dyDescent="0.3">
      <c r="A17">
        <v>3.9</v>
      </c>
      <c r="B17">
        <f t="shared" si="3"/>
        <v>0</v>
      </c>
      <c r="C17">
        <f t="shared" si="4"/>
        <v>0</v>
      </c>
      <c r="D17">
        <f t="shared" si="5"/>
        <v>0</v>
      </c>
      <c r="E17">
        <f t="shared" si="6"/>
        <v>0</v>
      </c>
      <c r="H17" s="77" t="s">
        <v>131</v>
      </c>
      <c r="I17" s="177">
        <f>Ruvlo2</f>
        <v>25.454545454545453</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25.5</v>
      </c>
      <c r="K17" s="17" t="s">
        <v>113</v>
      </c>
    </row>
    <row r="18" spans="1:11" ht="13.8" x14ac:dyDescent="0.3">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5">
      <c r="A19">
        <v>5.6</v>
      </c>
      <c r="B19">
        <f t="shared" si="3"/>
        <v>0</v>
      </c>
      <c r="C19">
        <f t="shared" si="4"/>
        <v>0</v>
      </c>
      <c r="D19">
        <f t="shared" si="5"/>
        <v>0</v>
      </c>
      <c r="E19">
        <f t="shared" si="6"/>
        <v>0</v>
      </c>
    </row>
    <row r="20" spans="1:11" x14ac:dyDescent="0.25">
      <c r="A20">
        <v>6.8</v>
      </c>
      <c r="B20">
        <f t="shared" si="3"/>
        <v>0</v>
      </c>
      <c r="C20">
        <f t="shared" si="4"/>
        <v>0</v>
      </c>
      <c r="D20">
        <f t="shared" si="5"/>
        <v>0</v>
      </c>
      <c r="E20">
        <f t="shared" si="6"/>
        <v>0</v>
      </c>
      <c r="H20" s="77"/>
      <c r="J20" s="3"/>
    </row>
    <row r="21" spans="1:11" x14ac:dyDescent="0.25">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ht="13.8" x14ac:dyDescent="0.3">
      <c r="A22">
        <v>10</v>
      </c>
      <c r="B22">
        <f t="shared" si="3"/>
        <v>0</v>
      </c>
      <c r="C22">
        <f t="shared" si="4"/>
        <v>0</v>
      </c>
      <c r="D22">
        <f t="shared" si="5"/>
        <v>0</v>
      </c>
      <c r="E22">
        <f t="shared" si="6"/>
        <v>0</v>
      </c>
      <c r="H22" s="77"/>
      <c r="J22" s="3"/>
      <c r="K22" s="17"/>
    </row>
    <row r="23" spans="1:11" ht="13.8" x14ac:dyDescent="0.3">
      <c r="A23">
        <v>12</v>
      </c>
      <c r="B23">
        <f t="shared" si="3"/>
        <v>0</v>
      </c>
      <c r="C23">
        <f t="shared" si="4"/>
        <v>0</v>
      </c>
      <c r="D23">
        <f t="shared" si="5"/>
        <v>0</v>
      </c>
      <c r="E23">
        <f t="shared" si="6"/>
        <v>0</v>
      </c>
      <c r="H23" t="s">
        <v>838</v>
      </c>
      <c r="I23">
        <f>'Calculations - Single'!H329</f>
        <v>-3742.1429768689241</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x14ac:dyDescent="0.25">
      <c r="A24">
        <v>15</v>
      </c>
      <c r="B24">
        <f t="shared" si="3"/>
        <v>0</v>
      </c>
      <c r="C24">
        <f t="shared" si="4"/>
        <v>0</v>
      </c>
      <c r="D24">
        <f t="shared" si="5"/>
        <v>0</v>
      </c>
      <c r="E24">
        <f t="shared" si="6"/>
        <v>0</v>
      </c>
      <c r="H24" t="s">
        <v>849</v>
      </c>
      <c r="I24">
        <f>'Calculations - Dual'!H329</f>
        <v>-3742.1429768689241</v>
      </c>
      <c r="J24" s="3" t="e">
        <f t="shared" si="8"/>
        <v>#NUM!</v>
      </c>
    </row>
    <row r="25" spans="1:11" ht="13.8" x14ac:dyDescent="0.3">
      <c r="A25">
        <v>18</v>
      </c>
      <c r="B25">
        <f t="shared" si="3"/>
        <v>0</v>
      </c>
      <c r="C25">
        <f t="shared" si="4"/>
        <v>0</v>
      </c>
      <c r="D25">
        <f t="shared" si="5"/>
        <v>0</v>
      </c>
      <c r="E25">
        <f t="shared" si="6"/>
        <v>0</v>
      </c>
      <c r="H25" s="77" t="s">
        <v>848</v>
      </c>
      <c r="I25">
        <f>'Calculations - Dual'!O329</f>
        <v>-2255.113636363636</v>
      </c>
      <c r="J25" s="3" t="e">
        <f t="shared" si="8"/>
        <v>#NUM!</v>
      </c>
      <c r="K25" s="17"/>
    </row>
    <row r="26" spans="1:11" x14ac:dyDescent="0.25">
      <c r="A26">
        <v>22</v>
      </c>
      <c r="B26">
        <f t="shared" si="3"/>
        <v>0</v>
      </c>
      <c r="C26">
        <f t="shared" si="4"/>
        <v>0</v>
      </c>
      <c r="D26">
        <f t="shared" si="5"/>
        <v>0</v>
      </c>
      <c r="E26">
        <f t="shared" si="6"/>
        <v>0</v>
      </c>
    </row>
    <row r="27" spans="1:11" x14ac:dyDescent="0.25">
      <c r="A27">
        <v>27</v>
      </c>
      <c r="B27">
        <f t="shared" si="3"/>
        <v>0</v>
      </c>
      <c r="C27">
        <f t="shared" si="4"/>
        <v>0</v>
      </c>
      <c r="D27">
        <f t="shared" si="5"/>
        <v>0</v>
      </c>
      <c r="E27">
        <f t="shared" si="6"/>
        <v>0</v>
      </c>
      <c r="H27" t="s">
        <v>859</v>
      </c>
      <c r="I27">
        <f>'Calculations - Single'!G327</f>
        <v>8.7111111111111104E-3</v>
      </c>
    </row>
    <row r="28" spans="1:11" ht="13.8" x14ac:dyDescent="0.3">
      <c r="A28">
        <v>33</v>
      </c>
      <c r="B28">
        <f t="shared" si="3"/>
        <v>0</v>
      </c>
      <c r="C28">
        <f t="shared" si="4"/>
        <v>0</v>
      </c>
      <c r="D28">
        <f t="shared" si="5"/>
        <v>0</v>
      </c>
      <c r="E28">
        <f t="shared" si="6"/>
        <v>0</v>
      </c>
      <c r="H28" s="77" t="s">
        <v>860</v>
      </c>
      <c r="I28">
        <f>'Calculations - Dual'!G327</f>
        <v>8.7111111111111104E-3</v>
      </c>
      <c r="K28" s="17"/>
    </row>
    <row r="29" spans="1:11" x14ac:dyDescent="0.25">
      <c r="A29">
        <v>39</v>
      </c>
      <c r="B29">
        <f t="shared" si="3"/>
        <v>0</v>
      </c>
      <c r="C29">
        <f t="shared" si="4"/>
        <v>0</v>
      </c>
      <c r="D29">
        <f t="shared" si="5"/>
        <v>0</v>
      </c>
      <c r="E29">
        <f t="shared" si="6"/>
        <v>0</v>
      </c>
      <c r="H29" s="77" t="s">
        <v>861</v>
      </c>
      <c r="I29">
        <f>'Calculations - Dual'!N327</f>
        <v>8.7111111111111104E-3</v>
      </c>
      <c r="K29" s="77"/>
    </row>
    <row r="30" spans="1:11" x14ac:dyDescent="0.25">
      <c r="A30">
        <v>47</v>
      </c>
      <c r="B30">
        <f t="shared" si="3"/>
        <v>0</v>
      </c>
      <c r="C30">
        <f t="shared" si="4"/>
        <v>0</v>
      </c>
      <c r="D30">
        <f t="shared" si="5"/>
        <v>0</v>
      </c>
      <c r="E30">
        <f t="shared" si="6"/>
        <v>0</v>
      </c>
      <c r="H30" s="4"/>
      <c r="K30" s="77"/>
    </row>
    <row r="31" spans="1:11" ht="13.8" x14ac:dyDescent="0.3">
      <c r="A31">
        <v>56</v>
      </c>
      <c r="B31">
        <f t="shared" si="3"/>
        <v>0</v>
      </c>
      <c r="C31">
        <f t="shared" si="4"/>
        <v>0</v>
      </c>
      <c r="D31">
        <f t="shared" si="5"/>
        <v>0</v>
      </c>
      <c r="E31">
        <f t="shared" si="6"/>
        <v>0</v>
      </c>
      <c r="H31" s="4">
        <f>Npri_sec2</f>
        <v>84596.90754257908</v>
      </c>
      <c r="K31" s="17"/>
    </row>
    <row r="32" spans="1:11" x14ac:dyDescent="0.25">
      <c r="A32">
        <v>68</v>
      </c>
      <c r="B32">
        <f t="shared" si="3"/>
        <v>0</v>
      </c>
      <c r="C32">
        <f t="shared" si="4"/>
        <v>0</v>
      </c>
      <c r="D32">
        <f t="shared" si="5"/>
        <v>0</v>
      </c>
      <c r="E32">
        <f t="shared" si="6"/>
        <v>0</v>
      </c>
      <c r="H32" s="4"/>
      <c r="K32" s="77"/>
    </row>
    <row r="33" spans="1:8" x14ac:dyDescent="0.25">
      <c r="A33">
        <v>82</v>
      </c>
      <c r="B33">
        <f t="shared" si="3"/>
        <v>0</v>
      </c>
      <c r="C33">
        <f t="shared" si="4"/>
        <v>0</v>
      </c>
      <c r="D33">
        <f t="shared" si="5"/>
        <v>0</v>
      </c>
      <c r="E33">
        <f t="shared" si="6"/>
        <v>0</v>
      </c>
    </row>
    <row r="34" spans="1:8" x14ac:dyDescent="0.25">
      <c r="A34">
        <f>A22*10</f>
        <v>100</v>
      </c>
      <c r="B34">
        <f t="shared" si="3"/>
        <v>0</v>
      </c>
      <c r="C34">
        <f t="shared" si="4"/>
        <v>0</v>
      </c>
      <c r="D34">
        <f t="shared" si="5"/>
        <v>0</v>
      </c>
      <c r="E34">
        <f t="shared" si="6"/>
        <v>0</v>
      </c>
      <c r="H34" s="77"/>
    </row>
    <row r="35" spans="1:8" x14ac:dyDescent="0.25">
      <c r="A35">
        <f t="shared" ref="A35:A98" si="9">A23*10</f>
        <v>120</v>
      </c>
      <c r="B35">
        <f t="shared" si="3"/>
        <v>0</v>
      </c>
      <c r="C35">
        <f t="shared" si="4"/>
        <v>0</v>
      </c>
      <c r="D35">
        <f t="shared" si="5"/>
        <v>0</v>
      </c>
      <c r="E35">
        <f t="shared" si="6"/>
        <v>0</v>
      </c>
      <c r="H35" s="77"/>
    </row>
    <row r="36" spans="1:8" x14ac:dyDescent="0.25">
      <c r="A36">
        <f t="shared" si="9"/>
        <v>150</v>
      </c>
      <c r="B36">
        <f t="shared" si="3"/>
        <v>0</v>
      </c>
      <c r="C36">
        <f t="shared" si="4"/>
        <v>0</v>
      </c>
      <c r="D36">
        <f t="shared" si="5"/>
        <v>0</v>
      </c>
      <c r="E36">
        <f t="shared" si="6"/>
        <v>0</v>
      </c>
    </row>
    <row r="37" spans="1:8" x14ac:dyDescent="0.25">
      <c r="A37">
        <f t="shared" si="9"/>
        <v>180</v>
      </c>
      <c r="B37">
        <f t="shared" si="3"/>
        <v>0</v>
      </c>
      <c r="C37">
        <f t="shared" si="4"/>
        <v>0</v>
      </c>
      <c r="D37">
        <f t="shared" si="5"/>
        <v>0</v>
      </c>
      <c r="E37">
        <f t="shared" si="6"/>
        <v>0</v>
      </c>
    </row>
    <row r="38" spans="1:8" x14ac:dyDescent="0.25">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5">
      <c r="A39">
        <f t="shared" si="9"/>
        <v>270</v>
      </c>
      <c r="B39">
        <f t="shared" si="3"/>
        <v>0</v>
      </c>
      <c r="C39">
        <f t="shared" si="4"/>
        <v>0</v>
      </c>
      <c r="D39">
        <f t="shared" si="5"/>
        <v>0</v>
      </c>
      <c r="E39">
        <f t="shared" si="10"/>
        <v>0</v>
      </c>
    </row>
    <row r="40" spans="1:8" x14ac:dyDescent="0.25">
      <c r="A40">
        <f t="shared" si="9"/>
        <v>330</v>
      </c>
      <c r="B40">
        <f t="shared" si="3"/>
        <v>0</v>
      </c>
      <c r="C40">
        <f t="shared" si="4"/>
        <v>0</v>
      </c>
      <c r="D40">
        <f t="shared" si="5"/>
        <v>0</v>
      </c>
      <c r="E40">
        <f t="shared" si="10"/>
        <v>0</v>
      </c>
    </row>
    <row r="41" spans="1:8" x14ac:dyDescent="0.25">
      <c r="A41">
        <f t="shared" si="9"/>
        <v>390</v>
      </c>
      <c r="B41">
        <f t="shared" si="3"/>
        <v>0</v>
      </c>
      <c r="C41">
        <f t="shared" si="4"/>
        <v>0</v>
      </c>
      <c r="D41">
        <f t="shared" si="5"/>
        <v>0</v>
      </c>
      <c r="E41">
        <f t="shared" si="10"/>
        <v>0</v>
      </c>
    </row>
    <row r="42" spans="1:8" x14ac:dyDescent="0.25">
      <c r="A42">
        <f t="shared" si="9"/>
        <v>470</v>
      </c>
      <c r="B42">
        <f t="shared" si="3"/>
        <v>0</v>
      </c>
      <c r="C42">
        <f t="shared" si="4"/>
        <v>0</v>
      </c>
      <c r="D42">
        <f t="shared" si="5"/>
        <v>0</v>
      </c>
      <c r="E42">
        <f t="shared" si="10"/>
        <v>0</v>
      </c>
    </row>
    <row r="43" spans="1:8" x14ac:dyDescent="0.25">
      <c r="A43">
        <f t="shared" si="9"/>
        <v>560</v>
      </c>
      <c r="B43">
        <f t="shared" si="3"/>
        <v>0</v>
      </c>
      <c r="C43">
        <f t="shared" si="4"/>
        <v>0</v>
      </c>
      <c r="D43">
        <f t="shared" si="5"/>
        <v>0</v>
      </c>
      <c r="E43">
        <f t="shared" si="10"/>
        <v>0</v>
      </c>
    </row>
    <row r="44" spans="1:8" x14ac:dyDescent="0.25">
      <c r="A44">
        <f t="shared" si="9"/>
        <v>680</v>
      </c>
      <c r="B44">
        <f t="shared" si="3"/>
        <v>0</v>
      </c>
      <c r="C44">
        <f t="shared" si="4"/>
        <v>0</v>
      </c>
      <c r="D44">
        <f t="shared" si="5"/>
        <v>0</v>
      </c>
      <c r="E44">
        <f t="shared" si="10"/>
        <v>0</v>
      </c>
    </row>
    <row r="45" spans="1:8" x14ac:dyDescent="0.25">
      <c r="A45">
        <f>A33*10</f>
        <v>820</v>
      </c>
      <c r="B45">
        <f t="shared" si="3"/>
        <v>0</v>
      </c>
      <c r="C45">
        <f t="shared" si="4"/>
        <v>0</v>
      </c>
      <c r="D45">
        <f t="shared" si="5"/>
        <v>0</v>
      </c>
      <c r="E45">
        <f t="shared" si="10"/>
        <v>0</v>
      </c>
    </row>
    <row r="46" spans="1:8" x14ac:dyDescent="0.25">
      <c r="A46">
        <f t="shared" si="9"/>
        <v>1000</v>
      </c>
      <c r="B46">
        <f t="shared" si="3"/>
        <v>0</v>
      </c>
      <c r="C46">
        <f t="shared" si="4"/>
        <v>0</v>
      </c>
      <c r="D46">
        <f t="shared" si="5"/>
        <v>0</v>
      </c>
      <c r="E46">
        <f t="shared" si="10"/>
        <v>0</v>
      </c>
    </row>
    <row r="47" spans="1:8" x14ac:dyDescent="0.25">
      <c r="A47">
        <f t="shared" si="9"/>
        <v>1200</v>
      </c>
      <c r="B47">
        <f t="shared" si="3"/>
        <v>0</v>
      </c>
      <c r="C47">
        <f t="shared" si="4"/>
        <v>0</v>
      </c>
      <c r="D47">
        <f t="shared" si="5"/>
        <v>0</v>
      </c>
      <c r="E47">
        <f t="shared" si="10"/>
        <v>0</v>
      </c>
    </row>
    <row r="48" spans="1:8" x14ac:dyDescent="0.25">
      <c r="A48">
        <f t="shared" si="9"/>
        <v>1500</v>
      </c>
      <c r="B48">
        <f t="shared" si="3"/>
        <v>0</v>
      </c>
      <c r="C48">
        <f t="shared" si="4"/>
        <v>0</v>
      </c>
      <c r="D48">
        <f t="shared" si="5"/>
        <v>0</v>
      </c>
      <c r="E48">
        <f t="shared" si="10"/>
        <v>0</v>
      </c>
    </row>
    <row r="49" spans="1:5" x14ac:dyDescent="0.25">
      <c r="A49">
        <f t="shared" si="9"/>
        <v>1800</v>
      </c>
      <c r="B49">
        <f t="shared" si="3"/>
        <v>0</v>
      </c>
      <c r="C49">
        <f t="shared" si="4"/>
        <v>0</v>
      </c>
      <c r="D49">
        <f t="shared" si="5"/>
        <v>0</v>
      </c>
      <c r="E49">
        <f t="shared" si="10"/>
        <v>0</v>
      </c>
    </row>
    <row r="50" spans="1:5" x14ac:dyDescent="0.25">
      <c r="A50">
        <f t="shared" si="9"/>
        <v>2200</v>
      </c>
      <c r="B50">
        <f t="shared" si="3"/>
        <v>0</v>
      </c>
      <c r="C50">
        <f t="shared" si="4"/>
        <v>0</v>
      </c>
      <c r="D50">
        <f t="shared" si="5"/>
        <v>0</v>
      </c>
      <c r="E50">
        <f t="shared" si="10"/>
        <v>0</v>
      </c>
    </row>
    <row r="51" spans="1:5" x14ac:dyDescent="0.25">
      <c r="A51">
        <f t="shared" si="9"/>
        <v>2700</v>
      </c>
      <c r="B51">
        <f t="shared" si="3"/>
        <v>0</v>
      </c>
      <c r="C51">
        <f t="shared" si="4"/>
        <v>0</v>
      </c>
      <c r="D51">
        <f t="shared" si="5"/>
        <v>0</v>
      </c>
      <c r="E51">
        <f t="shared" si="10"/>
        <v>0</v>
      </c>
    </row>
    <row r="52" spans="1:5" x14ac:dyDescent="0.25">
      <c r="A52">
        <f t="shared" si="9"/>
        <v>3300</v>
      </c>
      <c r="B52">
        <f t="shared" si="3"/>
        <v>0</v>
      </c>
      <c r="C52">
        <f t="shared" si="4"/>
        <v>0</v>
      </c>
      <c r="D52">
        <f t="shared" si="5"/>
        <v>0</v>
      </c>
      <c r="E52">
        <f t="shared" si="10"/>
        <v>0</v>
      </c>
    </row>
    <row r="53" spans="1:5" x14ac:dyDescent="0.25">
      <c r="A53">
        <f t="shared" si="9"/>
        <v>3900</v>
      </c>
      <c r="B53">
        <f t="shared" si="3"/>
        <v>0</v>
      </c>
      <c r="C53">
        <f t="shared" si="4"/>
        <v>0</v>
      </c>
      <c r="D53">
        <f t="shared" si="5"/>
        <v>0</v>
      </c>
      <c r="E53">
        <f t="shared" si="10"/>
        <v>0</v>
      </c>
    </row>
    <row r="54" spans="1:5" x14ac:dyDescent="0.25">
      <c r="A54">
        <f t="shared" si="9"/>
        <v>4700</v>
      </c>
      <c r="B54">
        <f t="shared" si="3"/>
        <v>0</v>
      </c>
      <c r="C54">
        <f t="shared" si="4"/>
        <v>0</v>
      </c>
      <c r="D54">
        <f t="shared" si="5"/>
        <v>0</v>
      </c>
      <c r="E54">
        <f t="shared" si="10"/>
        <v>0</v>
      </c>
    </row>
    <row r="55" spans="1:5" x14ac:dyDescent="0.25">
      <c r="A55">
        <f t="shared" si="9"/>
        <v>5600</v>
      </c>
      <c r="B55">
        <f t="shared" si="3"/>
        <v>0</v>
      </c>
      <c r="C55">
        <f t="shared" si="4"/>
        <v>0</v>
      </c>
      <c r="D55">
        <f t="shared" si="5"/>
        <v>0</v>
      </c>
      <c r="E55">
        <f t="shared" si="10"/>
        <v>0</v>
      </c>
    </row>
    <row r="56" spans="1:5" x14ac:dyDescent="0.25">
      <c r="A56">
        <f t="shared" si="9"/>
        <v>6800</v>
      </c>
      <c r="B56">
        <f t="shared" si="3"/>
        <v>0</v>
      </c>
      <c r="C56">
        <f t="shared" si="4"/>
        <v>0</v>
      </c>
      <c r="D56">
        <f t="shared" si="5"/>
        <v>0</v>
      </c>
      <c r="E56">
        <f t="shared" si="10"/>
        <v>0</v>
      </c>
    </row>
    <row r="57" spans="1:5" x14ac:dyDescent="0.25">
      <c r="A57">
        <f t="shared" si="9"/>
        <v>8200</v>
      </c>
      <c r="B57">
        <f t="shared" si="3"/>
        <v>0</v>
      </c>
      <c r="C57">
        <f t="shared" si="4"/>
        <v>0</v>
      </c>
      <c r="D57">
        <f t="shared" si="5"/>
        <v>0</v>
      </c>
      <c r="E57">
        <f t="shared" si="10"/>
        <v>0</v>
      </c>
    </row>
    <row r="58" spans="1:5" x14ac:dyDescent="0.25">
      <c r="A58">
        <f t="shared" si="9"/>
        <v>10000</v>
      </c>
      <c r="B58">
        <f t="shared" si="3"/>
        <v>0</v>
      </c>
      <c r="C58">
        <f t="shared" si="4"/>
        <v>0</v>
      </c>
      <c r="D58">
        <f t="shared" si="5"/>
        <v>0</v>
      </c>
      <c r="E58">
        <f t="shared" si="10"/>
        <v>0</v>
      </c>
    </row>
    <row r="59" spans="1:5" x14ac:dyDescent="0.25">
      <c r="A59">
        <f t="shared" si="9"/>
        <v>12000</v>
      </c>
      <c r="B59">
        <f t="shared" si="3"/>
        <v>0</v>
      </c>
      <c r="C59">
        <f t="shared" si="4"/>
        <v>0</v>
      </c>
      <c r="D59">
        <f t="shared" si="5"/>
        <v>0</v>
      </c>
      <c r="E59">
        <f t="shared" si="10"/>
        <v>0</v>
      </c>
    </row>
    <row r="60" spans="1:5" x14ac:dyDescent="0.25">
      <c r="A60">
        <f t="shared" si="9"/>
        <v>15000</v>
      </c>
      <c r="B60">
        <f t="shared" si="3"/>
        <v>0</v>
      </c>
      <c r="C60">
        <f t="shared" si="4"/>
        <v>0</v>
      </c>
      <c r="D60">
        <f t="shared" si="5"/>
        <v>0</v>
      </c>
      <c r="E60">
        <f t="shared" si="10"/>
        <v>0</v>
      </c>
    </row>
    <row r="61" spans="1:5" x14ac:dyDescent="0.25">
      <c r="A61">
        <f t="shared" si="9"/>
        <v>18000</v>
      </c>
      <c r="B61">
        <f t="shared" si="3"/>
        <v>0</v>
      </c>
      <c r="C61">
        <f t="shared" si="4"/>
        <v>0</v>
      </c>
      <c r="D61">
        <f t="shared" si="5"/>
        <v>0</v>
      </c>
      <c r="E61">
        <f t="shared" si="10"/>
        <v>0</v>
      </c>
    </row>
    <row r="62" spans="1:5" x14ac:dyDescent="0.25">
      <c r="A62">
        <f t="shared" si="9"/>
        <v>22000</v>
      </c>
      <c r="B62">
        <f t="shared" si="3"/>
        <v>0</v>
      </c>
      <c r="C62">
        <f t="shared" si="4"/>
        <v>0</v>
      </c>
      <c r="D62">
        <f t="shared" si="5"/>
        <v>0</v>
      </c>
      <c r="E62">
        <f t="shared" si="10"/>
        <v>0</v>
      </c>
    </row>
    <row r="63" spans="1:5" x14ac:dyDescent="0.25">
      <c r="A63">
        <f t="shared" si="9"/>
        <v>27000</v>
      </c>
      <c r="B63">
        <f t="shared" si="3"/>
        <v>0</v>
      </c>
      <c r="C63">
        <f t="shared" si="4"/>
        <v>0</v>
      </c>
      <c r="D63">
        <f t="shared" si="5"/>
        <v>0</v>
      </c>
      <c r="E63">
        <f t="shared" si="10"/>
        <v>0</v>
      </c>
    </row>
    <row r="64" spans="1:5" x14ac:dyDescent="0.25">
      <c r="A64">
        <f t="shared" si="9"/>
        <v>33000</v>
      </c>
      <c r="B64">
        <f t="shared" si="3"/>
        <v>0</v>
      </c>
      <c r="C64">
        <f t="shared" si="4"/>
        <v>0</v>
      </c>
      <c r="D64">
        <f t="shared" si="5"/>
        <v>0</v>
      </c>
      <c r="E64">
        <f t="shared" si="10"/>
        <v>0</v>
      </c>
    </row>
    <row r="65" spans="1:5" x14ac:dyDescent="0.25">
      <c r="A65">
        <f t="shared" si="9"/>
        <v>39000</v>
      </c>
      <c r="B65">
        <f t="shared" si="3"/>
        <v>47000</v>
      </c>
      <c r="C65">
        <f t="shared" si="4"/>
        <v>0</v>
      </c>
      <c r="D65">
        <f t="shared" si="5"/>
        <v>0</v>
      </c>
      <c r="E65">
        <f t="shared" si="10"/>
        <v>0</v>
      </c>
    </row>
    <row r="66" spans="1:5" x14ac:dyDescent="0.25">
      <c r="A66">
        <f t="shared" si="9"/>
        <v>47000</v>
      </c>
      <c r="B66">
        <f t="shared" si="3"/>
        <v>0</v>
      </c>
      <c r="C66">
        <f t="shared" si="4"/>
        <v>0</v>
      </c>
      <c r="D66">
        <f t="shared" si="5"/>
        <v>0</v>
      </c>
      <c r="E66">
        <f t="shared" si="10"/>
        <v>0</v>
      </c>
    </row>
    <row r="67" spans="1:5" x14ac:dyDescent="0.25">
      <c r="A67">
        <f t="shared" si="9"/>
        <v>56000</v>
      </c>
      <c r="B67">
        <f t="shared" si="3"/>
        <v>0</v>
      </c>
      <c r="C67">
        <f t="shared" si="4"/>
        <v>0</v>
      </c>
      <c r="D67">
        <f t="shared" si="5"/>
        <v>0</v>
      </c>
      <c r="E67">
        <f t="shared" si="10"/>
        <v>0</v>
      </c>
    </row>
    <row r="68" spans="1:5" x14ac:dyDescent="0.25">
      <c r="A68">
        <f t="shared" si="9"/>
        <v>68000</v>
      </c>
      <c r="B68">
        <f t="shared" si="3"/>
        <v>0</v>
      </c>
      <c r="C68">
        <f t="shared" si="4"/>
        <v>0</v>
      </c>
      <c r="D68">
        <f t="shared" si="5"/>
        <v>0</v>
      </c>
      <c r="E68">
        <f t="shared" si="10"/>
        <v>0</v>
      </c>
    </row>
    <row r="69" spans="1:5" x14ac:dyDescent="0.25">
      <c r="A69">
        <f t="shared" si="9"/>
        <v>82000</v>
      </c>
      <c r="B69">
        <f t="shared" si="3"/>
        <v>0</v>
      </c>
      <c r="C69">
        <f t="shared" si="4"/>
        <v>0</v>
      </c>
      <c r="D69">
        <f t="shared" si="5"/>
        <v>0</v>
      </c>
      <c r="E69">
        <f t="shared" si="10"/>
        <v>0</v>
      </c>
    </row>
    <row r="70" spans="1:5" x14ac:dyDescent="0.25">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5">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5">
      <c r="A72">
        <f t="shared" si="9"/>
        <v>150000</v>
      </c>
      <c r="B72">
        <f t="shared" si="13"/>
        <v>0</v>
      </c>
      <c r="C72">
        <f t="shared" si="14"/>
        <v>0</v>
      </c>
      <c r="D72">
        <f t="shared" si="15"/>
        <v>0</v>
      </c>
      <c r="E72">
        <f t="shared" si="12"/>
        <v>0</v>
      </c>
    </row>
    <row r="73" spans="1:5" x14ac:dyDescent="0.25">
      <c r="A73">
        <f t="shared" si="9"/>
        <v>180000</v>
      </c>
      <c r="B73">
        <f t="shared" si="13"/>
        <v>0</v>
      </c>
      <c r="C73">
        <f t="shared" si="14"/>
        <v>0</v>
      </c>
      <c r="D73">
        <f t="shared" si="15"/>
        <v>0</v>
      </c>
      <c r="E73">
        <f t="shared" si="12"/>
        <v>0</v>
      </c>
    </row>
    <row r="74" spans="1:5" x14ac:dyDescent="0.25">
      <c r="A74">
        <f t="shared" si="9"/>
        <v>220000</v>
      </c>
      <c r="B74">
        <f t="shared" si="13"/>
        <v>0</v>
      </c>
      <c r="C74">
        <f t="shared" si="14"/>
        <v>0</v>
      </c>
      <c r="D74">
        <f t="shared" si="15"/>
        <v>0</v>
      </c>
      <c r="E74">
        <f t="shared" si="12"/>
        <v>0</v>
      </c>
    </row>
    <row r="75" spans="1:5" x14ac:dyDescent="0.25">
      <c r="A75">
        <f t="shared" si="9"/>
        <v>270000</v>
      </c>
      <c r="B75">
        <f t="shared" si="13"/>
        <v>0</v>
      </c>
      <c r="C75">
        <f t="shared" si="14"/>
        <v>0</v>
      </c>
      <c r="D75">
        <f t="shared" si="15"/>
        <v>0</v>
      </c>
      <c r="E75">
        <f t="shared" si="12"/>
        <v>0</v>
      </c>
    </row>
    <row r="76" spans="1:5" x14ac:dyDescent="0.25">
      <c r="A76">
        <f t="shared" si="9"/>
        <v>330000</v>
      </c>
      <c r="B76">
        <f t="shared" si="13"/>
        <v>0</v>
      </c>
      <c r="C76">
        <f t="shared" si="14"/>
        <v>0</v>
      </c>
      <c r="D76">
        <f t="shared" si="15"/>
        <v>0</v>
      </c>
      <c r="E76">
        <f t="shared" si="12"/>
        <v>0</v>
      </c>
    </row>
    <row r="77" spans="1:5" x14ac:dyDescent="0.25">
      <c r="A77">
        <f t="shared" si="9"/>
        <v>390000</v>
      </c>
      <c r="B77">
        <f t="shared" si="13"/>
        <v>0</v>
      </c>
      <c r="C77">
        <f t="shared" si="14"/>
        <v>0</v>
      </c>
      <c r="D77">
        <f t="shared" si="15"/>
        <v>0</v>
      </c>
      <c r="E77">
        <f t="shared" si="12"/>
        <v>0</v>
      </c>
    </row>
    <row r="78" spans="1:5" x14ac:dyDescent="0.25">
      <c r="A78">
        <f t="shared" si="9"/>
        <v>470000</v>
      </c>
      <c r="B78">
        <f t="shared" si="13"/>
        <v>0</v>
      </c>
      <c r="C78">
        <f t="shared" si="14"/>
        <v>0</v>
      </c>
      <c r="D78">
        <f t="shared" si="15"/>
        <v>0</v>
      </c>
      <c r="E78">
        <f t="shared" si="12"/>
        <v>0</v>
      </c>
    </row>
    <row r="79" spans="1:5" x14ac:dyDescent="0.25">
      <c r="A79">
        <f t="shared" si="9"/>
        <v>560000</v>
      </c>
      <c r="B79">
        <f t="shared" si="13"/>
        <v>0</v>
      </c>
      <c r="C79">
        <f t="shared" si="14"/>
        <v>0</v>
      </c>
      <c r="D79">
        <f t="shared" si="15"/>
        <v>0</v>
      </c>
      <c r="E79">
        <f t="shared" si="12"/>
        <v>0</v>
      </c>
    </row>
    <row r="80" spans="1:5" x14ac:dyDescent="0.25">
      <c r="A80">
        <f t="shared" si="9"/>
        <v>680000</v>
      </c>
      <c r="B80">
        <f t="shared" si="13"/>
        <v>0</v>
      </c>
      <c r="C80">
        <f t="shared" si="14"/>
        <v>0</v>
      </c>
      <c r="D80">
        <f t="shared" si="15"/>
        <v>0</v>
      </c>
      <c r="E80">
        <f t="shared" si="12"/>
        <v>0</v>
      </c>
    </row>
    <row r="81" spans="1:5" x14ac:dyDescent="0.25">
      <c r="A81">
        <f t="shared" si="9"/>
        <v>820000</v>
      </c>
      <c r="B81">
        <f t="shared" si="13"/>
        <v>0</v>
      </c>
      <c r="C81">
        <f t="shared" si="14"/>
        <v>0</v>
      </c>
      <c r="D81">
        <f t="shared" si="15"/>
        <v>0</v>
      </c>
      <c r="E81">
        <f t="shared" si="12"/>
        <v>0</v>
      </c>
    </row>
    <row r="82" spans="1:5" x14ac:dyDescent="0.25">
      <c r="A82">
        <f t="shared" si="9"/>
        <v>1000000</v>
      </c>
      <c r="B82">
        <f t="shared" si="13"/>
        <v>0</v>
      </c>
      <c r="C82">
        <f t="shared" si="14"/>
        <v>0</v>
      </c>
      <c r="D82">
        <f t="shared" si="15"/>
        <v>0</v>
      </c>
      <c r="E82">
        <f t="shared" si="12"/>
        <v>0</v>
      </c>
    </row>
    <row r="83" spans="1:5" x14ac:dyDescent="0.25">
      <c r="A83">
        <f t="shared" si="9"/>
        <v>1200000</v>
      </c>
      <c r="B83">
        <f t="shared" si="13"/>
        <v>0</v>
      </c>
      <c r="C83">
        <f t="shared" si="14"/>
        <v>0</v>
      </c>
      <c r="D83">
        <f t="shared" si="15"/>
        <v>0</v>
      </c>
      <c r="E83">
        <f t="shared" si="12"/>
        <v>0</v>
      </c>
    </row>
    <row r="84" spans="1:5" x14ac:dyDescent="0.25">
      <c r="A84">
        <f t="shared" si="9"/>
        <v>1500000</v>
      </c>
      <c r="B84">
        <f t="shared" si="13"/>
        <v>0</v>
      </c>
      <c r="C84">
        <f t="shared" si="14"/>
        <v>0</v>
      </c>
      <c r="D84">
        <f t="shared" si="15"/>
        <v>0</v>
      </c>
      <c r="E84">
        <f t="shared" si="12"/>
        <v>0</v>
      </c>
    </row>
    <row r="85" spans="1:5" x14ac:dyDescent="0.25">
      <c r="A85">
        <f t="shared" si="9"/>
        <v>1800000</v>
      </c>
      <c r="B85">
        <f t="shared" si="13"/>
        <v>0</v>
      </c>
      <c r="C85">
        <f t="shared" si="14"/>
        <v>0</v>
      </c>
      <c r="D85">
        <f t="shared" si="15"/>
        <v>0</v>
      </c>
      <c r="E85">
        <f t="shared" si="12"/>
        <v>0</v>
      </c>
    </row>
    <row r="86" spans="1:5" x14ac:dyDescent="0.25">
      <c r="A86">
        <f t="shared" si="9"/>
        <v>2200000</v>
      </c>
      <c r="B86">
        <f t="shared" si="13"/>
        <v>0</v>
      </c>
      <c r="C86">
        <f t="shared" si="14"/>
        <v>0</v>
      </c>
      <c r="D86">
        <f t="shared" si="15"/>
        <v>0</v>
      </c>
      <c r="E86">
        <f t="shared" si="12"/>
        <v>0</v>
      </c>
    </row>
    <row r="87" spans="1:5" x14ac:dyDescent="0.25">
      <c r="A87">
        <f t="shared" si="9"/>
        <v>2700000</v>
      </c>
      <c r="B87">
        <f t="shared" si="13"/>
        <v>0</v>
      </c>
      <c r="C87">
        <f t="shared" si="14"/>
        <v>0</v>
      </c>
      <c r="D87">
        <f t="shared" si="15"/>
        <v>0</v>
      </c>
      <c r="E87">
        <f t="shared" si="12"/>
        <v>0</v>
      </c>
    </row>
    <row r="88" spans="1:5" x14ac:dyDescent="0.25">
      <c r="A88">
        <f t="shared" si="9"/>
        <v>3300000</v>
      </c>
      <c r="B88">
        <f t="shared" si="13"/>
        <v>0</v>
      </c>
      <c r="C88">
        <f t="shared" si="14"/>
        <v>0</v>
      </c>
      <c r="D88">
        <f t="shared" si="15"/>
        <v>0</v>
      </c>
      <c r="E88">
        <f t="shared" si="12"/>
        <v>0</v>
      </c>
    </row>
    <row r="89" spans="1:5" x14ac:dyDescent="0.25">
      <c r="A89">
        <f t="shared" si="9"/>
        <v>3900000</v>
      </c>
      <c r="B89">
        <f t="shared" si="13"/>
        <v>0</v>
      </c>
      <c r="C89">
        <f t="shared" si="14"/>
        <v>0</v>
      </c>
      <c r="D89">
        <f t="shared" si="15"/>
        <v>0</v>
      </c>
      <c r="E89">
        <f t="shared" si="12"/>
        <v>0</v>
      </c>
    </row>
    <row r="90" spans="1:5" x14ac:dyDescent="0.25">
      <c r="A90">
        <f t="shared" si="9"/>
        <v>4700000</v>
      </c>
      <c r="B90">
        <f t="shared" si="13"/>
        <v>0</v>
      </c>
      <c r="C90">
        <f t="shared" si="14"/>
        <v>0</v>
      </c>
      <c r="D90">
        <f t="shared" si="15"/>
        <v>0</v>
      </c>
      <c r="E90">
        <f t="shared" si="12"/>
        <v>0</v>
      </c>
    </row>
    <row r="91" spans="1:5" x14ac:dyDescent="0.25">
      <c r="A91">
        <f t="shared" si="9"/>
        <v>5600000</v>
      </c>
      <c r="B91">
        <f t="shared" si="13"/>
        <v>0</v>
      </c>
      <c r="C91">
        <f t="shared" si="14"/>
        <v>0</v>
      </c>
      <c r="D91">
        <f t="shared" si="15"/>
        <v>0</v>
      </c>
      <c r="E91">
        <f t="shared" si="12"/>
        <v>0</v>
      </c>
    </row>
    <row r="92" spans="1:5" x14ac:dyDescent="0.25">
      <c r="A92">
        <f t="shared" si="9"/>
        <v>6800000</v>
      </c>
      <c r="B92">
        <f t="shared" si="13"/>
        <v>0</v>
      </c>
      <c r="C92">
        <f t="shared" si="14"/>
        <v>0</v>
      </c>
      <c r="D92">
        <f t="shared" si="15"/>
        <v>0</v>
      </c>
      <c r="E92">
        <f t="shared" si="12"/>
        <v>0</v>
      </c>
    </row>
    <row r="93" spans="1:5" x14ac:dyDescent="0.25">
      <c r="A93">
        <f t="shared" si="9"/>
        <v>8200000</v>
      </c>
      <c r="B93">
        <f t="shared" si="13"/>
        <v>0</v>
      </c>
      <c r="C93">
        <f t="shared" si="14"/>
        <v>0</v>
      </c>
      <c r="D93">
        <f t="shared" si="15"/>
        <v>0</v>
      </c>
      <c r="E93">
        <f t="shared" si="12"/>
        <v>0</v>
      </c>
    </row>
    <row r="94" spans="1:5" x14ac:dyDescent="0.25">
      <c r="A94">
        <f t="shared" si="9"/>
        <v>10000000</v>
      </c>
      <c r="B94">
        <f t="shared" si="13"/>
        <v>0</v>
      </c>
      <c r="C94">
        <f t="shared" si="14"/>
        <v>0</v>
      </c>
      <c r="D94">
        <f t="shared" si="15"/>
        <v>0</v>
      </c>
      <c r="E94">
        <f t="shared" si="12"/>
        <v>0</v>
      </c>
    </row>
    <row r="95" spans="1:5" x14ac:dyDescent="0.25">
      <c r="A95">
        <f t="shared" si="9"/>
        <v>12000000</v>
      </c>
      <c r="B95">
        <f t="shared" si="13"/>
        <v>0</v>
      </c>
      <c r="C95">
        <f t="shared" si="14"/>
        <v>0</v>
      </c>
      <c r="D95">
        <f t="shared" si="15"/>
        <v>0</v>
      </c>
      <c r="E95">
        <f t="shared" si="12"/>
        <v>0</v>
      </c>
    </row>
    <row r="96" spans="1:5" x14ac:dyDescent="0.25">
      <c r="A96">
        <f t="shared" si="9"/>
        <v>15000000</v>
      </c>
      <c r="B96">
        <f t="shared" si="13"/>
        <v>0</v>
      </c>
      <c r="C96">
        <f t="shared" si="14"/>
        <v>0</v>
      </c>
      <c r="D96">
        <f t="shared" si="15"/>
        <v>0</v>
      </c>
      <c r="E96">
        <f t="shared" si="12"/>
        <v>0</v>
      </c>
    </row>
    <row r="97" spans="1:5" x14ac:dyDescent="0.25">
      <c r="A97">
        <f t="shared" si="9"/>
        <v>18000000</v>
      </c>
      <c r="B97">
        <f t="shared" si="13"/>
        <v>0</v>
      </c>
      <c r="C97">
        <f t="shared" si="14"/>
        <v>0</v>
      </c>
      <c r="D97">
        <f t="shared" si="15"/>
        <v>0</v>
      </c>
      <c r="E97">
        <f t="shared" si="12"/>
        <v>0</v>
      </c>
    </row>
    <row r="98" spans="1:5" x14ac:dyDescent="0.25">
      <c r="A98">
        <f t="shared" si="9"/>
        <v>22000000</v>
      </c>
      <c r="B98">
        <f t="shared" si="13"/>
        <v>0</v>
      </c>
      <c r="C98">
        <f t="shared" si="14"/>
        <v>0</v>
      </c>
      <c r="D98">
        <f t="shared" si="15"/>
        <v>0</v>
      </c>
      <c r="E98">
        <f t="shared" si="12"/>
        <v>0</v>
      </c>
    </row>
    <row r="99" spans="1:5" x14ac:dyDescent="0.25">
      <c r="A99">
        <f t="shared" ref="A99:A159" si="16">A87*10</f>
        <v>27000000</v>
      </c>
      <c r="B99">
        <f t="shared" si="13"/>
        <v>0</v>
      </c>
      <c r="C99">
        <f t="shared" si="14"/>
        <v>0</v>
      </c>
      <c r="D99">
        <f t="shared" si="15"/>
        <v>0</v>
      </c>
      <c r="E99">
        <f t="shared" si="12"/>
        <v>0</v>
      </c>
    </row>
    <row r="100" spans="1:5" x14ac:dyDescent="0.25">
      <c r="A100">
        <f t="shared" si="16"/>
        <v>33000000</v>
      </c>
      <c r="B100">
        <f t="shared" si="13"/>
        <v>0</v>
      </c>
      <c r="C100">
        <f t="shared" si="14"/>
        <v>0</v>
      </c>
      <c r="D100">
        <f t="shared" si="15"/>
        <v>0</v>
      </c>
      <c r="E100">
        <f t="shared" si="12"/>
        <v>0</v>
      </c>
    </row>
    <row r="101" spans="1:5" x14ac:dyDescent="0.25">
      <c r="A101">
        <f t="shared" si="16"/>
        <v>39000000</v>
      </c>
      <c r="B101">
        <f t="shared" si="13"/>
        <v>0</v>
      </c>
      <c r="C101">
        <f t="shared" si="14"/>
        <v>0</v>
      </c>
      <c r="D101">
        <f t="shared" si="15"/>
        <v>0</v>
      </c>
      <c r="E101">
        <f t="shared" si="12"/>
        <v>0</v>
      </c>
    </row>
    <row r="102" spans="1:5" x14ac:dyDescent="0.25">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5">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5">
      <c r="A104">
        <f t="shared" si="16"/>
        <v>68000000</v>
      </c>
      <c r="B104">
        <f t="shared" si="13"/>
        <v>0</v>
      </c>
      <c r="C104">
        <f t="shared" si="14"/>
        <v>0</v>
      </c>
      <c r="D104">
        <f t="shared" si="18"/>
        <v>0</v>
      </c>
      <c r="E104">
        <f t="shared" si="17"/>
        <v>0</v>
      </c>
    </row>
    <row r="105" spans="1:5" x14ac:dyDescent="0.25">
      <c r="A105">
        <f t="shared" si="16"/>
        <v>82000000</v>
      </c>
      <c r="B105">
        <f t="shared" si="13"/>
        <v>0</v>
      </c>
      <c r="C105">
        <f t="shared" si="14"/>
        <v>0</v>
      </c>
      <c r="D105">
        <f t="shared" si="18"/>
        <v>0</v>
      </c>
      <c r="E105">
        <f t="shared" si="17"/>
        <v>0</v>
      </c>
    </row>
    <row r="106" spans="1:5" x14ac:dyDescent="0.25">
      <c r="A106">
        <f t="shared" si="16"/>
        <v>100000000</v>
      </c>
      <c r="B106">
        <f t="shared" si="13"/>
        <v>0</v>
      </c>
      <c r="C106">
        <f t="shared" si="14"/>
        <v>0</v>
      </c>
      <c r="D106">
        <f t="shared" si="18"/>
        <v>0</v>
      </c>
      <c r="E106">
        <f t="shared" si="17"/>
        <v>0</v>
      </c>
    </row>
    <row r="107" spans="1:5" x14ac:dyDescent="0.25">
      <c r="A107">
        <f t="shared" si="16"/>
        <v>120000000</v>
      </c>
      <c r="B107">
        <f t="shared" si="13"/>
        <v>0</v>
      </c>
      <c r="C107">
        <f t="shared" si="14"/>
        <v>0</v>
      </c>
      <c r="D107">
        <f t="shared" si="18"/>
        <v>0</v>
      </c>
      <c r="E107">
        <f t="shared" si="17"/>
        <v>0</v>
      </c>
    </row>
    <row r="108" spans="1:5" x14ac:dyDescent="0.25">
      <c r="A108">
        <f t="shared" si="16"/>
        <v>150000000</v>
      </c>
      <c r="B108">
        <f t="shared" si="13"/>
        <v>0</v>
      </c>
      <c r="C108">
        <f t="shared" si="14"/>
        <v>0</v>
      </c>
      <c r="D108">
        <f t="shared" si="18"/>
        <v>0</v>
      </c>
      <c r="E108">
        <f t="shared" si="17"/>
        <v>0</v>
      </c>
    </row>
    <row r="109" spans="1:5" x14ac:dyDescent="0.25">
      <c r="A109">
        <f t="shared" si="16"/>
        <v>180000000</v>
      </c>
      <c r="B109">
        <f t="shared" si="13"/>
        <v>0</v>
      </c>
      <c r="C109">
        <f t="shared" si="14"/>
        <v>0</v>
      </c>
      <c r="D109">
        <f t="shared" si="18"/>
        <v>0</v>
      </c>
      <c r="E109">
        <f t="shared" si="17"/>
        <v>0</v>
      </c>
    </row>
    <row r="110" spans="1:5" x14ac:dyDescent="0.25">
      <c r="A110">
        <f t="shared" si="16"/>
        <v>220000000</v>
      </c>
      <c r="B110">
        <f t="shared" si="13"/>
        <v>0</v>
      </c>
      <c r="C110">
        <f t="shared" si="14"/>
        <v>0</v>
      </c>
      <c r="D110">
        <f t="shared" si="18"/>
        <v>0</v>
      </c>
      <c r="E110">
        <f t="shared" si="17"/>
        <v>0</v>
      </c>
    </row>
    <row r="111" spans="1:5" x14ac:dyDescent="0.25">
      <c r="A111">
        <f t="shared" si="16"/>
        <v>270000000</v>
      </c>
      <c r="B111">
        <f t="shared" si="13"/>
        <v>0</v>
      </c>
      <c r="C111">
        <f t="shared" si="14"/>
        <v>0</v>
      </c>
      <c r="D111">
        <f t="shared" si="18"/>
        <v>0</v>
      </c>
      <c r="E111">
        <f t="shared" si="17"/>
        <v>0</v>
      </c>
    </row>
    <row r="112" spans="1:5" x14ac:dyDescent="0.25">
      <c r="A112">
        <f t="shared" si="16"/>
        <v>330000000</v>
      </c>
      <c r="B112">
        <f t="shared" si="13"/>
        <v>0</v>
      </c>
      <c r="C112">
        <f t="shared" si="14"/>
        <v>0</v>
      </c>
      <c r="D112">
        <f t="shared" si="18"/>
        <v>0</v>
      </c>
      <c r="E112">
        <f t="shared" si="17"/>
        <v>0</v>
      </c>
    </row>
    <row r="113" spans="1:5" x14ac:dyDescent="0.25">
      <c r="A113">
        <f t="shared" si="16"/>
        <v>390000000</v>
      </c>
      <c r="B113">
        <f t="shared" si="13"/>
        <v>0</v>
      </c>
      <c r="C113">
        <f t="shared" si="14"/>
        <v>0</v>
      </c>
      <c r="D113">
        <f t="shared" si="18"/>
        <v>0</v>
      </c>
      <c r="E113">
        <f t="shared" si="17"/>
        <v>0</v>
      </c>
    </row>
    <row r="114" spans="1:5" x14ac:dyDescent="0.25">
      <c r="A114">
        <f t="shared" si="16"/>
        <v>470000000</v>
      </c>
      <c r="B114">
        <f t="shared" si="13"/>
        <v>0</v>
      </c>
      <c r="C114">
        <f t="shared" si="14"/>
        <v>0</v>
      </c>
      <c r="D114">
        <f t="shared" si="18"/>
        <v>0</v>
      </c>
      <c r="E114">
        <f t="shared" si="17"/>
        <v>0</v>
      </c>
    </row>
    <row r="115" spans="1:5" x14ac:dyDescent="0.25">
      <c r="A115">
        <f t="shared" si="16"/>
        <v>560000000</v>
      </c>
      <c r="B115">
        <f t="shared" si="13"/>
        <v>0</v>
      </c>
      <c r="C115">
        <f t="shared" si="14"/>
        <v>0</v>
      </c>
      <c r="D115">
        <f t="shared" si="18"/>
        <v>0</v>
      </c>
      <c r="E115">
        <f t="shared" si="17"/>
        <v>0</v>
      </c>
    </row>
    <row r="116" spans="1:5" x14ac:dyDescent="0.25">
      <c r="A116">
        <f t="shared" si="16"/>
        <v>680000000</v>
      </c>
      <c r="B116">
        <f t="shared" si="13"/>
        <v>0</v>
      </c>
      <c r="C116">
        <f t="shared" si="14"/>
        <v>0</v>
      </c>
      <c r="D116">
        <f t="shared" si="18"/>
        <v>0</v>
      </c>
      <c r="E116">
        <f t="shared" si="17"/>
        <v>0</v>
      </c>
    </row>
    <row r="117" spans="1:5" x14ac:dyDescent="0.25">
      <c r="A117">
        <f t="shared" si="16"/>
        <v>820000000</v>
      </c>
      <c r="B117">
        <f t="shared" si="13"/>
        <v>0</v>
      </c>
      <c r="C117">
        <f t="shared" si="14"/>
        <v>0</v>
      </c>
      <c r="D117">
        <f t="shared" si="18"/>
        <v>0</v>
      </c>
      <c r="E117">
        <f t="shared" si="17"/>
        <v>0</v>
      </c>
    </row>
    <row r="118" spans="1:5" x14ac:dyDescent="0.25">
      <c r="A118">
        <f t="shared" si="16"/>
        <v>1000000000</v>
      </c>
      <c r="B118">
        <f t="shared" si="13"/>
        <v>0</v>
      </c>
      <c r="C118">
        <f t="shared" si="14"/>
        <v>0</v>
      </c>
      <c r="D118">
        <f t="shared" si="18"/>
        <v>0</v>
      </c>
      <c r="E118">
        <f t="shared" si="17"/>
        <v>0</v>
      </c>
    </row>
    <row r="119" spans="1:5" x14ac:dyDescent="0.25">
      <c r="A119">
        <f t="shared" si="16"/>
        <v>1200000000</v>
      </c>
      <c r="B119">
        <f t="shared" si="13"/>
        <v>0</v>
      </c>
      <c r="C119">
        <f t="shared" si="14"/>
        <v>0</v>
      </c>
      <c r="D119">
        <f t="shared" si="18"/>
        <v>0</v>
      </c>
      <c r="E119">
        <f t="shared" si="17"/>
        <v>0</v>
      </c>
    </row>
    <row r="120" spans="1:5" x14ac:dyDescent="0.25">
      <c r="A120">
        <f t="shared" si="16"/>
        <v>1500000000</v>
      </c>
      <c r="B120">
        <f t="shared" si="13"/>
        <v>0</v>
      </c>
      <c r="C120">
        <f t="shared" si="14"/>
        <v>0</v>
      </c>
      <c r="D120">
        <f t="shared" si="18"/>
        <v>0</v>
      </c>
      <c r="E120">
        <f t="shared" si="17"/>
        <v>0</v>
      </c>
    </row>
    <row r="121" spans="1:5" x14ac:dyDescent="0.25">
      <c r="A121">
        <f t="shared" si="16"/>
        <v>1800000000</v>
      </c>
      <c r="B121">
        <f t="shared" si="13"/>
        <v>0</v>
      </c>
      <c r="C121">
        <f t="shared" si="14"/>
        <v>0</v>
      </c>
      <c r="D121">
        <f t="shared" si="18"/>
        <v>0</v>
      </c>
      <c r="E121">
        <f t="shared" si="17"/>
        <v>0</v>
      </c>
    </row>
    <row r="122" spans="1:5" x14ac:dyDescent="0.25">
      <c r="A122">
        <f t="shared" si="16"/>
        <v>2200000000</v>
      </c>
      <c r="B122">
        <f t="shared" si="13"/>
        <v>0</v>
      </c>
      <c r="C122">
        <f t="shared" si="14"/>
        <v>0</v>
      </c>
      <c r="D122">
        <f t="shared" si="18"/>
        <v>0</v>
      </c>
      <c r="E122">
        <f t="shared" si="17"/>
        <v>0</v>
      </c>
    </row>
    <row r="123" spans="1:5" x14ac:dyDescent="0.25">
      <c r="A123">
        <f t="shared" si="16"/>
        <v>2700000000</v>
      </c>
      <c r="B123">
        <f t="shared" si="13"/>
        <v>0</v>
      </c>
      <c r="C123">
        <f t="shared" si="14"/>
        <v>0</v>
      </c>
      <c r="D123">
        <f t="shared" si="18"/>
        <v>0</v>
      </c>
      <c r="E123">
        <f t="shared" si="17"/>
        <v>0</v>
      </c>
    </row>
    <row r="124" spans="1:5" x14ac:dyDescent="0.25">
      <c r="A124">
        <f t="shared" si="16"/>
        <v>3300000000</v>
      </c>
      <c r="B124">
        <f t="shared" si="13"/>
        <v>0</v>
      </c>
      <c r="C124">
        <f t="shared" si="14"/>
        <v>0</v>
      </c>
      <c r="D124">
        <f t="shared" si="18"/>
        <v>0</v>
      </c>
      <c r="E124">
        <f t="shared" si="17"/>
        <v>0</v>
      </c>
    </row>
    <row r="125" spans="1:5" x14ac:dyDescent="0.25">
      <c r="A125">
        <f t="shared" si="16"/>
        <v>3900000000</v>
      </c>
      <c r="B125">
        <f t="shared" si="13"/>
        <v>0</v>
      </c>
      <c r="C125">
        <f t="shared" si="14"/>
        <v>0</v>
      </c>
      <c r="D125">
        <f t="shared" si="18"/>
        <v>0</v>
      </c>
      <c r="E125">
        <f t="shared" si="17"/>
        <v>0</v>
      </c>
    </row>
    <row r="126" spans="1:5" x14ac:dyDescent="0.25">
      <c r="A126">
        <f t="shared" si="16"/>
        <v>4700000000</v>
      </c>
      <c r="B126">
        <f t="shared" si="13"/>
        <v>0</v>
      </c>
      <c r="C126">
        <f t="shared" si="14"/>
        <v>0</v>
      </c>
      <c r="D126">
        <f t="shared" si="18"/>
        <v>0</v>
      </c>
      <c r="E126">
        <f t="shared" si="17"/>
        <v>0</v>
      </c>
    </row>
    <row r="127" spans="1:5" x14ac:dyDescent="0.25">
      <c r="A127">
        <f t="shared" si="16"/>
        <v>5600000000</v>
      </c>
      <c r="B127">
        <f t="shared" si="13"/>
        <v>0</v>
      </c>
      <c r="C127">
        <f t="shared" si="14"/>
        <v>0</v>
      </c>
      <c r="D127">
        <f t="shared" si="18"/>
        <v>0</v>
      </c>
      <c r="E127">
        <f t="shared" si="17"/>
        <v>0</v>
      </c>
    </row>
    <row r="128" spans="1:5" x14ac:dyDescent="0.25">
      <c r="A128">
        <f t="shared" si="16"/>
        <v>6800000000</v>
      </c>
      <c r="B128">
        <f t="shared" si="13"/>
        <v>0</v>
      </c>
      <c r="C128">
        <f t="shared" si="14"/>
        <v>0</v>
      </c>
      <c r="D128">
        <f t="shared" si="18"/>
        <v>0</v>
      </c>
      <c r="E128">
        <f t="shared" si="17"/>
        <v>0</v>
      </c>
    </row>
    <row r="129" spans="1:5" x14ac:dyDescent="0.25">
      <c r="A129">
        <f t="shared" si="16"/>
        <v>8200000000</v>
      </c>
      <c r="B129">
        <f t="shared" si="13"/>
        <v>0</v>
      </c>
      <c r="C129">
        <f t="shared" si="14"/>
        <v>0</v>
      </c>
      <c r="D129">
        <f t="shared" si="18"/>
        <v>0</v>
      </c>
      <c r="E129">
        <f t="shared" si="17"/>
        <v>0</v>
      </c>
    </row>
    <row r="130" spans="1:5" x14ac:dyDescent="0.25">
      <c r="A130">
        <f t="shared" si="16"/>
        <v>10000000000</v>
      </c>
      <c r="B130">
        <f t="shared" si="13"/>
        <v>0</v>
      </c>
      <c r="C130">
        <f t="shared" si="14"/>
        <v>0</v>
      </c>
      <c r="D130">
        <f t="shared" si="18"/>
        <v>0</v>
      </c>
      <c r="E130">
        <f t="shared" si="17"/>
        <v>0</v>
      </c>
    </row>
    <row r="131" spans="1:5" x14ac:dyDescent="0.25">
      <c r="A131">
        <f t="shared" si="16"/>
        <v>12000000000</v>
      </c>
      <c r="B131">
        <f t="shared" si="13"/>
        <v>0</v>
      </c>
      <c r="C131">
        <f t="shared" si="14"/>
        <v>0</v>
      </c>
      <c r="D131">
        <f t="shared" si="18"/>
        <v>0</v>
      </c>
      <c r="E131">
        <f t="shared" si="17"/>
        <v>0</v>
      </c>
    </row>
    <row r="132" spans="1:5" x14ac:dyDescent="0.25">
      <c r="A132">
        <f t="shared" si="16"/>
        <v>15000000000</v>
      </c>
      <c r="B132">
        <f t="shared" si="13"/>
        <v>0</v>
      </c>
      <c r="C132">
        <f t="shared" si="14"/>
        <v>0</v>
      </c>
      <c r="D132">
        <f t="shared" si="18"/>
        <v>0</v>
      </c>
      <c r="E132">
        <f t="shared" si="17"/>
        <v>0</v>
      </c>
    </row>
    <row r="133" spans="1:5" x14ac:dyDescent="0.25">
      <c r="A133">
        <f t="shared" si="16"/>
        <v>18000000000</v>
      </c>
      <c r="B133">
        <f t="shared" si="13"/>
        <v>0</v>
      </c>
      <c r="C133">
        <f t="shared" si="14"/>
        <v>0</v>
      </c>
      <c r="D133">
        <f t="shared" si="18"/>
        <v>0</v>
      </c>
      <c r="E133">
        <f t="shared" si="17"/>
        <v>0</v>
      </c>
    </row>
    <row r="134" spans="1:5" x14ac:dyDescent="0.25">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5">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5">
      <c r="A136">
        <f t="shared" si="16"/>
        <v>33000000000</v>
      </c>
      <c r="B136">
        <f t="shared" si="21"/>
        <v>0</v>
      </c>
      <c r="C136">
        <f t="shared" si="19"/>
        <v>0</v>
      </c>
      <c r="D136">
        <f t="shared" si="19"/>
        <v>0</v>
      </c>
      <c r="E136">
        <f t="shared" si="20"/>
        <v>0</v>
      </c>
    </row>
    <row r="137" spans="1:5" x14ac:dyDescent="0.25">
      <c r="A137">
        <f t="shared" si="16"/>
        <v>39000000000</v>
      </c>
      <c r="B137">
        <f t="shared" si="21"/>
        <v>0</v>
      </c>
      <c r="C137">
        <f t="shared" si="19"/>
        <v>0</v>
      </c>
      <c r="D137">
        <f t="shared" si="19"/>
        <v>0</v>
      </c>
      <c r="E137">
        <f t="shared" si="20"/>
        <v>0</v>
      </c>
    </row>
    <row r="138" spans="1:5" x14ac:dyDescent="0.25">
      <c r="A138">
        <f t="shared" si="16"/>
        <v>47000000000</v>
      </c>
      <c r="B138">
        <f t="shared" si="21"/>
        <v>0</v>
      </c>
      <c r="C138">
        <f t="shared" si="19"/>
        <v>0</v>
      </c>
      <c r="D138">
        <f t="shared" si="19"/>
        <v>0</v>
      </c>
      <c r="E138">
        <f t="shared" si="20"/>
        <v>0</v>
      </c>
    </row>
    <row r="139" spans="1:5" x14ac:dyDescent="0.25">
      <c r="A139">
        <f t="shared" si="16"/>
        <v>56000000000</v>
      </c>
      <c r="B139">
        <f t="shared" si="21"/>
        <v>0</v>
      </c>
      <c r="C139">
        <f t="shared" si="19"/>
        <v>0</v>
      </c>
      <c r="D139">
        <f t="shared" si="19"/>
        <v>0</v>
      </c>
      <c r="E139">
        <f t="shared" si="20"/>
        <v>0</v>
      </c>
    </row>
    <row r="140" spans="1:5" x14ac:dyDescent="0.25">
      <c r="A140">
        <f t="shared" si="16"/>
        <v>68000000000</v>
      </c>
      <c r="B140">
        <f t="shared" si="21"/>
        <v>0</v>
      </c>
      <c r="C140">
        <f t="shared" si="19"/>
        <v>0</v>
      </c>
      <c r="D140">
        <f t="shared" si="19"/>
        <v>0</v>
      </c>
      <c r="E140">
        <f t="shared" si="20"/>
        <v>0</v>
      </c>
    </row>
    <row r="141" spans="1:5" x14ac:dyDescent="0.25">
      <c r="A141">
        <f t="shared" si="16"/>
        <v>82000000000</v>
      </c>
      <c r="B141">
        <f t="shared" si="21"/>
        <v>0</v>
      </c>
      <c r="C141">
        <f t="shared" si="19"/>
        <v>0</v>
      </c>
      <c r="D141">
        <f t="shared" si="19"/>
        <v>0</v>
      </c>
      <c r="E141">
        <f t="shared" si="20"/>
        <v>0</v>
      </c>
    </row>
    <row r="142" spans="1:5" x14ac:dyDescent="0.25">
      <c r="A142">
        <f t="shared" si="16"/>
        <v>100000000000</v>
      </c>
      <c r="B142">
        <f t="shared" si="21"/>
        <v>0</v>
      </c>
      <c r="C142">
        <f t="shared" si="19"/>
        <v>0</v>
      </c>
      <c r="D142">
        <f t="shared" si="19"/>
        <v>0</v>
      </c>
      <c r="E142">
        <f t="shared" si="20"/>
        <v>0</v>
      </c>
    </row>
    <row r="143" spans="1:5" x14ac:dyDescent="0.25">
      <c r="A143">
        <f t="shared" si="16"/>
        <v>120000000000</v>
      </c>
      <c r="B143">
        <f t="shared" si="21"/>
        <v>0</v>
      </c>
      <c r="C143">
        <f t="shared" si="19"/>
        <v>0</v>
      </c>
      <c r="D143">
        <f t="shared" si="19"/>
        <v>0</v>
      </c>
      <c r="E143">
        <f t="shared" si="20"/>
        <v>0</v>
      </c>
    </row>
    <row r="144" spans="1:5" x14ac:dyDescent="0.25">
      <c r="A144">
        <f t="shared" si="16"/>
        <v>150000000000</v>
      </c>
      <c r="B144">
        <f t="shared" si="21"/>
        <v>0</v>
      </c>
      <c r="C144">
        <f t="shared" si="19"/>
        <v>0</v>
      </c>
      <c r="D144">
        <f t="shared" si="19"/>
        <v>0</v>
      </c>
      <c r="E144">
        <f t="shared" si="20"/>
        <v>0</v>
      </c>
    </row>
    <row r="145" spans="1:5" x14ac:dyDescent="0.25">
      <c r="A145">
        <f t="shared" si="16"/>
        <v>180000000000</v>
      </c>
      <c r="B145">
        <f t="shared" si="21"/>
        <v>0</v>
      </c>
      <c r="C145">
        <f t="shared" si="19"/>
        <v>0</v>
      </c>
      <c r="D145">
        <f t="shared" si="19"/>
        <v>0</v>
      </c>
      <c r="E145">
        <f t="shared" si="20"/>
        <v>0</v>
      </c>
    </row>
    <row r="146" spans="1:5" x14ac:dyDescent="0.25">
      <c r="A146">
        <f t="shared" si="16"/>
        <v>220000000000</v>
      </c>
      <c r="B146">
        <f t="shared" si="21"/>
        <v>0</v>
      </c>
      <c r="C146">
        <f t="shared" si="19"/>
        <v>0</v>
      </c>
      <c r="D146">
        <f t="shared" si="19"/>
        <v>0</v>
      </c>
      <c r="E146">
        <f t="shared" si="20"/>
        <v>0</v>
      </c>
    </row>
    <row r="147" spans="1:5" x14ac:dyDescent="0.25">
      <c r="A147">
        <f t="shared" si="16"/>
        <v>270000000000</v>
      </c>
      <c r="B147">
        <f t="shared" si="21"/>
        <v>0</v>
      </c>
      <c r="C147">
        <f t="shared" si="19"/>
        <v>0</v>
      </c>
      <c r="D147">
        <f t="shared" si="19"/>
        <v>0</v>
      </c>
      <c r="E147">
        <f t="shared" si="20"/>
        <v>0</v>
      </c>
    </row>
    <row r="148" spans="1:5" x14ac:dyDescent="0.25">
      <c r="A148">
        <f t="shared" si="16"/>
        <v>330000000000</v>
      </c>
      <c r="B148">
        <f t="shared" si="21"/>
        <v>0</v>
      </c>
      <c r="C148">
        <f t="shared" si="19"/>
        <v>0</v>
      </c>
      <c r="D148">
        <f t="shared" si="19"/>
        <v>0</v>
      </c>
      <c r="E148">
        <f t="shared" si="20"/>
        <v>0</v>
      </c>
    </row>
    <row r="149" spans="1:5" x14ac:dyDescent="0.25">
      <c r="A149">
        <f t="shared" si="16"/>
        <v>390000000000</v>
      </c>
      <c r="B149">
        <f t="shared" si="21"/>
        <v>0</v>
      </c>
      <c r="C149">
        <f t="shared" si="19"/>
        <v>0</v>
      </c>
      <c r="D149">
        <f t="shared" si="19"/>
        <v>0</v>
      </c>
      <c r="E149">
        <f t="shared" si="20"/>
        <v>0</v>
      </c>
    </row>
    <row r="150" spans="1:5" x14ac:dyDescent="0.25">
      <c r="A150">
        <f t="shared" si="16"/>
        <v>470000000000</v>
      </c>
      <c r="B150">
        <f t="shared" si="21"/>
        <v>0</v>
      </c>
      <c r="C150">
        <f t="shared" si="19"/>
        <v>0</v>
      </c>
      <c r="D150">
        <f t="shared" si="19"/>
        <v>0</v>
      </c>
      <c r="E150">
        <f t="shared" si="20"/>
        <v>0</v>
      </c>
    </row>
    <row r="151" spans="1:5" x14ac:dyDescent="0.25">
      <c r="A151">
        <f t="shared" si="16"/>
        <v>560000000000</v>
      </c>
      <c r="B151">
        <f t="shared" si="21"/>
        <v>0</v>
      </c>
      <c r="C151">
        <f t="shared" si="19"/>
        <v>0</v>
      </c>
      <c r="D151">
        <f t="shared" si="19"/>
        <v>0</v>
      </c>
      <c r="E151">
        <f t="shared" si="20"/>
        <v>0</v>
      </c>
    </row>
    <row r="152" spans="1:5" x14ac:dyDescent="0.25">
      <c r="A152">
        <f t="shared" si="16"/>
        <v>680000000000</v>
      </c>
      <c r="B152">
        <f t="shared" si="21"/>
        <v>0</v>
      </c>
      <c r="C152">
        <f t="shared" si="19"/>
        <v>0</v>
      </c>
      <c r="D152">
        <f t="shared" si="19"/>
        <v>0</v>
      </c>
      <c r="E152">
        <f t="shared" si="20"/>
        <v>0</v>
      </c>
    </row>
    <row r="153" spans="1:5" x14ac:dyDescent="0.25">
      <c r="A153">
        <f t="shared" si="16"/>
        <v>820000000000</v>
      </c>
      <c r="B153">
        <f t="shared" si="21"/>
        <v>0</v>
      </c>
      <c r="C153">
        <f t="shared" si="19"/>
        <v>0</v>
      </c>
      <c r="D153">
        <f t="shared" si="19"/>
        <v>0</v>
      </c>
      <c r="E153">
        <f t="shared" si="20"/>
        <v>0</v>
      </c>
    </row>
    <row r="154" spans="1:5" x14ac:dyDescent="0.25">
      <c r="A154">
        <f t="shared" si="16"/>
        <v>1000000000000</v>
      </c>
      <c r="B154">
        <f t="shared" si="21"/>
        <v>0</v>
      </c>
      <c r="C154">
        <f t="shared" si="19"/>
        <v>0</v>
      </c>
      <c r="D154">
        <f t="shared" si="19"/>
        <v>0</v>
      </c>
      <c r="E154">
        <f t="shared" si="20"/>
        <v>0</v>
      </c>
    </row>
    <row r="155" spans="1:5" x14ac:dyDescent="0.25">
      <c r="A155">
        <f t="shared" si="16"/>
        <v>1200000000000</v>
      </c>
      <c r="B155">
        <f t="shared" si="21"/>
        <v>0</v>
      </c>
      <c r="C155">
        <f t="shared" si="19"/>
        <v>0</v>
      </c>
      <c r="D155">
        <f t="shared" si="19"/>
        <v>0</v>
      </c>
      <c r="E155">
        <f t="shared" si="20"/>
        <v>0</v>
      </c>
    </row>
    <row r="156" spans="1:5" x14ac:dyDescent="0.25">
      <c r="A156">
        <f t="shared" si="16"/>
        <v>1500000000000</v>
      </c>
      <c r="B156">
        <f t="shared" si="21"/>
        <v>0</v>
      </c>
      <c r="C156">
        <f t="shared" si="19"/>
        <v>0</v>
      </c>
      <c r="D156">
        <f t="shared" si="19"/>
        <v>0</v>
      </c>
      <c r="E156">
        <f t="shared" si="20"/>
        <v>0</v>
      </c>
    </row>
    <row r="157" spans="1:5" x14ac:dyDescent="0.25">
      <c r="A157">
        <f t="shared" si="16"/>
        <v>1800000000000</v>
      </c>
      <c r="B157">
        <f t="shared" si="21"/>
        <v>0</v>
      </c>
      <c r="C157">
        <f t="shared" si="19"/>
        <v>0</v>
      </c>
      <c r="D157">
        <f t="shared" si="19"/>
        <v>0</v>
      </c>
      <c r="E157">
        <f t="shared" si="20"/>
        <v>0</v>
      </c>
    </row>
    <row r="158" spans="1:5" x14ac:dyDescent="0.25">
      <c r="A158">
        <f t="shared" si="16"/>
        <v>2200000000000</v>
      </c>
      <c r="B158">
        <f t="shared" si="21"/>
        <v>0</v>
      </c>
      <c r="C158">
        <f t="shared" si="19"/>
        <v>0</v>
      </c>
      <c r="D158">
        <f t="shared" si="19"/>
        <v>0</v>
      </c>
      <c r="E158">
        <f t="shared" si="20"/>
        <v>0</v>
      </c>
    </row>
    <row r="159" spans="1:5" x14ac:dyDescent="0.25">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U55"/>
  <sheetViews>
    <sheetView zoomScale="70" zoomScaleNormal="70" workbookViewId="0">
      <selection activeCell="J20" sqref="J20"/>
    </sheetView>
  </sheetViews>
  <sheetFormatPr baseColWidth="10" defaultColWidth="8.88671875" defaultRowHeight="13.2" x14ac:dyDescent="0.25"/>
  <cols>
    <col min="1" max="1" width="9.5546875" style="115" customWidth="1"/>
    <col min="2" max="2" width="11.44140625" style="115" customWidth="1"/>
    <col min="3" max="3" width="13.44140625" style="115" customWidth="1"/>
    <col min="4" max="4" width="20.21875" style="115" customWidth="1"/>
    <col min="5" max="5" width="17.21875" style="115" customWidth="1"/>
    <col min="6" max="6" width="13.5546875" style="115" customWidth="1"/>
    <col min="7" max="7" width="16.21875" style="115" customWidth="1"/>
    <col min="8" max="8" width="18.21875" style="115" customWidth="1"/>
    <col min="9" max="9" width="10.77734375" style="115" customWidth="1"/>
    <col min="10" max="10" width="15.77734375" style="115" customWidth="1"/>
    <col min="11" max="11" width="11.77734375" style="471" customWidth="1"/>
    <col min="12" max="12" width="7.77734375" style="470" customWidth="1"/>
    <col min="13" max="13" width="11.77734375" style="115" customWidth="1"/>
    <col min="14" max="254" width="9.21875" style="115"/>
    <col min="255" max="255" width="8.77734375" style="115" bestFit="1" customWidth="1"/>
    <col min="256" max="256" width="13.21875" style="115" customWidth="1"/>
    <col min="257" max="257" width="16.21875" style="115" bestFit="1" customWidth="1"/>
    <col min="258" max="258" width="23.5546875" style="115" customWidth="1"/>
    <col min="259" max="259" width="17.21875" style="115" customWidth="1"/>
    <col min="260" max="260" width="20.5546875" style="115" bestFit="1" customWidth="1"/>
    <col min="261" max="261" width="17.21875" style="115" customWidth="1"/>
    <col min="262" max="262" width="21.77734375" style="115" bestFit="1" customWidth="1"/>
    <col min="263" max="263" width="17.21875" style="115" bestFit="1" customWidth="1"/>
    <col min="264" max="264" width="18.21875" style="115" bestFit="1" customWidth="1"/>
    <col min="265" max="265" width="26.44140625" style="115" customWidth="1"/>
    <col min="266" max="510" width="9.21875" style="115"/>
    <col min="511" max="511" width="8.77734375" style="115" bestFit="1" customWidth="1"/>
    <col min="512" max="512" width="13.21875" style="115" customWidth="1"/>
    <col min="513" max="513" width="16.21875" style="115" bestFit="1" customWidth="1"/>
    <col min="514" max="514" width="23.5546875" style="115" customWidth="1"/>
    <col min="515" max="515" width="17.21875" style="115" customWidth="1"/>
    <col min="516" max="516" width="20.5546875" style="115" bestFit="1" customWidth="1"/>
    <col min="517" max="517" width="17.21875" style="115" customWidth="1"/>
    <col min="518" max="518" width="21.77734375" style="115" bestFit="1" customWidth="1"/>
    <col min="519" max="519" width="17.21875" style="115" bestFit="1" customWidth="1"/>
    <col min="520" max="520" width="18.21875" style="115" bestFit="1" customWidth="1"/>
    <col min="521" max="521" width="26.44140625" style="115" customWidth="1"/>
    <col min="522" max="766" width="9.21875" style="115"/>
    <col min="767" max="767" width="8.77734375" style="115" bestFit="1" customWidth="1"/>
    <col min="768" max="768" width="13.21875" style="115" customWidth="1"/>
    <col min="769" max="769" width="16.21875" style="115" bestFit="1" customWidth="1"/>
    <col min="770" max="770" width="23.5546875" style="115" customWidth="1"/>
    <col min="771" max="771" width="17.21875" style="115" customWidth="1"/>
    <col min="772" max="772" width="20.5546875" style="115" bestFit="1" customWidth="1"/>
    <col min="773" max="773" width="17.21875" style="115" customWidth="1"/>
    <col min="774" max="774" width="21.77734375" style="115" bestFit="1" customWidth="1"/>
    <col min="775" max="775" width="17.21875" style="115" bestFit="1" customWidth="1"/>
    <col min="776" max="776" width="18.21875" style="115" bestFit="1" customWidth="1"/>
    <col min="777" max="777" width="26.44140625" style="115" customWidth="1"/>
    <col min="778" max="1022" width="9.21875" style="115"/>
    <col min="1023" max="1023" width="8.77734375" style="115" bestFit="1" customWidth="1"/>
    <col min="1024" max="1024" width="13.21875" style="115" customWidth="1"/>
    <col min="1025" max="1025" width="16.21875" style="115" bestFit="1" customWidth="1"/>
    <col min="1026" max="1026" width="23.5546875" style="115" customWidth="1"/>
    <col min="1027" max="1027" width="17.21875" style="115" customWidth="1"/>
    <col min="1028" max="1028" width="20.5546875" style="115" bestFit="1" customWidth="1"/>
    <col min="1029" max="1029" width="17.21875" style="115" customWidth="1"/>
    <col min="1030" max="1030" width="21.77734375" style="115" bestFit="1" customWidth="1"/>
    <col min="1031" max="1031" width="17.21875" style="115" bestFit="1" customWidth="1"/>
    <col min="1032" max="1032" width="18.21875" style="115" bestFit="1" customWidth="1"/>
    <col min="1033" max="1033" width="26.44140625" style="115" customWidth="1"/>
    <col min="1034" max="1278" width="9.21875" style="115"/>
    <col min="1279" max="1279" width="8.77734375" style="115" bestFit="1" customWidth="1"/>
    <col min="1280" max="1280" width="13.21875" style="115" customWidth="1"/>
    <col min="1281" max="1281" width="16.21875" style="115" bestFit="1" customWidth="1"/>
    <col min="1282" max="1282" width="23.5546875" style="115" customWidth="1"/>
    <col min="1283" max="1283" width="17.21875" style="115" customWidth="1"/>
    <col min="1284" max="1284" width="20.5546875" style="115" bestFit="1" customWidth="1"/>
    <col min="1285" max="1285" width="17.21875" style="115" customWidth="1"/>
    <col min="1286" max="1286" width="21.77734375" style="115" bestFit="1" customWidth="1"/>
    <col min="1287" max="1287" width="17.21875" style="115" bestFit="1" customWidth="1"/>
    <col min="1288" max="1288" width="18.21875" style="115" bestFit="1" customWidth="1"/>
    <col min="1289" max="1289" width="26.44140625" style="115" customWidth="1"/>
    <col min="1290" max="1534" width="9.21875" style="115"/>
    <col min="1535" max="1535" width="8.77734375" style="115" bestFit="1" customWidth="1"/>
    <col min="1536" max="1536" width="13.21875" style="115" customWidth="1"/>
    <col min="1537" max="1537" width="16.21875" style="115" bestFit="1" customWidth="1"/>
    <col min="1538" max="1538" width="23.5546875" style="115" customWidth="1"/>
    <col min="1539" max="1539" width="17.21875" style="115" customWidth="1"/>
    <col min="1540" max="1540" width="20.5546875" style="115" bestFit="1" customWidth="1"/>
    <col min="1541" max="1541" width="17.21875" style="115" customWidth="1"/>
    <col min="1542" max="1542" width="21.77734375" style="115" bestFit="1" customWidth="1"/>
    <col min="1543" max="1543" width="17.21875" style="115" bestFit="1" customWidth="1"/>
    <col min="1544" max="1544" width="18.21875" style="115" bestFit="1" customWidth="1"/>
    <col min="1545" max="1545" width="26.44140625" style="115" customWidth="1"/>
    <col min="1546" max="1790" width="9.21875" style="115"/>
    <col min="1791" max="1791" width="8.77734375" style="115" bestFit="1" customWidth="1"/>
    <col min="1792" max="1792" width="13.21875" style="115" customWidth="1"/>
    <col min="1793" max="1793" width="16.21875" style="115" bestFit="1" customWidth="1"/>
    <col min="1794" max="1794" width="23.5546875" style="115" customWidth="1"/>
    <col min="1795" max="1795" width="17.21875" style="115" customWidth="1"/>
    <col min="1796" max="1796" width="20.5546875" style="115" bestFit="1" customWidth="1"/>
    <col min="1797" max="1797" width="17.21875" style="115" customWidth="1"/>
    <col min="1798" max="1798" width="21.77734375" style="115" bestFit="1" customWidth="1"/>
    <col min="1799" max="1799" width="17.21875" style="115" bestFit="1" customWidth="1"/>
    <col min="1800" max="1800" width="18.21875" style="115" bestFit="1" customWidth="1"/>
    <col min="1801" max="1801" width="26.44140625" style="115" customWidth="1"/>
    <col min="1802" max="2046" width="9.21875" style="115"/>
    <col min="2047" max="2047" width="8.77734375" style="115" bestFit="1" customWidth="1"/>
    <col min="2048" max="2048" width="13.21875" style="115" customWidth="1"/>
    <col min="2049" max="2049" width="16.21875" style="115" bestFit="1" customWidth="1"/>
    <col min="2050" max="2050" width="23.5546875" style="115" customWidth="1"/>
    <col min="2051" max="2051" width="17.21875" style="115" customWidth="1"/>
    <col min="2052" max="2052" width="20.5546875" style="115" bestFit="1" customWidth="1"/>
    <col min="2053" max="2053" width="17.21875" style="115" customWidth="1"/>
    <col min="2054" max="2054" width="21.77734375" style="115" bestFit="1" customWidth="1"/>
    <col min="2055" max="2055" width="17.21875" style="115" bestFit="1" customWidth="1"/>
    <col min="2056" max="2056" width="18.21875" style="115" bestFit="1" customWidth="1"/>
    <col min="2057" max="2057" width="26.44140625" style="115" customWidth="1"/>
    <col min="2058" max="2302" width="9.21875" style="115"/>
    <col min="2303" max="2303" width="8.77734375" style="115" bestFit="1" customWidth="1"/>
    <col min="2304" max="2304" width="13.21875" style="115" customWidth="1"/>
    <col min="2305" max="2305" width="16.21875" style="115" bestFit="1" customWidth="1"/>
    <col min="2306" max="2306" width="23.5546875" style="115" customWidth="1"/>
    <col min="2307" max="2307" width="17.21875" style="115" customWidth="1"/>
    <col min="2308" max="2308" width="20.5546875" style="115" bestFit="1" customWidth="1"/>
    <col min="2309" max="2309" width="17.21875" style="115" customWidth="1"/>
    <col min="2310" max="2310" width="21.77734375" style="115" bestFit="1" customWidth="1"/>
    <col min="2311" max="2311" width="17.21875" style="115" bestFit="1" customWidth="1"/>
    <col min="2312" max="2312" width="18.21875" style="115" bestFit="1" customWidth="1"/>
    <col min="2313" max="2313" width="26.44140625" style="115" customWidth="1"/>
    <col min="2314" max="2558" width="9.21875" style="115"/>
    <col min="2559" max="2559" width="8.77734375" style="115" bestFit="1" customWidth="1"/>
    <col min="2560" max="2560" width="13.21875" style="115" customWidth="1"/>
    <col min="2561" max="2561" width="16.21875" style="115" bestFit="1" customWidth="1"/>
    <col min="2562" max="2562" width="23.5546875" style="115" customWidth="1"/>
    <col min="2563" max="2563" width="17.21875" style="115" customWidth="1"/>
    <col min="2564" max="2564" width="20.5546875" style="115" bestFit="1" customWidth="1"/>
    <col min="2565" max="2565" width="17.21875" style="115" customWidth="1"/>
    <col min="2566" max="2566" width="21.77734375" style="115" bestFit="1" customWidth="1"/>
    <col min="2567" max="2567" width="17.21875" style="115" bestFit="1" customWidth="1"/>
    <col min="2568" max="2568" width="18.21875" style="115" bestFit="1" customWidth="1"/>
    <col min="2569" max="2569" width="26.44140625" style="115" customWidth="1"/>
    <col min="2570" max="2814" width="9.21875" style="115"/>
    <col min="2815" max="2815" width="8.77734375" style="115" bestFit="1" customWidth="1"/>
    <col min="2816" max="2816" width="13.21875" style="115" customWidth="1"/>
    <col min="2817" max="2817" width="16.21875" style="115" bestFit="1" customWidth="1"/>
    <col min="2818" max="2818" width="23.5546875" style="115" customWidth="1"/>
    <col min="2819" max="2819" width="17.21875" style="115" customWidth="1"/>
    <col min="2820" max="2820" width="20.5546875" style="115" bestFit="1" customWidth="1"/>
    <col min="2821" max="2821" width="17.21875" style="115" customWidth="1"/>
    <col min="2822" max="2822" width="21.77734375" style="115" bestFit="1" customWidth="1"/>
    <col min="2823" max="2823" width="17.21875" style="115" bestFit="1" customWidth="1"/>
    <col min="2824" max="2824" width="18.21875" style="115" bestFit="1" customWidth="1"/>
    <col min="2825" max="2825" width="26.44140625" style="115" customWidth="1"/>
    <col min="2826" max="3070" width="9.21875" style="115"/>
    <col min="3071" max="3071" width="8.77734375" style="115" bestFit="1" customWidth="1"/>
    <col min="3072" max="3072" width="13.21875" style="115" customWidth="1"/>
    <col min="3073" max="3073" width="16.21875" style="115" bestFit="1" customWidth="1"/>
    <col min="3074" max="3074" width="23.5546875" style="115" customWidth="1"/>
    <col min="3075" max="3075" width="17.21875" style="115" customWidth="1"/>
    <col min="3076" max="3076" width="20.5546875" style="115" bestFit="1" customWidth="1"/>
    <col min="3077" max="3077" width="17.21875" style="115" customWidth="1"/>
    <col min="3078" max="3078" width="21.77734375" style="115" bestFit="1" customWidth="1"/>
    <col min="3079" max="3079" width="17.21875" style="115" bestFit="1" customWidth="1"/>
    <col min="3080" max="3080" width="18.21875" style="115" bestFit="1" customWidth="1"/>
    <col min="3081" max="3081" width="26.44140625" style="115" customWidth="1"/>
    <col min="3082" max="3326" width="9.21875" style="115"/>
    <col min="3327" max="3327" width="8.77734375" style="115" bestFit="1" customWidth="1"/>
    <col min="3328" max="3328" width="13.21875" style="115" customWidth="1"/>
    <col min="3329" max="3329" width="16.21875" style="115" bestFit="1" customWidth="1"/>
    <col min="3330" max="3330" width="23.5546875" style="115" customWidth="1"/>
    <col min="3331" max="3331" width="17.21875" style="115" customWidth="1"/>
    <col min="3332" max="3332" width="20.5546875" style="115" bestFit="1" customWidth="1"/>
    <col min="3333" max="3333" width="17.21875" style="115" customWidth="1"/>
    <col min="3334" max="3334" width="21.77734375" style="115" bestFit="1" customWidth="1"/>
    <col min="3335" max="3335" width="17.21875" style="115" bestFit="1" customWidth="1"/>
    <col min="3336" max="3336" width="18.21875" style="115" bestFit="1" customWidth="1"/>
    <col min="3337" max="3337" width="26.44140625" style="115" customWidth="1"/>
    <col min="3338" max="3582" width="9.21875" style="115"/>
    <col min="3583" max="3583" width="8.77734375" style="115" bestFit="1" customWidth="1"/>
    <col min="3584" max="3584" width="13.21875" style="115" customWidth="1"/>
    <col min="3585" max="3585" width="16.21875" style="115" bestFit="1" customWidth="1"/>
    <col min="3586" max="3586" width="23.5546875" style="115" customWidth="1"/>
    <col min="3587" max="3587" width="17.21875" style="115" customWidth="1"/>
    <col min="3588" max="3588" width="20.5546875" style="115" bestFit="1" customWidth="1"/>
    <col min="3589" max="3589" width="17.21875" style="115" customWidth="1"/>
    <col min="3590" max="3590" width="21.77734375" style="115" bestFit="1" customWidth="1"/>
    <col min="3591" max="3591" width="17.21875" style="115" bestFit="1" customWidth="1"/>
    <col min="3592" max="3592" width="18.21875" style="115" bestFit="1" customWidth="1"/>
    <col min="3593" max="3593" width="26.44140625" style="115" customWidth="1"/>
    <col min="3594" max="3838" width="9.21875" style="115"/>
    <col min="3839" max="3839" width="8.77734375" style="115" bestFit="1" customWidth="1"/>
    <col min="3840" max="3840" width="13.21875" style="115" customWidth="1"/>
    <col min="3841" max="3841" width="16.21875" style="115" bestFit="1" customWidth="1"/>
    <col min="3842" max="3842" width="23.5546875" style="115" customWidth="1"/>
    <col min="3843" max="3843" width="17.21875" style="115" customWidth="1"/>
    <col min="3844" max="3844" width="20.5546875" style="115" bestFit="1" customWidth="1"/>
    <col min="3845" max="3845" width="17.21875" style="115" customWidth="1"/>
    <col min="3846" max="3846" width="21.77734375" style="115" bestFit="1" customWidth="1"/>
    <col min="3847" max="3847" width="17.21875" style="115" bestFit="1" customWidth="1"/>
    <col min="3848" max="3848" width="18.21875" style="115" bestFit="1" customWidth="1"/>
    <col min="3849" max="3849" width="26.44140625" style="115" customWidth="1"/>
    <col min="3850" max="4094" width="9.21875" style="115"/>
    <col min="4095" max="4095" width="8.77734375" style="115" bestFit="1" customWidth="1"/>
    <col min="4096" max="4096" width="13.21875" style="115" customWidth="1"/>
    <col min="4097" max="4097" width="16.21875" style="115" bestFit="1" customWidth="1"/>
    <col min="4098" max="4098" width="23.5546875" style="115" customWidth="1"/>
    <col min="4099" max="4099" width="17.21875" style="115" customWidth="1"/>
    <col min="4100" max="4100" width="20.5546875" style="115" bestFit="1" customWidth="1"/>
    <col min="4101" max="4101" width="17.21875" style="115" customWidth="1"/>
    <col min="4102" max="4102" width="21.77734375" style="115" bestFit="1" customWidth="1"/>
    <col min="4103" max="4103" width="17.21875" style="115" bestFit="1" customWidth="1"/>
    <col min="4104" max="4104" width="18.21875" style="115" bestFit="1" customWidth="1"/>
    <col min="4105" max="4105" width="26.44140625" style="115" customWidth="1"/>
    <col min="4106" max="4350" width="9.21875" style="115"/>
    <col min="4351" max="4351" width="8.77734375" style="115" bestFit="1" customWidth="1"/>
    <col min="4352" max="4352" width="13.21875" style="115" customWidth="1"/>
    <col min="4353" max="4353" width="16.21875" style="115" bestFit="1" customWidth="1"/>
    <col min="4354" max="4354" width="23.5546875" style="115" customWidth="1"/>
    <col min="4355" max="4355" width="17.21875" style="115" customWidth="1"/>
    <col min="4356" max="4356" width="20.5546875" style="115" bestFit="1" customWidth="1"/>
    <col min="4357" max="4357" width="17.21875" style="115" customWidth="1"/>
    <col min="4358" max="4358" width="21.77734375" style="115" bestFit="1" customWidth="1"/>
    <col min="4359" max="4359" width="17.21875" style="115" bestFit="1" customWidth="1"/>
    <col min="4360" max="4360" width="18.21875" style="115" bestFit="1" customWidth="1"/>
    <col min="4361" max="4361" width="26.44140625" style="115" customWidth="1"/>
    <col min="4362" max="4606" width="9.21875" style="115"/>
    <col min="4607" max="4607" width="8.77734375" style="115" bestFit="1" customWidth="1"/>
    <col min="4608" max="4608" width="13.21875" style="115" customWidth="1"/>
    <col min="4609" max="4609" width="16.21875" style="115" bestFit="1" customWidth="1"/>
    <col min="4610" max="4610" width="23.5546875" style="115" customWidth="1"/>
    <col min="4611" max="4611" width="17.21875" style="115" customWidth="1"/>
    <col min="4612" max="4612" width="20.5546875" style="115" bestFit="1" customWidth="1"/>
    <col min="4613" max="4613" width="17.21875" style="115" customWidth="1"/>
    <col min="4614" max="4614" width="21.77734375" style="115" bestFit="1" customWidth="1"/>
    <col min="4615" max="4615" width="17.21875" style="115" bestFit="1" customWidth="1"/>
    <col min="4616" max="4616" width="18.21875" style="115" bestFit="1" customWidth="1"/>
    <col min="4617" max="4617" width="26.44140625" style="115" customWidth="1"/>
    <col min="4618" max="4862" width="9.21875" style="115"/>
    <col min="4863" max="4863" width="8.77734375" style="115" bestFit="1" customWidth="1"/>
    <col min="4864" max="4864" width="13.21875" style="115" customWidth="1"/>
    <col min="4865" max="4865" width="16.21875" style="115" bestFit="1" customWidth="1"/>
    <col min="4866" max="4866" width="23.5546875" style="115" customWidth="1"/>
    <col min="4867" max="4867" width="17.21875" style="115" customWidth="1"/>
    <col min="4868" max="4868" width="20.5546875" style="115" bestFit="1" customWidth="1"/>
    <col min="4869" max="4869" width="17.21875" style="115" customWidth="1"/>
    <col min="4870" max="4870" width="21.77734375" style="115" bestFit="1" customWidth="1"/>
    <col min="4871" max="4871" width="17.21875" style="115" bestFit="1" customWidth="1"/>
    <col min="4872" max="4872" width="18.21875" style="115" bestFit="1" customWidth="1"/>
    <col min="4873" max="4873" width="26.44140625" style="115" customWidth="1"/>
    <col min="4874" max="5118" width="9.21875" style="115"/>
    <col min="5119" max="5119" width="8.77734375" style="115" bestFit="1" customWidth="1"/>
    <col min="5120" max="5120" width="13.21875" style="115" customWidth="1"/>
    <col min="5121" max="5121" width="16.21875" style="115" bestFit="1" customWidth="1"/>
    <col min="5122" max="5122" width="23.5546875" style="115" customWidth="1"/>
    <col min="5123" max="5123" width="17.21875" style="115" customWidth="1"/>
    <col min="5124" max="5124" width="20.5546875" style="115" bestFit="1" customWidth="1"/>
    <col min="5125" max="5125" width="17.21875" style="115" customWidth="1"/>
    <col min="5126" max="5126" width="21.77734375" style="115" bestFit="1" customWidth="1"/>
    <col min="5127" max="5127" width="17.21875" style="115" bestFit="1" customWidth="1"/>
    <col min="5128" max="5128" width="18.21875" style="115" bestFit="1" customWidth="1"/>
    <col min="5129" max="5129" width="26.44140625" style="115" customWidth="1"/>
    <col min="5130" max="5374" width="9.21875" style="115"/>
    <col min="5375" max="5375" width="8.77734375" style="115" bestFit="1" customWidth="1"/>
    <col min="5376" max="5376" width="13.21875" style="115" customWidth="1"/>
    <col min="5377" max="5377" width="16.21875" style="115" bestFit="1" customWidth="1"/>
    <col min="5378" max="5378" width="23.5546875" style="115" customWidth="1"/>
    <col min="5379" max="5379" width="17.21875" style="115" customWidth="1"/>
    <col min="5380" max="5380" width="20.5546875" style="115" bestFit="1" customWidth="1"/>
    <col min="5381" max="5381" width="17.21875" style="115" customWidth="1"/>
    <col min="5382" max="5382" width="21.77734375" style="115" bestFit="1" customWidth="1"/>
    <col min="5383" max="5383" width="17.21875" style="115" bestFit="1" customWidth="1"/>
    <col min="5384" max="5384" width="18.21875" style="115" bestFit="1" customWidth="1"/>
    <col min="5385" max="5385" width="26.44140625" style="115" customWidth="1"/>
    <col min="5386" max="5630" width="9.21875" style="115"/>
    <col min="5631" max="5631" width="8.77734375" style="115" bestFit="1" customWidth="1"/>
    <col min="5632" max="5632" width="13.21875" style="115" customWidth="1"/>
    <col min="5633" max="5633" width="16.21875" style="115" bestFit="1" customWidth="1"/>
    <col min="5634" max="5634" width="23.5546875" style="115" customWidth="1"/>
    <col min="5635" max="5635" width="17.21875" style="115" customWidth="1"/>
    <col min="5636" max="5636" width="20.5546875" style="115" bestFit="1" customWidth="1"/>
    <col min="5637" max="5637" width="17.21875" style="115" customWidth="1"/>
    <col min="5638" max="5638" width="21.77734375" style="115" bestFit="1" customWidth="1"/>
    <col min="5639" max="5639" width="17.21875" style="115" bestFit="1" customWidth="1"/>
    <col min="5640" max="5640" width="18.21875" style="115" bestFit="1" customWidth="1"/>
    <col min="5641" max="5641" width="26.44140625" style="115" customWidth="1"/>
    <col min="5642" max="5886" width="9.21875" style="115"/>
    <col min="5887" max="5887" width="8.77734375" style="115" bestFit="1" customWidth="1"/>
    <col min="5888" max="5888" width="13.21875" style="115" customWidth="1"/>
    <col min="5889" max="5889" width="16.21875" style="115" bestFit="1" customWidth="1"/>
    <col min="5890" max="5890" width="23.5546875" style="115" customWidth="1"/>
    <col min="5891" max="5891" width="17.21875" style="115" customWidth="1"/>
    <col min="5892" max="5892" width="20.5546875" style="115" bestFit="1" customWidth="1"/>
    <col min="5893" max="5893" width="17.21875" style="115" customWidth="1"/>
    <col min="5894" max="5894" width="21.77734375" style="115" bestFit="1" customWidth="1"/>
    <col min="5895" max="5895" width="17.21875" style="115" bestFit="1" customWidth="1"/>
    <col min="5896" max="5896" width="18.21875" style="115" bestFit="1" customWidth="1"/>
    <col min="5897" max="5897" width="26.44140625" style="115" customWidth="1"/>
    <col min="5898" max="6142" width="9.21875" style="115"/>
    <col min="6143" max="6143" width="8.77734375" style="115" bestFit="1" customWidth="1"/>
    <col min="6144" max="6144" width="13.21875" style="115" customWidth="1"/>
    <col min="6145" max="6145" width="16.21875" style="115" bestFit="1" customWidth="1"/>
    <col min="6146" max="6146" width="23.5546875" style="115" customWidth="1"/>
    <col min="6147" max="6147" width="17.21875" style="115" customWidth="1"/>
    <col min="6148" max="6148" width="20.5546875" style="115" bestFit="1" customWidth="1"/>
    <col min="6149" max="6149" width="17.21875" style="115" customWidth="1"/>
    <col min="6150" max="6150" width="21.77734375" style="115" bestFit="1" customWidth="1"/>
    <col min="6151" max="6151" width="17.21875" style="115" bestFit="1" customWidth="1"/>
    <col min="6152" max="6152" width="18.21875" style="115" bestFit="1" customWidth="1"/>
    <col min="6153" max="6153" width="26.44140625" style="115" customWidth="1"/>
    <col min="6154" max="6398" width="9.21875" style="115"/>
    <col min="6399" max="6399" width="8.77734375" style="115" bestFit="1" customWidth="1"/>
    <col min="6400" max="6400" width="13.21875" style="115" customWidth="1"/>
    <col min="6401" max="6401" width="16.21875" style="115" bestFit="1" customWidth="1"/>
    <col min="6402" max="6402" width="23.5546875" style="115" customWidth="1"/>
    <col min="6403" max="6403" width="17.21875" style="115" customWidth="1"/>
    <col min="6404" max="6404" width="20.5546875" style="115" bestFit="1" customWidth="1"/>
    <col min="6405" max="6405" width="17.21875" style="115" customWidth="1"/>
    <col min="6406" max="6406" width="21.77734375" style="115" bestFit="1" customWidth="1"/>
    <col min="6407" max="6407" width="17.21875" style="115" bestFit="1" customWidth="1"/>
    <col min="6408" max="6408" width="18.21875" style="115" bestFit="1" customWidth="1"/>
    <col min="6409" max="6409" width="26.44140625" style="115" customWidth="1"/>
    <col min="6410" max="6654" width="9.21875" style="115"/>
    <col min="6655" max="6655" width="8.77734375" style="115" bestFit="1" customWidth="1"/>
    <col min="6656" max="6656" width="13.21875" style="115" customWidth="1"/>
    <col min="6657" max="6657" width="16.21875" style="115" bestFit="1" customWidth="1"/>
    <col min="6658" max="6658" width="23.5546875" style="115" customWidth="1"/>
    <col min="6659" max="6659" width="17.21875" style="115" customWidth="1"/>
    <col min="6660" max="6660" width="20.5546875" style="115" bestFit="1" customWidth="1"/>
    <col min="6661" max="6661" width="17.21875" style="115" customWidth="1"/>
    <col min="6662" max="6662" width="21.77734375" style="115" bestFit="1" customWidth="1"/>
    <col min="6663" max="6663" width="17.21875" style="115" bestFit="1" customWidth="1"/>
    <col min="6664" max="6664" width="18.21875" style="115" bestFit="1" customWidth="1"/>
    <col min="6665" max="6665" width="26.44140625" style="115" customWidth="1"/>
    <col min="6666" max="6910" width="9.21875" style="115"/>
    <col min="6911" max="6911" width="8.77734375" style="115" bestFit="1" customWidth="1"/>
    <col min="6912" max="6912" width="13.21875" style="115" customWidth="1"/>
    <col min="6913" max="6913" width="16.21875" style="115" bestFit="1" customWidth="1"/>
    <col min="6914" max="6914" width="23.5546875" style="115" customWidth="1"/>
    <col min="6915" max="6915" width="17.21875" style="115" customWidth="1"/>
    <col min="6916" max="6916" width="20.5546875" style="115" bestFit="1" customWidth="1"/>
    <col min="6917" max="6917" width="17.21875" style="115" customWidth="1"/>
    <col min="6918" max="6918" width="21.77734375" style="115" bestFit="1" customWidth="1"/>
    <col min="6919" max="6919" width="17.21875" style="115" bestFit="1" customWidth="1"/>
    <col min="6920" max="6920" width="18.21875" style="115" bestFit="1" customWidth="1"/>
    <col min="6921" max="6921" width="26.44140625" style="115" customWidth="1"/>
    <col min="6922" max="7166" width="9.21875" style="115"/>
    <col min="7167" max="7167" width="8.77734375" style="115" bestFit="1" customWidth="1"/>
    <col min="7168" max="7168" width="13.21875" style="115" customWidth="1"/>
    <col min="7169" max="7169" width="16.21875" style="115" bestFit="1" customWidth="1"/>
    <col min="7170" max="7170" width="23.5546875" style="115" customWidth="1"/>
    <col min="7171" max="7171" width="17.21875" style="115" customWidth="1"/>
    <col min="7172" max="7172" width="20.5546875" style="115" bestFit="1" customWidth="1"/>
    <col min="7173" max="7173" width="17.21875" style="115" customWidth="1"/>
    <col min="7174" max="7174" width="21.77734375" style="115" bestFit="1" customWidth="1"/>
    <col min="7175" max="7175" width="17.21875" style="115" bestFit="1" customWidth="1"/>
    <col min="7176" max="7176" width="18.21875" style="115" bestFit="1" customWidth="1"/>
    <col min="7177" max="7177" width="26.44140625" style="115" customWidth="1"/>
    <col min="7178" max="7422" width="9.21875" style="115"/>
    <col min="7423" max="7423" width="8.77734375" style="115" bestFit="1" customWidth="1"/>
    <col min="7424" max="7424" width="13.21875" style="115" customWidth="1"/>
    <col min="7425" max="7425" width="16.21875" style="115" bestFit="1" customWidth="1"/>
    <col min="7426" max="7426" width="23.5546875" style="115" customWidth="1"/>
    <col min="7427" max="7427" width="17.21875" style="115" customWidth="1"/>
    <col min="7428" max="7428" width="20.5546875" style="115" bestFit="1" customWidth="1"/>
    <col min="7429" max="7429" width="17.21875" style="115" customWidth="1"/>
    <col min="7430" max="7430" width="21.77734375" style="115" bestFit="1" customWidth="1"/>
    <col min="7431" max="7431" width="17.21875" style="115" bestFit="1" customWidth="1"/>
    <col min="7432" max="7432" width="18.21875" style="115" bestFit="1" customWidth="1"/>
    <col min="7433" max="7433" width="26.44140625" style="115" customWidth="1"/>
    <col min="7434" max="7678" width="9.21875" style="115"/>
    <col min="7679" max="7679" width="8.77734375" style="115" bestFit="1" customWidth="1"/>
    <col min="7680" max="7680" width="13.21875" style="115" customWidth="1"/>
    <col min="7681" max="7681" width="16.21875" style="115" bestFit="1" customWidth="1"/>
    <col min="7682" max="7682" width="23.5546875" style="115" customWidth="1"/>
    <col min="7683" max="7683" width="17.21875" style="115" customWidth="1"/>
    <col min="7684" max="7684" width="20.5546875" style="115" bestFit="1" customWidth="1"/>
    <col min="7685" max="7685" width="17.21875" style="115" customWidth="1"/>
    <col min="7686" max="7686" width="21.77734375" style="115" bestFit="1" customWidth="1"/>
    <col min="7687" max="7687" width="17.21875" style="115" bestFit="1" customWidth="1"/>
    <col min="7688" max="7688" width="18.21875" style="115" bestFit="1" customWidth="1"/>
    <col min="7689" max="7689" width="26.44140625" style="115" customWidth="1"/>
    <col min="7690" max="7934" width="9.21875" style="115"/>
    <col min="7935" max="7935" width="8.77734375" style="115" bestFit="1" customWidth="1"/>
    <col min="7936" max="7936" width="13.21875" style="115" customWidth="1"/>
    <col min="7937" max="7937" width="16.21875" style="115" bestFit="1" customWidth="1"/>
    <col min="7938" max="7938" width="23.5546875" style="115" customWidth="1"/>
    <col min="7939" max="7939" width="17.21875" style="115" customWidth="1"/>
    <col min="7940" max="7940" width="20.5546875" style="115" bestFit="1" customWidth="1"/>
    <col min="7941" max="7941" width="17.21875" style="115" customWidth="1"/>
    <col min="7942" max="7942" width="21.77734375" style="115" bestFit="1" customWidth="1"/>
    <col min="7943" max="7943" width="17.21875" style="115" bestFit="1" customWidth="1"/>
    <col min="7944" max="7944" width="18.21875" style="115" bestFit="1" customWidth="1"/>
    <col min="7945" max="7945" width="26.44140625" style="115" customWidth="1"/>
    <col min="7946" max="8190" width="9.21875" style="115"/>
    <col min="8191" max="8191" width="8.77734375" style="115" bestFit="1" customWidth="1"/>
    <col min="8192" max="8192" width="13.21875" style="115" customWidth="1"/>
    <col min="8193" max="8193" width="16.21875" style="115" bestFit="1" customWidth="1"/>
    <col min="8194" max="8194" width="23.5546875" style="115" customWidth="1"/>
    <col min="8195" max="8195" width="17.21875" style="115" customWidth="1"/>
    <col min="8196" max="8196" width="20.5546875" style="115" bestFit="1" customWidth="1"/>
    <col min="8197" max="8197" width="17.21875" style="115" customWidth="1"/>
    <col min="8198" max="8198" width="21.77734375" style="115" bestFit="1" customWidth="1"/>
    <col min="8199" max="8199" width="17.21875" style="115" bestFit="1" customWidth="1"/>
    <col min="8200" max="8200" width="18.21875" style="115" bestFit="1" customWidth="1"/>
    <col min="8201" max="8201" width="26.44140625" style="115" customWidth="1"/>
    <col min="8202" max="8446" width="9.21875" style="115"/>
    <col min="8447" max="8447" width="8.77734375" style="115" bestFit="1" customWidth="1"/>
    <col min="8448" max="8448" width="13.21875" style="115" customWidth="1"/>
    <col min="8449" max="8449" width="16.21875" style="115" bestFit="1" customWidth="1"/>
    <col min="8450" max="8450" width="23.5546875" style="115" customWidth="1"/>
    <col min="8451" max="8451" width="17.21875" style="115" customWidth="1"/>
    <col min="8452" max="8452" width="20.5546875" style="115" bestFit="1" customWidth="1"/>
    <col min="8453" max="8453" width="17.21875" style="115" customWidth="1"/>
    <col min="8454" max="8454" width="21.77734375" style="115" bestFit="1" customWidth="1"/>
    <col min="8455" max="8455" width="17.21875" style="115" bestFit="1" customWidth="1"/>
    <col min="8456" max="8456" width="18.21875" style="115" bestFit="1" customWidth="1"/>
    <col min="8457" max="8457" width="26.44140625" style="115" customWidth="1"/>
    <col min="8458" max="8702" width="9.21875" style="115"/>
    <col min="8703" max="8703" width="8.77734375" style="115" bestFit="1" customWidth="1"/>
    <col min="8704" max="8704" width="13.21875" style="115" customWidth="1"/>
    <col min="8705" max="8705" width="16.21875" style="115" bestFit="1" customWidth="1"/>
    <col min="8706" max="8706" width="23.5546875" style="115" customWidth="1"/>
    <col min="8707" max="8707" width="17.21875" style="115" customWidth="1"/>
    <col min="8708" max="8708" width="20.5546875" style="115" bestFit="1" customWidth="1"/>
    <col min="8709" max="8709" width="17.21875" style="115" customWidth="1"/>
    <col min="8710" max="8710" width="21.77734375" style="115" bestFit="1" customWidth="1"/>
    <col min="8711" max="8711" width="17.21875" style="115" bestFit="1" customWidth="1"/>
    <col min="8712" max="8712" width="18.21875" style="115" bestFit="1" customWidth="1"/>
    <col min="8713" max="8713" width="26.44140625" style="115" customWidth="1"/>
    <col min="8714" max="8958" width="9.21875" style="115"/>
    <col min="8959" max="8959" width="8.77734375" style="115" bestFit="1" customWidth="1"/>
    <col min="8960" max="8960" width="13.21875" style="115" customWidth="1"/>
    <col min="8961" max="8961" width="16.21875" style="115" bestFit="1" customWidth="1"/>
    <col min="8962" max="8962" width="23.5546875" style="115" customWidth="1"/>
    <col min="8963" max="8963" width="17.21875" style="115" customWidth="1"/>
    <col min="8964" max="8964" width="20.5546875" style="115" bestFit="1" customWidth="1"/>
    <col min="8965" max="8965" width="17.21875" style="115" customWidth="1"/>
    <col min="8966" max="8966" width="21.77734375" style="115" bestFit="1" customWidth="1"/>
    <col min="8967" max="8967" width="17.21875" style="115" bestFit="1" customWidth="1"/>
    <col min="8968" max="8968" width="18.21875" style="115" bestFit="1" customWidth="1"/>
    <col min="8969" max="8969" width="26.44140625" style="115" customWidth="1"/>
    <col min="8970" max="9214" width="9.21875" style="115"/>
    <col min="9215" max="9215" width="8.77734375" style="115" bestFit="1" customWidth="1"/>
    <col min="9216" max="9216" width="13.21875" style="115" customWidth="1"/>
    <col min="9217" max="9217" width="16.21875" style="115" bestFit="1" customWidth="1"/>
    <col min="9218" max="9218" width="23.5546875" style="115" customWidth="1"/>
    <col min="9219" max="9219" width="17.21875" style="115" customWidth="1"/>
    <col min="9220" max="9220" width="20.5546875" style="115" bestFit="1" customWidth="1"/>
    <col min="9221" max="9221" width="17.21875" style="115" customWidth="1"/>
    <col min="9222" max="9222" width="21.77734375" style="115" bestFit="1" customWidth="1"/>
    <col min="9223" max="9223" width="17.21875" style="115" bestFit="1" customWidth="1"/>
    <col min="9224" max="9224" width="18.21875" style="115" bestFit="1" customWidth="1"/>
    <col min="9225" max="9225" width="26.44140625" style="115" customWidth="1"/>
    <col min="9226" max="9470" width="9.21875" style="115"/>
    <col min="9471" max="9471" width="8.77734375" style="115" bestFit="1" customWidth="1"/>
    <col min="9472" max="9472" width="13.21875" style="115" customWidth="1"/>
    <col min="9473" max="9473" width="16.21875" style="115" bestFit="1" customWidth="1"/>
    <col min="9474" max="9474" width="23.5546875" style="115" customWidth="1"/>
    <col min="9475" max="9475" width="17.21875" style="115" customWidth="1"/>
    <col min="9476" max="9476" width="20.5546875" style="115" bestFit="1" customWidth="1"/>
    <col min="9477" max="9477" width="17.21875" style="115" customWidth="1"/>
    <col min="9478" max="9478" width="21.77734375" style="115" bestFit="1" customWidth="1"/>
    <col min="9479" max="9479" width="17.21875" style="115" bestFit="1" customWidth="1"/>
    <col min="9480" max="9480" width="18.21875" style="115" bestFit="1" customWidth="1"/>
    <col min="9481" max="9481" width="26.44140625" style="115" customWidth="1"/>
    <col min="9482" max="9726" width="9.21875" style="115"/>
    <col min="9727" max="9727" width="8.77734375" style="115" bestFit="1" customWidth="1"/>
    <col min="9728" max="9728" width="13.21875" style="115" customWidth="1"/>
    <col min="9729" max="9729" width="16.21875" style="115" bestFit="1" customWidth="1"/>
    <col min="9730" max="9730" width="23.5546875" style="115" customWidth="1"/>
    <col min="9731" max="9731" width="17.21875" style="115" customWidth="1"/>
    <col min="9732" max="9732" width="20.5546875" style="115" bestFit="1" customWidth="1"/>
    <col min="9733" max="9733" width="17.21875" style="115" customWidth="1"/>
    <col min="9734" max="9734" width="21.77734375" style="115" bestFit="1" customWidth="1"/>
    <col min="9735" max="9735" width="17.21875" style="115" bestFit="1" customWidth="1"/>
    <col min="9736" max="9736" width="18.21875" style="115" bestFit="1" customWidth="1"/>
    <col min="9737" max="9737" width="26.44140625" style="115" customWidth="1"/>
    <col min="9738" max="9982" width="9.21875" style="115"/>
    <col min="9983" max="9983" width="8.77734375" style="115" bestFit="1" customWidth="1"/>
    <col min="9984" max="9984" width="13.21875" style="115" customWidth="1"/>
    <col min="9985" max="9985" width="16.21875" style="115" bestFit="1" customWidth="1"/>
    <col min="9986" max="9986" width="23.5546875" style="115" customWidth="1"/>
    <col min="9987" max="9987" width="17.21875" style="115" customWidth="1"/>
    <col min="9988" max="9988" width="20.5546875" style="115" bestFit="1" customWidth="1"/>
    <col min="9989" max="9989" width="17.21875" style="115" customWidth="1"/>
    <col min="9990" max="9990" width="21.77734375" style="115" bestFit="1" customWidth="1"/>
    <col min="9991" max="9991" width="17.21875" style="115" bestFit="1" customWidth="1"/>
    <col min="9992" max="9992" width="18.21875" style="115" bestFit="1" customWidth="1"/>
    <col min="9993" max="9993" width="26.44140625" style="115" customWidth="1"/>
    <col min="9994" max="10238" width="9.21875" style="115"/>
    <col min="10239" max="10239" width="8.77734375" style="115" bestFit="1" customWidth="1"/>
    <col min="10240" max="10240" width="13.21875" style="115" customWidth="1"/>
    <col min="10241" max="10241" width="16.21875" style="115" bestFit="1" customWidth="1"/>
    <col min="10242" max="10242" width="23.5546875" style="115" customWidth="1"/>
    <col min="10243" max="10243" width="17.21875" style="115" customWidth="1"/>
    <col min="10244" max="10244" width="20.5546875" style="115" bestFit="1" customWidth="1"/>
    <col min="10245" max="10245" width="17.21875" style="115" customWidth="1"/>
    <col min="10246" max="10246" width="21.77734375" style="115" bestFit="1" customWidth="1"/>
    <col min="10247" max="10247" width="17.21875" style="115" bestFit="1" customWidth="1"/>
    <col min="10248" max="10248" width="18.21875" style="115" bestFit="1" customWidth="1"/>
    <col min="10249" max="10249" width="26.44140625" style="115" customWidth="1"/>
    <col min="10250" max="10494" width="9.21875" style="115"/>
    <col min="10495" max="10495" width="8.77734375" style="115" bestFit="1" customWidth="1"/>
    <col min="10496" max="10496" width="13.21875" style="115" customWidth="1"/>
    <col min="10497" max="10497" width="16.21875" style="115" bestFit="1" customWidth="1"/>
    <col min="10498" max="10498" width="23.5546875" style="115" customWidth="1"/>
    <col min="10499" max="10499" width="17.21875" style="115" customWidth="1"/>
    <col min="10500" max="10500" width="20.5546875" style="115" bestFit="1" customWidth="1"/>
    <col min="10501" max="10501" width="17.21875" style="115" customWidth="1"/>
    <col min="10502" max="10502" width="21.77734375" style="115" bestFit="1" customWidth="1"/>
    <col min="10503" max="10503" width="17.21875" style="115" bestFit="1" customWidth="1"/>
    <col min="10504" max="10504" width="18.21875" style="115" bestFit="1" customWidth="1"/>
    <col min="10505" max="10505" width="26.44140625" style="115" customWidth="1"/>
    <col min="10506" max="10750" width="9.21875" style="115"/>
    <col min="10751" max="10751" width="8.77734375" style="115" bestFit="1" customWidth="1"/>
    <col min="10752" max="10752" width="13.21875" style="115" customWidth="1"/>
    <col min="10753" max="10753" width="16.21875" style="115" bestFit="1" customWidth="1"/>
    <col min="10754" max="10754" width="23.5546875" style="115" customWidth="1"/>
    <col min="10755" max="10755" width="17.21875" style="115" customWidth="1"/>
    <col min="10756" max="10756" width="20.5546875" style="115" bestFit="1" customWidth="1"/>
    <col min="10757" max="10757" width="17.21875" style="115" customWidth="1"/>
    <col min="10758" max="10758" width="21.77734375" style="115" bestFit="1" customWidth="1"/>
    <col min="10759" max="10759" width="17.21875" style="115" bestFit="1" customWidth="1"/>
    <col min="10760" max="10760" width="18.21875" style="115" bestFit="1" customWidth="1"/>
    <col min="10761" max="10761" width="26.44140625" style="115" customWidth="1"/>
    <col min="10762" max="11006" width="9.21875" style="115"/>
    <col min="11007" max="11007" width="8.77734375" style="115" bestFit="1" customWidth="1"/>
    <col min="11008" max="11008" width="13.21875" style="115" customWidth="1"/>
    <col min="11009" max="11009" width="16.21875" style="115" bestFit="1" customWidth="1"/>
    <col min="11010" max="11010" width="23.5546875" style="115" customWidth="1"/>
    <col min="11011" max="11011" width="17.21875" style="115" customWidth="1"/>
    <col min="11012" max="11012" width="20.5546875" style="115" bestFit="1" customWidth="1"/>
    <col min="11013" max="11013" width="17.21875" style="115" customWidth="1"/>
    <col min="11014" max="11014" width="21.77734375" style="115" bestFit="1" customWidth="1"/>
    <col min="11015" max="11015" width="17.21875" style="115" bestFit="1" customWidth="1"/>
    <col min="11016" max="11016" width="18.21875" style="115" bestFit="1" customWidth="1"/>
    <col min="11017" max="11017" width="26.44140625" style="115" customWidth="1"/>
    <col min="11018" max="11262" width="9.21875" style="115"/>
    <col min="11263" max="11263" width="8.77734375" style="115" bestFit="1" customWidth="1"/>
    <col min="11264" max="11264" width="13.21875" style="115" customWidth="1"/>
    <col min="11265" max="11265" width="16.21875" style="115" bestFit="1" customWidth="1"/>
    <col min="11266" max="11266" width="23.5546875" style="115" customWidth="1"/>
    <col min="11267" max="11267" width="17.21875" style="115" customWidth="1"/>
    <col min="11268" max="11268" width="20.5546875" style="115" bestFit="1" customWidth="1"/>
    <col min="11269" max="11269" width="17.21875" style="115" customWidth="1"/>
    <col min="11270" max="11270" width="21.77734375" style="115" bestFit="1" customWidth="1"/>
    <col min="11271" max="11271" width="17.21875" style="115" bestFit="1" customWidth="1"/>
    <col min="11272" max="11272" width="18.21875" style="115" bestFit="1" customWidth="1"/>
    <col min="11273" max="11273" width="26.44140625" style="115" customWidth="1"/>
    <col min="11274" max="11518" width="9.21875" style="115"/>
    <col min="11519" max="11519" width="8.77734375" style="115" bestFit="1" customWidth="1"/>
    <col min="11520" max="11520" width="13.21875" style="115" customWidth="1"/>
    <col min="11521" max="11521" width="16.21875" style="115" bestFit="1" customWidth="1"/>
    <col min="11522" max="11522" width="23.5546875" style="115" customWidth="1"/>
    <col min="11523" max="11523" width="17.21875" style="115" customWidth="1"/>
    <col min="11524" max="11524" width="20.5546875" style="115" bestFit="1" customWidth="1"/>
    <col min="11525" max="11525" width="17.21875" style="115" customWidth="1"/>
    <col min="11526" max="11526" width="21.77734375" style="115" bestFit="1" customWidth="1"/>
    <col min="11527" max="11527" width="17.21875" style="115" bestFit="1" customWidth="1"/>
    <col min="11528" max="11528" width="18.21875" style="115" bestFit="1" customWidth="1"/>
    <col min="11529" max="11529" width="26.44140625" style="115" customWidth="1"/>
    <col min="11530" max="11774" width="9.21875" style="115"/>
    <col min="11775" max="11775" width="8.77734375" style="115" bestFit="1" customWidth="1"/>
    <col min="11776" max="11776" width="13.21875" style="115" customWidth="1"/>
    <col min="11777" max="11777" width="16.21875" style="115" bestFit="1" customWidth="1"/>
    <col min="11778" max="11778" width="23.5546875" style="115" customWidth="1"/>
    <col min="11779" max="11779" width="17.21875" style="115" customWidth="1"/>
    <col min="11780" max="11780" width="20.5546875" style="115" bestFit="1" customWidth="1"/>
    <col min="11781" max="11781" width="17.21875" style="115" customWidth="1"/>
    <col min="11782" max="11782" width="21.77734375" style="115" bestFit="1" customWidth="1"/>
    <col min="11783" max="11783" width="17.21875" style="115" bestFit="1" customWidth="1"/>
    <col min="11784" max="11784" width="18.21875" style="115" bestFit="1" customWidth="1"/>
    <col min="11785" max="11785" width="26.44140625" style="115" customWidth="1"/>
    <col min="11786" max="12030" width="9.21875" style="115"/>
    <col min="12031" max="12031" width="8.77734375" style="115" bestFit="1" customWidth="1"/>
    <col min="12032" max="12032" width="13.21875" style="115" customWidth="1"/>
    <col min="12033" max="12033" width="16.21875" style="115" bestFit="1" customWidth="1"/>
    <col min="12034" max="12034" width="23.5546875" style="115" customWidth="1"/>
    <col min="12035" max="12035" width="17.21875" style="115" customWidth="1"/>
    <col min="12036" max="12036" width="20.5546875" style="115" bestFit="1" customWidth="1"/>
    <col min="12037" max="12037" width="17.21875" style="115" customWidth="1"/>
    <col min="12038" max="12038" width="21.77734375" style="115" bestFit="1" customWidth="1"/>
    <col min="12039" max="12039" width="17.21875" style="115" bestFit="1" customWidth="1"/>
    <col min="12040" max="12040" width="18.21875" style="115" bestFit="1" customWidth="1"/>
    <col min="12041" max="12041" width="26.44140625" style="115" customWidth="1"/>
    <col min="12042" max="12286" width="9.21875" style="115"/>
    <col min="12287" max="12287" width="8.77734375" style="115" bestFit="1" customWidth="1"/>
    <col min="12288" max="12288" width="13.21875" style="115" customWidth="1"/>
    <col min="12289" max="12289" width="16.21875" style="115" bestFit="1" customWidth="1"/>
    <col min="12290" max="12290" width="23.5546875" style="115" customWidth="1"/>
    <col min="12291" max="12291" width="17.21875" style="115" customWidth="1"/>
    <col min="12292" max="12292" width="20.5546875" style="115" bestFit="1" customWidth="1"/>
    <col min="12293" max="12293" width="17.21875" style="115" customWidth="1"/>
    <col min="12294" max="12294" width="21.77734375" style="115" bestFit="1" customWidth="1"/>
    <col min="12295" max="12295" width="17.21875" style="115" bestFit="1" customWidth="1"/>
    <col min="12296" max="12296" width="18.21875" style="115" bestFit="1" customWidth="1"/>
    <col min="12297" max="12297" width="26.44140625" style="115" customWidth="1"/>
    <col min="12298" max="12542" width="9.21875" style="115"/>
    <col min="12543" max="12543" width="8.77734375" style="115" bestFit="1" customWidth="1"/>
    <col min="12544" max="12544" width="13.21875" style="115" customWidth="1"/>
    <col min="12545" max="12545" width="16.21875" style="115" bestFit="1" customWidth="1"/>
    <col min="12546" max="12546" width="23.5546875" style="115" customWidth="1"/>
    <col min="12547" max="12547" width="17.21875" style="115" customWidth="1"/>
    <col min="12548" max="12548" width="20.5546875" style="115" bestFit="1" customWidth="1"/>
    <col min="12549" max="12549" width="17.21875" style="115" customWidth="1"/>
    <col min="12550" max="12550" width="21.77734375" style="115" bestFit="1" customWidth="1"/>
    <col min="12551" max="12551" width="17.21875" style="115" bestFit="1" customWidth="1"/>
    <col min="12552" max="12552" width="18.21875" style="115" bestFit="1" customWidth="1"/>
    <col min="12553" max="12553" width="26.44140625" style="115" customWidth="1"/>
    <col min="12554" max="12798" width="9.21875" style="115"/>
    <col min="12799" max="12799" width="8.77734375" style="115" bestFit="1" customWidth="1"/>
    <col min="12800" max="12800" width="13.21875" style="115" customWidth="1"/>
    <col min="12801" max="12801" width="16.21875" style="115" bestFit="1" customWidth="1"/>
    <col min="12802" max="12802" width="23.5546875" style="115" customWidth="1"/>
    <col min="12803" max="12803" width="17.21875" style="115" customWidth="1"/>
    <col min="12804" max="12804" width="20.5546875" style="115" bestFit="1" customWidth="1"/>
    <col min="12805" max="12805" width="17.21875" style="115" customWidth="1"/>
    <col min="12806" max="12806" width="21.77734375" style="115" bestFit="1" customWidth="1"/>
    <col min="12807" max="12807" width="17.21875" style="115" bestFit="1" customWidth="1"/>
    <col min="12808" max="12808" width="18.21875" style="115" bestFit="1" customWidth="1"/>
    <col min="12809" max="12809" width="26.44140625" style="115" customWidth="1"/>
    <col min="12810" max="13054" width="9.21875" style="115"/>
    <col min="13055" max="13055" width="8.77734375" style="115" bestFit="1" customWidth="1"/>
    <col min="13056" max="13056" width="13.21875" style="115" customWidth="1"/>
    <col min="13057" max="13057" width="16.21875" style="115" bestFit="1" customWidth="1"/>
    <col min="13058" max="13058" width="23.5546875" style="115" customWidth="1"/>
    <col min="13059" max="13059" width="17.21875" style="115" customWidth="1"/>
    <col min="13060" max="13060" width="20.5546875" style="115" bestFit="1" customWidth="1"/>
    <col min="13061" max="13061" width="17.21875" style="115" customWidth="1"/>
    <col min="13062" max="13062" width="21.77734375" style="115" bestFit="1" customWidth="1"/>
    <col min="13063" max="13063" width="17.21875" style="115" bestFit="1" customWidth="1"/>
    <col min="13064" max="13064" width="18.21875" style="115" bestFit="1" customWidth="1"/>
    <col min="13065" max="13065" width="26.44140625" style="115" customWidth="1"/>
    <col min="13066" max="13310" width="9.21875" style="115"/>
    <col min="13311" max="13311" width="8.77734375" style="115" bestFit="1" customWidth="1"/>
    <col min="13312" max="13312" width="13.21875" style="115" customWidth="1"/>
    <col min="13313" max="13313" width="16.21875" style="115" bestFit="1" customWidth="1"/>
    <col min="13314" max="13314" width="23.5546875" style="115" customWidth="1"/>
    <col min="13315" max="13315" width="17.21875" style="115" customWidth="1"/>
    <col min="13316" max="13316" width="20.5546875" style="115" bestFit="1" customWidth="1"/>
    <col min="13317" max="13317" width="17.21875" style="115" customWidth="1"/>
    <col min="13318" max="13318" width="21.77734375" style="115" bestFit="1" customWidth="1"/>
    <col min="13319" max="13319" width="17.21875" style="115" bestFit="1" customWidth="1"/>
    <col min="13320" max="13320" width="18.21875" style="115" bestFit="1" customWidth="1"/>
    <col min="13321" max="13321" width="26.44140625" style="115" customWidth="1"/>
    <col min="13322" max="13566" width="9.21875" style="115"/>
    <col min="13567" max="13567" width="8.77734375" style="115" bestFit="1" customWidth="1"/>
    <col min="13568" max="13568" width="13.21875" style="115" customWidth="1"/>
    <col min="13569" max="13569" width="16.21875" style="115" bestFit="1" customWidth="1"/>
    <col min="13570" max="13570" width="23.5546875" style="115" customWidth="1"/>
    <col min="13571" max="13571" width="17.21875" style="115" customWidth="1"/>
    <col min="13572" max="13572" width="20.5546875" style="115" bestFit="1" customWidth="1"/>
    <col min="13573" max="13573" width="17.21875" style="115" customWidth="1"/>
    <col min="13574" max="13574" width="21.77734375" style="115" bestFit="1" customWidth="1"/>
    <col min="13575" max="13575" width="17.21875" style="115" bestFit="1" customWidth="1"/>
    <col min="13576" max="13576" width="18.21875" style="115" bestFit="1" customWidth="1"/>
    <col min="13577" max="13577" width="26.44140625" style="115" customWidth="1"/>
    <col min="13578" max="13822" width="9.21875" style="115"/>
    <col min="13823" max="13823" width="8.77734375" style="115" bestFit="1" customWidth="1"/>
    <col min="13824" max="13824" width="13.21875" style="115" customWidth="1"/>
    <col min="13825" max="13825" width="16.21875" style="115" bestFit="1" customWidth="1"/>
    <col min="13826" max="13826" width="23.5546875" style="115" customWidth="1"/>
    <col min="13827" max="13827" width="17.21875" style="115" customWidth="1"/>
    <col min="13828" max="13828" width="20.5546875" style="115" bestFit="1" customWidth="1"/>
    <col min="13829" max="13829" width="17.21875" style="115" customWidth="1"/>
    <col min="13830" max="13830" width="21.77734375" style="115" bestFit="1" customWidth="1"/>
    <col min="13831" max="13831" width="17.21875" style="115" bestFit="1" customWidth="1"/>
    <col min="13832" max="13832" width="18.21875" style="115" bestFit="1" customWidth="1"/>
    <col min="13833" max="13833" width="26.44140625" style="115" customWidth="1"/>
    <col min="13834" max="14078" width="9.21875" style="115"/>
    <col min="14079" max="14079" width="8.77734375" style="115" bestFit="1" customWidth="1"/>
    <col min="14080" max="14080" width="13.21875" style="115" customWidth="1"/>
    <col min="14081" max="14081" width="16.21875" style="115" bestFit="1" customWidth="1"/>
    <col min="14082" max="14082" width="23.5546875" style="115" customWidth="1"/>
    <col min="14083" max="14083" width="17.21875" style="115" customWidth="1"/>
    <col min="14084" max="14084" width="20.5546875" style="115" bestFit="1" customWidth="1"/>
    <col min="14085" max="14085" width="17.21875" style="115" customWidth="1"/>
    <col min="14086" max="14086" width="21.77734375" style="115" bestFit="1" customWidth="1"/>
    <col min="14087" max="14087" width="17.21875" style="115" bestFit="1" customWidth="1"/>
    <col min="14088" max="14088" width="18.21875" style="115" bestFit="1" customWidth="1"/>
    <col min="14089" max="14089" width="26.44140625" style="115" customWidth="1"/>
    <col min="14090" max="14334" width="9.21875" style="115"/>
    <col min="14335" max="14335" width="8.77734375" style="115" bestFit="1" customWidth="1"/>
    <col min="14336" max="14336" width="13.21875" style="115" customWidth="1"/>
    <col min="14337" max="14337" width="16.21875" style="115" bestFit="1" customWidth="1"/>
    <col min="14338" max="14338" width="23.5546875" style="115" customWidth="1"/>
    <col min="14339" max="14339" width="17.21875" style="115" customWidth="1"/>
    <col min="14340" max="14340" width="20.5546875" style="115" bestFit="1" customWidth="1"/>
    <col min="14341" max="14341" width="17.21875" style="115" customWidth="1"/>
    <col min="14342" max="14342" width="21.77734375" style="115" bestFit="1" customWidth="1"/>
    <col min="14343" max="14343" width="17.21875" style="115" bestFit="1" customWidth="1"/>
    <col min="14344" max="14344" width="18.21875" style="115" bestFit="1" customWidth="1"/>
    <col min="14345" max="14345" width="26.44140625" style="115" customWidth="1"/>
    <col min="14346" max="14590" width="9.21875" style="115"/>
    <col min="14591" max="14591" width="8.77734375" style="115" bestFit="1" customWidth="1"/>
    <col min="14592" max="14592" width="13.21875" style="115" customWidth="1"/>
    <col min="14593" max="14593" width="16.21875" style="115" bestFit="1" customWidth="1"/>
    <col min="14594" max="14594" width="23.5546875" style="115" customWidth="1"/>
    <col min="14595" max="14595" width="17.21875" style="115" customWidth="1"/>
    <col min="14596" max="14596" width="20.5546875" style="115" bestFit="1" customWidth="1"/>
    <col min="14597" max="14597" width="17.21875" style="115" customWidth="1"/>
    <col min="14598" max="14598" width="21.77734375" style="115" bestFit="1" customWidth="1"/>
    <col min="14599" max="14599" width="17.21875" style="115" bestFit="1" customWidth="1"/>
    <col min="14600" max="14600" width="18.21875" style="115" bestFit="1" customWidth="1"/>
    <col min="14601" max="14601" width="26.44140625" style="115" customWidth="1"/>
    <col min="14602" max="14846" width="9.21875" style="115"/>
    <col min="14847" max="14847" width="8.77734375" style="115" bestFit="1" customWidth="1"/>
    <col min="14848" max="14848" width="13.21875" style="115" customWidth="1"/>
    <col min="14849" max="14849" width="16.21875" style="115" bestFit="1" customWidth="1"/>
    <col min="14850" max="14850" width="23.5546875" style="115" customWidth="1"/>
    <col min="14851" max="14851" width="17.21875" style="115" customWidth="1"/>
    <col min="14852" max="14852" width="20.5546875" style="115" bestFit="1" customWidth="1"/>
    <col min="14853" max="14853" width="17.21875" style="115" customWidth="1"/>
    <col min="14854" max="14854" width="21.77734375" style="115" bestFit="1" customWidth="1"/>
    <col min="14855" max="14855" width="17.21875" style="115" bestFit="1" customWidth="1"/>
    <col min="14856" max="14856" width="18.21875" style="115" bestFit="1" customWidth="1"/>
    <col min="14857" max="14857" width="26.44140625" style="115" customWidth="1"/>
    <col min="14858" max="15102" width="9.21875" style="115"/>
    <col min="15103" max="15103" width="8.77734375" style="115" bestFit="1" customWidth="1"/>
    <col min="15104" max="15104" width="13.21875" style="115" customWidth="1"/>
    <col min="15105" max="15105" width="16.21875" style="115" bestFit="1" customWidth="1"/>
    <col min="15106" max="15106" width="23.5546875" style="115" customWidth="1"/>
    <col min="15107" max="15107" width="17.21875" style="115" customWidth="1"/>
    <col min="15108" max="15108" width="20.5546875" style="115" bestFit="1" customWidth="1"/>
    <col min="15109" max="15109" width="17.21875" style="115" customWidth="1"/>
    <col min="15110" max="15110" width="21.77734375" style="115" bestFit="1" customWidth="1"/>
    <col min="15111" max="15111" width="17.21875" style="115" bestFit="1" customWidth="1"/>
    <col min="15112" max="15112" width="18.21875" style="115" bestFit="1" customWidth="1"/>
    <col min="15113" max="15113" width="26.44140625" style="115" customWidth="1"/>
    <col min="15114" max="15358" width="9.21875" style="115"/>
    <col min="15359" max="15359" width="8.77734375" style="115" bestFit="1" customWidth="1"/>
    <col min="15360" max="15360" width="13.21875" style="115" customWidth="1"/>
    <col min="15361" max="15361" width="16.21875" style="115" bestFit="1" customWidth="1"/>
    <col min="15362" max="15362" width="23.5546875" style="115" customWidth="1"/>
    <col min="15363" max="15363" width="17.21875" style="115" customWidth="1"/>
    <col min="15364" max="15364" width="20.5546875" style="115" bestFit="1" customWidth="1"/>
    <col min="15365" max="15365" width="17.21875" style="115" customWidth="1"/>
    <col min="15366" max="15366" width="21.77734375" style="115" bestFit="1" customWidth="1"/>
    <col min="15367" max="15367" width="17.21875" style="115" bestFit="1" customWidth="1"/>
    <col min="15368" max="15368" width="18.21875" style="115" bestFit="1" customWidth="1"/>
    <col min="15369" max="15369" width="26.44140625" style="115" customWidth="1"/>
    <col min="15370" max="15614" width="9.21875" style="115"/>
    <col min="15615" max="15615" width="8.77734375" style="115" bestFit="1" customWidth="1"/>
    <col min="15616" max="15616" width="13.21875" style="115" customWidth="1"/>
    <col min="15617" max="15617" width="16.21875" style="115" bestFit="1" customWidth="1"/>
    <col min="15618" max="15618" width="23.5546875" style="115" customWidth="1"/>
    <col min="15619" max="15619" width="17.21875" style="115" customWidth="1"/>
    <col min="15620" max="15620" width="20.5546875" style="115" bestFit="1" customWidth="1"/>
    <col min="15621" max="15621" width="17.21875" style="115" customWidth="1"/>
    <col min="15622" max="15622" width="21.77734375" style="115" bestFit="1" customWidth="1"/>
    <col min="15623" max="15623" width="17.21875" style="115" bestFit="1" customWidth="1"/>
    <col min="15624" max="15624" width="18.21875" style="115" bestFit="1" customWidth="1"/>
    <col min="15625" max="15625" width="26.44140625" style="115" customWidth="1"/>
    <col min="15626" max="15870" width="9.21875" style="115"/>
    <col min="15871" max="15871" width="8.77734375" style="115" bestFit="1" customWidth="1"/>
    <col min="15872" max="15872" width="13.21875" style="115" customWidth="1"/>
    <col min="15873" max="15873" width="16.21875" style="115" bestFit="1" customWidth="1"/>
    <col min="15874" max="15874" width="23.5546875" style="115" customWidth="1"/>
    <col min="15875" max="15875" width="17.21875" style="115" customWidth="1"/>
    <col min="15876" max="15876" width="20.5546875" style="115" bestFit="1" customWidth="1"/>
    <col min="15877" max="15877" width="17.21875" style="115" customWidth="1"/>
    <col min="15878" max="15878" width="21.77734375" style="115" bestFit="1" customWidth="1"/>
    <col min="15879" max="15879" width="17.21875" style="115" bestFit="1" customWidth="1"/>
    <col min="15880" max="15880" width="18.21875" style="115" bestFit="1" customWidth="1"/>
    <col min="15881" max="15881" width="26.44140625" style="115" customWidth="1"/>
    <col min="15882" max="16126" width="9.21875" style="115"/>
    <col min="16127" max="16127" width="8.77734375" style="115" bestFit="1" customWidth="1"/>
    <col min="16128" max="16128" width="13.21875" style="115" customWidth="1"/>
    <col min="16129" max="16129" width="16.21875" style="115" bestFit="1" customWidth="1"/>
    <col min="16130" max="16130" width="23.5546875" style="115" customWidth="1"/>
    <col min="16131" max="16131" width="17.21875" style="115" customWidth="1"/>
    <col min="16132" max="16132" width="20.5546875" style="115" bestFit="1" customWidth="1"/>
    <col min="16133" max="16133" width="17.21875" style="115" customWidth="1"/>
    <col min="16134" max="16134" width="21.77734375" style="115" bestFit="1" customWidth="1"/>
    <col min="16135" max="16135" width="17.21875" style="115" bestFit="1" customWidth="1"/>
    <col min="16136" max="16136" width="18.21875" style="115" bestFit="1" customWidth="1"/>
    <col min="16137" max="16137" width="26.44140625" style="115" customWidth="1"/>
    <col min="16138" max="16384" width="9.21875" style="115"/>
  </cols>
  <sheetData>
    <row r="1" spans="11:12" s="133" customFormat="1" x14ac:dyDescent="0.25">
      <c r="K1" s="479"/>
      <c r="L1" s="478"/>
    </row>
    <row r="2" spans="11:12" s="133" customFormat="1" x14ac:dyDescent="0.25">
      <c r="K2" s="479"/>
      <c r="L2" s="478"/>
    </row>
    <row r="3" spans="11:12" s="133" customFormat="1" x14ac:dyDescent="0.25">
      <c r="K3" s="479"/>
      <c r="L3" s="478"/>
    </row>
    <row r="4" spans="11:12" s="133" customFormat="1" x14ac:dyDescent="0.25">
      <c r="K4" s="479"/>
      <c r="L4" s="478"/>
    </row>
    <row r="5" spans="11:12" s="133" customFormat="1" x14ac:dyDescent="0.25">
      <c r="K5" s="479"/>
      <c r="L5" s="478"/>
    </row>
    <row r="6" spans="11:12" s="133" customFormat="1" x14ac:dyDescent="0.25">
      <c r="K6" s="479"/>
      <c r="L6" s="478"/>
    </row>
    <row r="7" spans="11:12" s="133" customFormat="1" x14ac:dyDescent="0.25">
      <c r="K7" s="479"/>
      <c r="L7" s="478"/>
    </row>
    <row r="8" spans="11:12" s="133" customFormat="1" x14ac:dyDescent="0.25">
      <c r="K8" s="479"/>
      <c r="L8" s="478"/>
    </row>
    <row r="9" spans="11:12" s="133" customFormat="1" x14ac:dyDescent="0.25">
      <c r="K9" s="479"/>
      <c r="L9" s="478"/>
    </row>
    <row r="10" spans="11:12" s="133" customFormat="1" x14ac:dyDescent="0.25">
      <c r="K10" s="479"/>
      <c r="L10" s="478"/>
    </row>
    <row r="11" spans="11:12" s="133" customFormat="1" x14ac:dyDescent="0.25">
      <c r="K11" s="479"/>
      <c r="L11" s="478"/>
    </row>
    <row r="12" spans="11:12" s="133" customFormat="1" x14ac:dyDescent="0.25">
      <c r="K12" s="479"/>
      <c r="L12" s="478"/>
    </row>
    <row r="13" spans="11:12" s="133" customFormat="1" x14ac:dyDescent="0.25">
      <c r="K13" s="479"/>
      <c r="L13" s="478"/>
    </row>
    <row r="14" spans="11:12" s="133" customFormat="1" x14ac:dyDescent="0.25">
      <c r="K14" s="479"/>
      <c r="L14" s="478"/>
    </row>
    <row r="15" spans="11:12" s="133" customFormat="1" x14ac:dyDescent="0.25">
      <c r="K15" s="479"/>
      <c r="L15" s="478"/>
    </row>
    <row r="16" spans="11:12" s="133" customFormat="1" x14ac:dyDescent="0.25">
      <c r="K16" s="479"/>
      <c r="L16" s="478"/>
    </row>
    <row r="17" spans="1:21" s="133" customFormat="1" x14ac:dyDescent="0.25">
      <c r="K17" s="479"/>
      <c r="L17" s="478"/>
    </row>
    <row r="18" spans="1:21" s="133" customFormat="1" x14ac:dyDescent="0.25">
      <c r="K18" s="479"/>
      <c r="L18" s="478"/>
    </row>
    <row r="19" spans="1:21" s="133" customFormat="1" x14ac:dyDescent="0.25">
      <c r="K19" s="479"/>
      <c r="L19" s="478"/>
    </row>
    <row r="20" spans="1:21" s="133" customFormat="1" x14ac:dyDescent="0.25">
      <c r="K20" s="479"/>
      <c r="L20" s="478"/>
    </row>
    <row r="21" spans="1:21" s="133" customFormat="1" x14ac:dyDescent="0.25">
      <c r="K21" s="479"/>
      <c r="L21" s="478"/>
    </row>
    <row r="22" spans="1:21" s="133" customFormat="1" x14ac:dyDescent="0.25">
      <c r="K22" s="479"/>
      <c r="L22" s="478"/>
    </row>
    <row r="23" spans="1:21" s="133" customFormat="1" x14ac:dyDescent="0.25">
      <c r="K23" s="479"/>
      <c r="L23" s="478"/>
    </row>
    <row r="24" spans="1:21" s="133" customFormat="1" x14ac:dyDescent="0.25">
      <c r="K24" s="479"/>
      <c r="L24" s="478"/>
    </row>
    <row r="25" spans="1:21" s="133" customFormat="1" x14ac:dyDescent="0.25">
      <c r="K25" s="479"/>
      <c r="L25" s="478"/>
      <c r="O25" s="756"/>
      <c r="P25" s="756"/>
      <c r="Q25" s="756"/>
      <c r="R25" s="756"/>
      <c r="S25" s="756"/>
      <c r="T25" s="756"/>
      <c r="U25" s="756"/>
    </row>
    <row r="26" spans="1:21" s="133" customFormat="1" x14ac:dyDescent="0.25">
      <c r="K26" s="479"/>
      <c r="L26" s="478"/>
      <c r="O26" s="756"/>
      <c r="P26" s="756"/>
      <c r="Q26" s="756"/>
      <c r="R26" s="756"/>
      <c r="S26" s="756"/>
      <c r="T26" s="756"/>
      <c r="U26" s="756"/>
    </row>
    <row r="27" spans="1:21" s="133" customFormat="1" x14ac:dyDescent="0.25">
      <c r="K27" s="479"/>
      <c r="L27" s="478"/>
      <c r="O27" s="756"/>
      <c r="P27" s="756"/>
      <c r="Q27" s="756"/>
      <c r="R27" s="756"/>
      <c r="S27" s="756"/>
      <c r="T27" s="756"/>
      <c r="U27" s="756"/>
    </row>
    <row r="28" spans="1:21" s="133" customFormat="1" ht="24.75" customHeight="1" x14ac:dyDescent="0.3">
      <c r="A28" s="502" t="str">
        <f>CHOOSE(MODE, 'Variable Mgmt'!K7,'Variable Mgmt'!K8)</f>
        <v>DUAL Output PSR Flyback Converter, VIN = 24 V, VOUT1 = 15 V, IOUT1 = 0,1 A, VOUT2 = 8 V, IOUT2 = 0,5 A</v>
      </c>
      <c r="K28" s="478"/>
      <c r="L28" s="478"/>
      <c r="O28" s="756"/>
      <c r="P28" s="756"/>
      <c r="Q28" s="756"/>
      <c r="R28" s="756"/>
      <c r="S28" s="756"/>
      <c r="T28" s="756"/>
      <c r="U28" s="756"/>
    </row>
    <row r="29" spans="1:21" ht="24.75" customHeight="1" thickBot="1" x14ac:dyDescent="0.3">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LM5181 High Efficiency PSR Flyback Converter BOM</v>
      </c>
      <c r="O29" s="757"/>
      <c r="P29" s="757"/>
      <c r="Q29" s="757"/>
      <c r="R29" s="757"/>
      <c r="S29" s="757"/>
      <c r="T29" s="757"/>
      <c r="U29" s="757"/>
    </row>
    <row r="30" spans="1:21" ht="18" customHeight="1" x14ac:dyDescent="0.25">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00000000000001" customHeight="1" x14ac:dyDescent="0.25">
      <c r="A31" s="117">
        <f>ROUNDUP('LM(2)518x PSR flyback converter'!E18/10,0)</f>
        <v>1</v>
      </c>
      <c r="B31" s="129" t="s">
        <v>120</v>
      </c>
      <c r="C31" s="132">
        <f>Cin</f>
        <v>10</v>
      </c>
      <c r="D31" s="802" t="str">
        <f>IF(VIN_max&gt;35, "Capacitor, Ceramic, "&amp;'Variable Mgmt'!B226&amp;", 100V, X7R, 10%", "Capacitor, Ceramic, "&amp;'Variable Mgmt'!B226&amp;", 50V, X7R, 10%")</f>
        <v>Capacitor, Ceramic, 10µF, 50V,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00000000000001" customHeight="1" x14ac:dyDescent="0.25">
      <c r="A32" s="117">
        <v>1</v>
      </c>
      <c r="B32" s="129" t="s">
        <v>121</v>
      </c>
      <c r="C32" s="132">
        <f>Cout</f>
        <v>10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10µF, 25V,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00000000000001" customHeight="1" x14ac:dyDescent="0.25">
      <c r="A33" s="117" t="str">
        <f>CHOOSE(MODE, "-", "1")</f>
        <v>1</v>
      </c>
      <c r="B33" s="129" t="s">
        <v>637</v>
      </c>
      <c r="C33" s="132">
        <f>CHOOSE(MODE, "-", Cout2)</f>
        <v>47</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Capacitor, Ceramic, 47µF, 25V, X7R, 10%</v>
      </c>
      <c r="E33" s="610"/>
      <c r="F33" s="610"/>
      <c r="G33" s="130"/>
      <c r="H33" s="131" t="str">
        <f>CHOOSE(MODE, "-", "Std")</f>
        <v>Std</v>
      </c>
      <c r="I33" s="484" t="str">
        <f>CHOOSE(MODE, "-", "Std")</f>
        <v>Std</v>
      </c>
      <c r="J33" s="493" t="str">
        <f>CHOOSE(MODE, "-", CHOOSE(Q33,'Variable Mgmt'!T64,'Variable Mgmt'!T65,'Variable Mgmt'!T66,'Variable Mgmt'!T67,'Variable Mgmt'!T68))</f>
        <v>3.2 x 2.5</v>
      </c>
      <c r="K33" s="491">
        <f>CHOOSE(MODE, "-", CHOOSE(Q33,'Variable Mgmt'!U64,'Variable Mgmt'!U65,'Variable Mgmt'!U66,'Variable Mgmt'!U67,'Variable Mgmt'!U68))</f>
        <v>8</v>
      </c>
      <c r="L33" s="496"/>
      <c r="O33" s="759"/>
      <c r="P33" s="762"/>
      <c r="Q33" s="764">
        <v>5</v>
      </c>
      <c r="R33" s="759"/>
      <c r="S33" s="759"/>
      <c r="T33" s="759"/>
      <c r="U33" s="759"/>
    </row>
    <row r="34" spans="1:21" s="118" customFormat="1" ht="17.100000000000001" customHeight="1" x14ac:dyDescent="0.25">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00000000000001" customHeight="1" x14ac:dyDescent="0.25">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00000000000001" customHeight="1" x14ac:dyDescent="0.25">
      <c r="A36" s="124" t="str">
        <f>CHOOSE(MODE, "-", "1")</f>
        <v>1</v>
      </c>
      <c r="B36" s="125" t="s">
        <v>638</v>
      </c>
      <c r="C36" s="126" t="str">
        <f>CHOOSE(MODE, "-", "Diode")</f>
        <v>Diode</v>
      </c>
      <c r="D36" s="809" t="str">
        <f>CHOOSE(MODE, "-", "Rectifying Diode, Schottky")</f>
        <v>Rectifying Diode, Schottky</v>
      </c>
      <c r="E36" s="810"/>
      <c r="F36" s="810"/>
      <c r="G36" s="127" t="s">
        <v>119</v>
      </c>
      <c r="H36" s="128" t="str">
        <f>CHOOSE(MODE, "-", "Std")</f>
        <v>Std</v>
      </c>
      <c r="I36" s="486" t="str">
        <f>CHOOSE(MODE, "-", "Std")</f>
        <v>Std</v>
      </c>
      <c r="J36" s="628" t="str">
        <f>CHOOSE(MODE, "-", CHOOSE(Q36,'Variable Mgmt'!Y73,'Variable Mgmt'!Y74,'Variable Mgmt'!Y75,'Variable Mgmt'!Y76))</f>
        <v>3.6 x 1.8</v>
      </c>
      <c r="K36" s="629">
        <f>CHOOSE(MODE, "-", CHOOSE(Q36,'Variable Mgmt'!Z73,'Variable Mgmt'!Z74,'Variable Mgmt'!Z75,'Variable Mgmt'!Z76))</f>
        <v>6.5</v>
      </c>
      <c r="L36" s="496"/>
      <c r="O36" s="759"/>
      <c r="P36" s="762"/>
      <c r="Q36" s="764">
        <v>3</v>
      </c>
      <c r="R36" s="759"/>
      <c r="S36" s="759"/>
      <c r="T36" s="759"/>
      <c r="U36" s="759"/>
    </row>
    <row r="37" spans="1:21" s="118" customFormat="1" ht="17.100000000000001" customHeight="1" x14ac:dyDescent="0.25">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00000000000001" customHeight="1" x14ac:dyDescent="0.25">
      <c r="A38" s="124">
        <v>1</v>
      </c>
      <c r="B38" s="125" t="s">
        <v>636</v>
      </c>
      <c r="C38" s="126" t="str">
        <f>Vout*Nps*1.3&amp;"V"</f>
        <v>890935,5V</v>
      </c>
      <c r="D38" s="809" t="str">
        <f>"Clamp Circuit Diode, Zener, "&amp;ROUND(Vout*Nps*13,0)/10&amp;"V"</f>
        <v>Clamp Circuit Diode, Zener, 890935,5V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00000000000001" customHeight="1" x14ac:dyDescent="0.25">
      <c r="A39" s="124">
        <v>1</v>
      </c>
      <c r="B39" s="125" t="s">
        <v>648</v>
      </c>
      <c r="C39" s="126" t="str">
        <f>Vout*1.1&amp;"V"</f>
        <v>16,5V</v>
      </c>
      <c r="D39" s="632" t="str">
        <f>"Output Clamp Diode, Zener, "&amp;(ROUND(Vout*11.25,0)/10)&amp;"V"</f>
        <v>Output Clamp Diode, Zener, 16,9V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00000000000001" customHeight="1" x14ac:dyDescent="0.25">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00000000000001" customHeight="1" x14ac:dyDescent="0.25">
      <c r="A41" s="119">
        <v>1</v>
      </c>
      <c r="B41" s="120" t="s">
        <v>536</v>
      </c>
      <c r="C41" s="121">
        <f>Rfb/1000</f>
        <v>196</v>
      </c>
      <c r="D41" s="807">
        <f>C41</f>
        <v>196</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00000000000001" customHeight="1" x14ac:dyDescent="0.25">
      <c r="A42" s="119" t="str">
        <f>CHOOSE(MODE_UVLO, "1", "-")</f>
        <v>1</v>
      </c>
      <c r="B42" s="120" t="s">
        <v>126</v>
      </c>
      <c r="C42" s="464" t="str">
        <f>CHOOSE(MODE_UVLO, 'Variable Mgmt'!H245, "-")</f>
        <v>280k</v>
      </c>
      <c r="D42" s="816" t="str">
        <f>CHOOSE(MODE_UVLO, "Resistor, Chip, "&amp;'Variable Mgmt'!C245&amp;", 1/16W, 1%", "-")</f>
        <v>Resistor, Chip, 280kΩ, 1/16W, 1%</v>
      </c>
      <c r="E42" s="817"/>
      <c r="F42" s="817"/>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00000000000001" customHeight="1" x14ac:dyDescent="0.25">
      <c r="A43" s="119" t="str">
        <f>CHOOSE(MODE_UVLO, "1", "-")</f>
        <v>1</v>
      </c>
      <c r="B43" s="120" t="s">
        <v>127</v>
      </c>
      <c r="C43" s="464" t="str">
        <f>CHOOSE(MODE_UVLO, 'Variable Mgmt'!H246, "-")</f>
        <v>25,5k</v>
      </c>
      <c r="D43" s="816" t="str">
        <f>CHOOSE(MODE_UVLO, "Resistor, Chip, "&amp;'Variable Mgmt'!C246&amp;", 1/16W, 1%", "-")</f>
        <v>Resistor, Chip, 25,5kΩ, 1/16W, 1%</v>
      </c>
      <c r="E43" s="817"/>
      <c r="F43" s="817"/>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00000000000001" customHeight="1" x14ac:dyDescent="0.25">
      <c r="A44" s="119" t="str">
        <f>CHOOSE(MODE_TC, "1", "-")</f>
        <v>1</v>
      </c>
      <c r="B44" s="120" t="s">
        <v>527</v>
      </c>
      <c r="C44" s="121">
        <f>CHOOSE(MODE_TC, RTC, "-")</f>
        <v>8.6599999999999993E-3</v>
      </c>
      <c r="D44" s="807" t="str">
        <f>CHOOSE(MODE_TC, "Resistor, Chip, "&amp;'Variable Mgmt'!B241&amp;", 1/16W, 1%", "-")</f>
        <v>Resistor, Chip, 0,00866kΩ,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5">
      <c r="A45" s="124">
        <v>1</v>
      </c>
      <c r="B45" s="125" t="s">
        <v>535</v>
      </c>
      <c r="C45" s="627">
        <f>'LM(2)518x PSR flyback converter'!L7</f>
        <v>30</v>
      </c>
      <c r="D45" s="813" t="str">
        <f>"Transformer, "&amp;L*1000000&amp;"µH, "&amp;'Variable Mgmt'!W52&amp;", "&amp;Rdcr_pri*1000&amp;"mΩ Pri DCR, "&amp;Isat&amp;"A Isat"</f>
        <v>Transformer, 30µH, 1.2 : 1 : 0,54, 100mΩ Pri DCR, 1A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00000000000001" customHeight="1" x14ac:dyDescent="0.25">
      <c r="A46" s="468">
        <v>1</v>
      </c>
      <c r="B46" s="474" t="s">
        <v>128</v>
      </c>
      <c r="C46" s="495" t="str">
        <f>CHOOSE(VARIANT, "LM5180", "LM5181", "LM25180", "LM25183", "LM25184")</f>
        <v>LM5181</v>
      </c>
      <c r="D46" s="475" t="str">
        <f>CHOOSE(VARIANT, "IC, LM5180, PSR Flyback Converter, 4.5V–65V Input", "IC, LM5181, PSR Flyback Converter, 4.5V–65V Input", "IC, LM25180, PSR Flyback Converter, 4.5V–42V Input", "IC, LM25183, PSR Flyback Converter, 4.5V–42V Input", "IC, LM25184, PSR Flyback Converter, 4.5V–42V Input")</f>
        <v>IC, LM5181, PSR Flyback Converter, 4.5V–65V Input</v>
      </c>
      <c r="E46" s="476"/>
      <c r="F46" s="477"/>
      <c r="G46" s="473" t="s">
        <v>534</v>
      </c>
      <c r="H46" s="473" t="str">
        <f>CHOOSE(VARIANT, "LM5180NGUR", "LM5181NGUR", "LM25180NGUR", "LM25183NGUR", "LM25184NGUR")</f>
        <v>LM5181NGUR</v>
      </c>
      <c r="I46" s="475" t="s">
        <v>357</v>
      </c>
      <c r="J46" s="494" t="s">
        <v>355</v>
      </c>
      <c r="K46" s="492">
        <v>16</v>
      </c>
      <c r="L46" s="472"/>
      <c r="M46" s="472"/>
      <c r="N46" s="118"/>
      <c r="Q46" s="503"/>
    </row>
    <row r="47" spans="1:21" ht="17.100000000000001" customHeight="1" x14ac:dyDescent="0.25">
      <c r="J47" s="118"/>
      <c r="K47" s="482"/>
      <c r="L47" s="472"/>
      <c r="M47" s="472"/>
      <c r="N47" s="118"/>
    </row>
    <row r="48" spans="1:21" ht="17.25" customHeight="1" x14ac:dyDescent="0.3">
      <c r="H48" s="801" t="s">
        <v>359</v>
      </c>
      <c r="I48" s="801"/>
      <c r="J48" s="801"/>
      <c r="K48" s="500">
        <f>SUM(K31:K46)*1.25</f>
        <v>220.375</v>
      </c>
      <c r="L48" s="504" t="s">
        <v>360</v>
      </c>
      <c r="M48" s="501">
        <f>K48/25.4/25.4</f>
        <v>0.34158193316386637</v>
      </c>
      <c r="N48" s="504" t="s">
        <v>358</v>
      </c>
    </row>
    <row r="49" spans="1:14" ht="17.100000000000001" customHeight="1" x14ac:dyDescent="0.25">
      <c r="J49" s="487"/>
      <c r="K49" s="488"/>
      <c r="L49" s="489"/>
      <c r="M49" s="490"/>
      <c r="N49" s="489"/>
    </row>
    <row r="50" spans="1:14" ht="20.25" customHeight="1" x14ac:dyDescent="0.25">
      <c r="A50" s="481" t="s">
        <v>137</v>
      </c>
    </row>
    <row r="51" spans="1:14" x14ac:dyDescent="0.25">
      <c r="A51" s="115" t="s">
        <v>819</v>
      </c>
    </row>
    <row r="52" spans="1:14" x14ac:dyDescent="0.25">
      <c r="A52" s="115" t="s">
        <v>820</v>
      </c>
      <c r="K52" s="480"/>
    </row>
    <row r="53" spans="1:14" x14ac:dyDescent="0.25">
      <c r="A53" s="115" t="s">
        <v>821</v>
      </c>
    </row>
    <row r="54" spans="1:14" x14ac:dyDescent="0.25">
      <c r="A54" s="115" t="s">
        <v>822</v>
      </c>
    </row>
    <row r="55" spans="1:14" x14ac:dyDescent="0.25">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15240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15240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15240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15240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15240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15240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15240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15240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15240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15240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15240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15240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15240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899160</xdr:colOff>
                    <xdr:row>32</xdr:row>
                    <xdr:rowOff>15240</xdr:rowOff>
                  </from>
                  <to>
                    <xdr:col>6</xdr:col>
                    <xdr:colOff>868680</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15240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Y6"/>
  <sheetViews>
    <sheetView zoomScaleNormal="100" workbookViewId="0">
      <selection sqref="A1:Q1"/>
    </sheetView>
  </sheetViews>
  <sheetFormatPr baseColWidth="10" defaultColWidth="9.21875" defaultRowHeight="13.2" x14ac:dyDescent="0.25"/>
  <cols>
    <col min="1" max="13" width="9.21875" style="85"/>
    <col min="14" max="14" width="11.77734375" style="85" customWidth="1"/>
    <col min="15" max="16" width="9.21875" style="85"/>
    <col min="17" max="17" width="15.77734375" style="85" customWidth="1"/>
    <col min="18" max="16384" width="9.21875" style="85"/>
  </cols>
  <sheetData>
    <row r="1" spans="1:25" s="76" customFormat="1" ht="47.25" customHeight="1" x14ac:dyDescent="0.3">
      <c r="A1" s="822" t="s">
        <v>817</v>
      </c>
      <c r="B1" s="823"/>
      <c r="C1" s="823"/>
      <c r="D1" s="823"/>
      <c r="E1" s="823"/>
      <c r="F1" s="823"/>
      <c r="G1" s="823"/>
      <c r="H1" s="823"/>
      <c r="I1" s="823"/>
      <c r="J1" s="823"/>
      <c r="K1" s="823"/>
      <c r="L1" s="823"/>
      <c r="M1" s="823"/>
      <c r="N1" s="823"/>
      <c r="O1" s="823"/>
      <c r="P1" s="823"/>
      <c r="Q1" s="823"/>
      <c r="R1" s="83"/>
    </row>
    <row r="6" spans="1:25" ht="20.399999999999999" x14ac:dyDescent="0.35">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baseColWidth="10" defaultColWidth="8.88671875" defaultRowHeight="13.2" x14ac:dyDescent="0.25"/>
  <cols>
    <col min="1" max="1" width="40.44140625" customWidth="1"/>
    <col min="2" max="2" width="11.77734375" customWidth="1"/>
    <col min="3" max="3" width="9.44140625" style="3" customWidth="1"/>
    <col min="4" max="4" width="10.21875" customWidth="1"/>
    <col min="5" max="5" width="11.5546875" customWidth="1"/>
    <col min="6" max="6" width="14.77734375" customWidth="1"/>
    <col min="7" max="7" width="12.44140625" bestFit="1" customWidth="1"/>
    <col min="8" max="8" width="20.21875" customWidth="1"/>
    <col min="9" max="9" width="14.44140625" customWidth="1"/>
    <col min="10" max="10" width="12.44140625" bestFit="1" customWidth="1"/>
    <col min="11" max="11" width="12" customWidth="1"/>
    <col min="12" max="12" width="8.77734375" customWidth="1"/>
    <col min="13" max="13" width="7" customWidth="1"/>
    <col min="14" max="14" width="9.21875" customWidth="1"/>
    <col min="16" max="16" width="11.77734375" customWidth="1"/>
    <col min="17" max="17" width="11" customWidth="1"/>
    <col min="18" max="18" width="13.77734375" customWidth="1"/>
    <col min="19" max="19" width="5.44140625" customWidth="1"/>
    <col min="20" max="20" width="16.21875" customWidth="1"/>
    <col min="22" max="22" width="9.77734375" customWidth="1"/>
    <col min="23" max="23" width="11.21875" customWidth="1"/>
    <col min="24" max="24" width="5.77734375" customWidth="1"/>
    <col min="26" max="26" width="7.77734375" customWidth="1"/>
  </cols>
  <sheetData>
    <row r="1" spans="1:18" ht="30.75" customHeight="1" x14ac:dyDescent="0.5">
      <c r="A1" s="825" t="s">
        <v>171</v>
      </c>
      <c r="B1" s="825"/>
      <c r="C1" s="825"/>
      <c r="D1" s="825"/>
      <c r="E1" s="825"/>
      <c r="F1" s="825"/>
      <c r="G1" s="825"/>
      <c r="H1" s="825"/>
      <c r="I1" s="825"/>
    </row>
    <row r="2" spans="1:18" ht="12" customHeight="1" x14ac:dyDescent="0.25">
      <c r="A2" s="19"/>
      <c r="B2" s="19" t="s">
        <v>81</v>
      </c>
      <c r="C2" s="20"/>
      <c r="E2" s="19"/>
      <c r="F2" s="19"/>
      <c r="G2" s="19"/>
      <c r="H2" s="19"/>
      <c r="I2" s="19"/>
    </row>
    <row r="3" spans="1:18" ht="11.25" customHeight="1" x14ac:dyDescent="0.25">
      <c r="A3" s="19"/>
      <c r="B3" s="19" t="s">
        <v>100</v>
      </c>
      <c r="C3" s="21"/>
      <c r="E3" s="19"/>
      <c r="F3" s="19"/>
      <c r="G3" s="19"/>
      <c r="H3" s="19"/>
      <c r="I3" s="19"/>
    </row>
    <row r="4" spans="1:18" ht="11.25" customHeight="1" x14ac:dyDescent="0.25">
      <c r="A4" s="19"/>
      <c r="B4" s="19" t="s">
        <v>82</v>
      </c>
      <c r="C4" s="22"/>
      <c r="E4" s="19"/>
      <c r="F4" s="19"/>
      <c r="G4" s="19"/>
      <c r="H4" s="19"/>
      <c r="I4" s="19"/>
    </row>
    <row r="5" spans="1:18" x14ac:dyDescent="0.25">
      <c r="A5" s="3" t="s">
        <v>19</v>
      </c>
      <c r="B5" s="3" t="s">
        <v>6</v>
      </c>
      <c r="C5" s="3" t="s">
        <v>7</v>
      </c>
      <c r="E5" s="824" t="s">
        <v>9</v>
      </c>
      <c r="F5" s="824"/>
      <c r="G5" s="824"/>
      <c r="H5" s="824"/>
      <c r="I5" s="3" t="s">
        <v>173</v>
      </c>
    </row>
    <row r="6" spans="1:18" ht="16.2" thickBot="1" x14ac:dyDescent="0.35">
      <c r="A6" s="51" t="s">
        <v>61</v>
      </c>
      <c r="B6" s="40"/>
      <c r="C6" s="40"/>
      <c r="D6" s="40"/>
      <c r="E6" s="52"/>
      <c r="F6" s="52"/>
      <c r="G6" s="52"/>
      <c r="H6" s="52"/>
      <c r="I6" s="40"/>
    </row>
    <row r="7" spans="1:18" x14ac:dyDescent="0.25">
      <c r="A7" s="110" t="s">
        <v>145</v>
      </c>
      <c r="B7" s="9">
        <f>'LM(2)518x PSR flyback converter'!E6</f>
        <v>20</v>
      </c>
      <c r="C7" s="31" t="s">
        <v>0</v>
      </c>
      <c r="D7" s="80" t="s">
        <v>146</v>
      </c>
      <c r="E7" s="31"/>
      <c r="F7" s="31"/>
      <c r="G7" s="31"/>
      <c r="H7" s="31"/>
      <c r="I7" s="32">
        <v>1</v>
      </c>
      <c r="K7" t="str">
        <f>'Variable Mgmt'!B59&amp;" Output PSR Flyback Converter, "&amp;"VIN = "&amp;Vin&amp;" V, VOUT = "&amp;Vout&amp;" V, IOUT = "&amp;Iout&amp;" A"</f>
        <v>DUAL Output PSR Flyback Converter, VIN = 24 V, VOUT = 15 V, IOUT = 0,1 A</v>
      </c>
    </row>
    <row r="8" spans="1:18" x14ac:dyDescent="0.25">
      <c r="A8" s="111" t="s">
        <v>143</v>
      </c>
      <c r="B8" s="10">
        <f>'LM(2)518x PSR flyback converter'!E7</f>
        <v>24</v>
      </c>
      <c r="C8" s="7" t="s">
        <v>0</v>
      </c>
      <c r="D8" s="7" t="s">
        <v>10</v>
      </c>
      <c r="F8" s="587"/>
      <c r="G8" s="7"/>
      <c r="H8" s="78"/>
      <c r="I8" s="25"/>
      <c r="K8" t="str">
        <f>'Variable Mgmt'!B59&amp;" Output PSR Flyback Converter, "&amp;"VIN = "&amp;Vin&amp;" V, VOUT1 = "&amp;Vout&amp;" V, IOUT1 = "&amp;Iout&amp;" A"&amp;", VOUT2 = "&amp;Vout2_actual&amp;" V, IOUT2 = "&amp;Iout2_actual&amp;" A"</f>
        <v>DUAL Output PSR Flyback Converter, VIN = 24 V, VOUT1 = 15 V, IOUT1 = 0,1 A, VOUT2 = 8 V, IOUT2 = 0,5 A</v>
      </c>
    </row>
    <row r="9" spans="1:18" x14ac:dyDescent="0.25">
      <c r="A9" s="111" t="s">
        <v>144</v>
      </c>
      <c r="B9" s="10">
        <f>'LM(2)518x PSR flyback converter'!E8</f>
        <v>28</v>
      </c>
      <c r="C9" s="7" t="s">
        <v>0</v>
      </c>
      <c r="D9" s="78" t="s">
        <v>147</v>
      </c>
      <c r="F9" s="587"/>
      <c r="G9" s="7"/>
      <c r="H9" s="7"/>
      <c r="I9" s="25"/>
    </row>
    <row r="10" spans="1:18" x14ac:dyDescent="0.25">
      <c r="A10" s="111"/>
      <c r="B10" s="209"/>
      <c r="C10" s="61"/>
      <c r="D10" s="78"/>
      <c r="F10" s="7"/>
      <c r="G10" s="7"/>
      <c r="H10" s="7"/>
      <c r="I10" s="25"/>
      <c r="P10" s="159" t="s">
        <v>790</v>
      </c>
      <c r="Q10" s="165">
        <v>1</v>
      </c>
    </row>
    <row r="11" spans="1:18" x14ac:dyDescent="0.25">
      <c r="A11" s="24" t="s">
        <v>4</v>
      </c>
      <c r="B11" s="10">
        <f>'LM(2)518x PSR flyback converter'!E10</f>
        <v>15</v>
      </c>
      <c r="C11" s="7" t="s">
        <v>0</v>
      </c>
      <c r="D11" s="78" t="s">
        <v>576</v>
      </c>
      <c r="F11" s="7"/>
      <c r="G11" s="7">
        <f>(Vout+Vfwd1)*Nps</f>
        <v>695386.58000000007</v>
      </c>
      <c r="H11" s="7"/>
      <c r="I11" s="25">
        <v>1</v>
      </c>
      <c r="P11" s="159" t="s">
        <v>801</v>
      </c>
      <c r="Q11" s="165">
        <v>2</v>
      </c>
    </row>
    <row r="12" spans="1:18" x14ac:dyDescent="0.25">
      <c r="A12" s="24" t="s">
        <v>5</v>
      </c>
      <c r="B12" s="583">
        <f>'LM(2)518x PSR flyback converter'!E11</f>
        <v>0.1</v>
      </c>
      <c r="C12" s="78" t="s">
        <v>1</v>
      </c>
      <c r="D12" s="78" t="s">
        <v>663</v>
      </c>
      <c r="F12" s="7"/>
      <c r="G12" s="7"/>
      <c r="H12" s="7"/>
      <c r="I12" s="25">
        <v>1</v>
      </c>
      <c r="L12" s="77"/>
      <c r="P12" s="399" t="s">
        <v>791</v>
      </c>
      <c r="Q12" s="587">
        <v>3</v>
      </c>
    </row>
    <row r="13" spans="1:18" x14ac:dyDescent="0.25">
      <c r="A13" s="111" t="s">
        <v>168</v>
      </c>
      <c r="B13" s="158">
        <f>Vout/Iout</f>
        <v>150</v>
      </c>
      <c r="C13" s="114" t="s">
        <v>45</v>
      </c>
      <c r="D13" s="112" t="s">
        <v>169</v>
      </c>
      <c r="F13" s="7"/>
      <c r="G13" s="7"/>
      <c r="H13" s="7"/>
      <c r="I13" s="25"/>
      <c r="P13" s="399" t="s">
        <v>802</v>
      </c>
      <c r="Q13" s="587">
        <v>4</v>
      </c>
    </row>
    <row r="14" spans="1:18" x14ac:dyDescent="0.25">
      <c r="A14" s="111" t="s">
        <v>152</v>
      </c>
      <c r="B14" s="582">
        <f>Vout*Iout</f>
        <v>1.5</v>
      </c>
      <c r="C14" s="61" t="s">
        <v>45</v>
      </c>
      <c r="D14" s="112" t="s">
        <v>158</v>
      </c>
      <c r="F14" s="7"/>
      <c r="G14" s="7"/>
      <c r="H14" s="7"/>
      <c r="I14" s="25"/>
      <c r="L14" s="77"/>
      <c r="P14" s="399" t="s">
        <v>803</v>
      </c>
      <c r="Q14" s="587">
        <v>5</v>
      </c>
    </row>
    <row r="15" spans="1:18" x14ac:dyDescent="0.25">
      <c r="B15" s="376"/>
      <c r="C15" s="61"/>
      <c r="D15" s="112"/>
      <c r="F15" s="7"/>
      <c r="G15" s="7"/>
      <c r="H15" s="7"/>
      <c r="I15" s="25"/>
      <c r="L15" s="77"/>
      <c r="O15" s="378" t="s">
        <v>789</v>
      </c>
      <c r="P15" s="162" t="str">
        <f>CHOOSE(VARIANT, "LM5180", "LM5181", "LM25180", "LM25183", "LM25184")</f>
        <v>LM5181</v>
      </c>
      <c r="Q15" s="378">
        <v>2</v>
      </c>
      <c r="R15" s="5"/>
    </row>
    <row r="16" spans="1:18" x14ac:dyDescent="0.25">
      <c r="A16" s="111" t="s">
        <v>621</v>
      </c>
      <c r="B16" s="584">
        <f>ABS('LM(2)518x PSR flyback converter'!E12)</f>
        <v>8</v>
      </c>
      <c r="C16" s="7" t="s">
        <v>0</v>
      </c>
      <c r="D16" s="78" t="s">
        <v>578</v>
      </c>
      <c r="F16" s="7"/>
      <c r="G16" s="7"/>
      <c r="H16" s="7"/>
      <c r="I16" s="25"/>
      <c r="L16" s="77"/>
      <c r="O16" s="467" t="s">
        <v>792</v>
      </c>
      <c r="P16" s="743">
        <f>CHOOSE(VARIANT, 65, 65, 42, 42, 42)</f>
        <v>65</v>
      </c>
      <c r="Q16" t="s">
        <v>0</v>
      </c>
    </row>
    <row r="17" spans="1:23" x14ac:dyDescent="0.25">
      <c r="A17" s="111" t="s">
        <v>622</v>
      </c>
      <c r="B17" s="625">
        <f>'LM(2)518x PSR flyback converter'!E12</f>
        <v>8</v>
      </c>
      <c r="C17" s="61" t="s">
        <v>0</v>
      </c>
      <c r="D17" s="78"/>
      <c r="F17" s="7"/>
      <c r="G17" s="7"/>
      <c r="H17" s="7"/>
      <c r="I17" s="25"/>
      <c r="L17" s="77"/>
      <c r="O17" s="449" t="s">
        <v>851</v>
      </c>
      <c r="P17">
        <f>CHOOSE(VARIANT, 100, 100, 70, 70, 70)</f>
        <v>100</v>
      </c>
      <c r="Q17" s="77" t="s">
        <v>0</v>
      </c>
    </row>
    <row r="18" spans="1:23" x14ac:dyDescent="0.25">
      <c r="A18" s="111" t="s">
        <v>508</v>
      </c>
      <c r="B18" s="584">
        <f>ABS('LM(2)518x PSR flyback converter'!E13)</f>
        <v>0.5</v>
      </c>
      <c r="C18" s="78" t="s">
        <v>1</v>
      </c>
      <c r="D18" s="78" t="s">
        <v>577</v>
      </c>
      <c r="F18" s="7"/>
      <c r="G18" s="7"/>
      <c r="H18" s="7"/>
      <c r="I18" s="25"/>
      <c r="L18" s="77"/>
    </row>
    <row r="19" spans="1:23" x14ac:dyDescent="0.25">
      <c r="A19" s="112" t="s">
        <v>662</v>
      </c>
      <c r="B19">
        <f>Iout2*SIGN(Vout2_actual)</f>
        <v>0.5</v>
      </c>
      <c r="C19" s="77" t="s">
        <v>1</v>
      </c>
      <c r="F19" s="7"/>
      <c r="G19" s="7"/>
      <c r="H19" s="7"/>
      <c r="I19" s="25"/>
      <c r="L19" s="77"/>
      <c r="P19" s="3" t="s">
        <v>784</v>
      </c>
    </row>
    <row r="20" spans="1:23" x14ac:dyDescent="0.25">
      <c r="A20" s="111" t="s">
        <v>509</v>
      </c>
      <c r="B20" s="582">
        <f>ABS(Vout2/Iout2)</f>
        <v>16</v>
      </c>
      <c r="C20" s="114" t="s">
        <v>45</v>
      </c>
      <c r="D20" s="112" t="s">
        <v>511</v>
      </c>
      <c r="F20" s="7"/>
      <c r="G20" s="7"/>
      <c r="H20" s="7"/>
      <c r="I20" s="25"/>
      <c r="K20" s="77" t="s">
        <v>542</v>
      </c>
      <c r="L20" s="77" t="s">
        <v>543</v>
      </c>
      <c r="P20" s="3" t="s">
        <v>783</v>
      </c>
      <c r="Q20">
        <v>1</v>
      </c>
    </row>
    <row r="21" spans="1:23" x14ac:dyDescent="0.25">
      <c r="A21" s="111" t="s">
        <v>510</v>
      </c>
      <c r="B21" s="582">
        <f>ABS(Vout2*Iout2)</f>
        <v>4</v>
      </c>
      <c r="C21" s="61" t="s">
        <v>45</v>
      </c>
      <c r="D21" s="112" t="s">
        <v>512</v>
      </c>
      <c r="F21" s="7"/>
      <c r="G21" s="7"/>
      <c r="H21" s="7"/>
      <c r="I21" s="25"/>
      <c r="K21">
        <v>5</v>
      </c>
      <c r="L21" s="77">
        <v>-5</v>
      </c>
      <c r="P21" s="3" t="s">
        <v>782</v>
      </c>
      <c r="Q21">
        <v>2</v>
      </c>
    </row>
    <row r="22" spans="1:23" x14ac:dyDescent="0.25">
      <c r="A22" s="111" t="s">
        <v>513</v>
      </c>
      <c r="B22" s="582">
        <f>CHOOSE(MODE, Pout, Pout + Pout2)</f>
        <v>5.5</v>
      </c>
      <c r="C22" s="61" t="s">
        <v>45</v>
      </c>
      <c r="D22" s="112" t="s">
        <v>514</v>
      </c>
      <c r="F22" s="7"/>
      <c r="G22" s="7"/>
      <c r="H22" s="7"/>
      <c r="I22" s="25"/>
      <c r="K22">
        <v>0.2</v>
      </c>
      <c r="L22" s="77">
        <v>0.2</v>
      </c>
      <c r="Q22" s="3">
        <v>2</v>
      </c>
    </row>
    <row r="23" spans="1:23" x14ac:dyDescent="0.25">
      <c r="A23" s="111"/>
      <c r="B23" s="376"/>
      <c r="C23" s="61"/>
      <c r="D23" s="112"/>
      <c r="F23" s="7"/>
      <c r="G23" s="7"/>
      <c r="H23" s="7"/>
      <c r="I23" s="25"/>
      <c r="L23" s="77"/>
    </row>
    <row r="24" spans="1:23" x14ac:dyDescent="0.25">
      <c r="A24" s="34" t="str">
        <f>CHOOSE(MODE, "Turns Ratio, PRI : SEC", "Turns Ratio, PRI : SEC1")</f>
        <v>Turns Ratio, PRI : SEC1</v>
      </c>
      <c r="B24" s="566" t="str">
        <f>Nps</f>
        <v>1.2</v>
      </c>
      <c r="C24" s="61"/>
      <c r="D24" s="112" t="str">
        <f>CHOOSE(MODE, "TR primary-secondary (single output) = Np/Ns", "TR primary-secondary1 (dual output) = Np/Nsec1")</f>
        <v>TR primary-secondary1 (dual output) = Np/Nsec1</v>
      </c>
      <c r="F24" s="7"/>
      <c r="G24" s="7"/>
      <c r="H24" s="7"/>
      <c r="I24" s="25"/>
      <c r="L24" s="77"/>
    </row>
    <row r="25" spans="1:23" x14ac:dyDescent="0.25">
      <c r="A25" s="34" t="s">
        <v>590</v>
      </c>
      <c r="B25" s="177">
        <f>Npri_sec2</f>
        <v>84596.90754257908</v>
      </c>
      <c r="D25" s="112" t="s">
        <v>591</v>
      </c>
      <c r="F25" s="7"/>
      <c r="G25" s="7"/>
      <c r="H25" s="7"/>
      <c r="I25" s="25"/>
      <c r="L25" s="77"/>
    </row>
    <row r="26" spans="1:23" x14ac:dyDescent="0.25">
      <c r="A26" s="34" t="s">
        <v>603</v>
      </c>
      <c r="B26" s="624">
        <f>Nsec1sec2</f>
        <v>0.5400788436268068</v>
      </c>
      <c r="D26" s="77" t="s">
        <v>592</v>
      </c>
      <c r="F26" s="7"/>
      <c r="G26" s="7"/>
      <c r="H26" s="7"/>
      <c r="I26" s="25"/>
      <c r="L26" s="77"/>
      <c r="R26" s="162" t="s">
        <v>396</v>
      </c>
      <c r="V26" s="162" t="s">
        <v>396</v>
      </c>
    </row>
    <row r="27" spans="1:23" x14ac:dyDescent="0.25">
      <c r="H27" s="7"/>
      <c r="I27" s="25"/>
      <c r="K27" s="162" t="s">
        <v>541</v>
      </c>
      <c r="R27" s="162" t="s">
        <v>585</v>
      </c>
      <c r="V27" s="162" t="s">
        <v>586</v>
      </c>
    </row>
    <row r="28" spans="1:23" x14ac:dyDescent="0.25">
      <c r="A28" s="77" t="s">
        <v>623</v>
      </c>
      <c r="B28" s="469">
        <f>Vout+VIN_max/Nps</f>
        <v>15.00061283897656</v>
      </c>
      <c r="C28" s="77" t="s">
        <v>0</v>
      </c>
      <c r="G28" s="7"/>
      <c r="H28" s="7"/>
      <c r="I28" s="25"/>
      <c r="K28" s="77" t="s">
        <v>538</v>
      </c>
      <c r="L28">
        <v>1</v>
      </c>
      <c r="R28" t="str">
        <f>"5 : 1"</f>
        <v>5 : 1</v>
      </c>
      <c r="S28">
        <v>1</v>
      </c>
      <c r="V28" t="str">
        <f>"5 : 1"</f>
        <v>5 : 1</v>
      </c>
      <c r="W28">
        <v>1</v>
      </c>
    </row>
    <row r="29" spans="1:23" x14ac:dyDescent="0.25">
      <c r="F29" s="7"/>
      <c r="G29" s="7"/>
      <c r="H29" s="7"/>
      <c r="I29" s="25"/>
      <c r="K29" s="77" t="s">
        <v>539</v>
      </c>
      <c r="L29">
        <v>2</v>
      </c>
      <c r="R29" t="str">
        <f>"4 : 1"</f>
        <v>4 : 1</v>
      </c>
      <c r="S29">
        <v>2</v>
      </c>
      <c r="V29" t="str">
        <f>"4 : 1"</f>
        <v>4 : 1</v>
      </c>
      <c r="W29">
        <v>2</v>
      </c>
    </row>
    <row r="30" spans="1:23" x14ac:dyDescent="0.25">
      <c r="A30" s="111" t="s">
        <v>443</v>
      </c>
      <c r="B30" s="375">
        <f>1%*Vout*1000</f>
        <v>150</v>
      </c>
      <c r="C30" s="61" t="s">
        <v>149</v>
      </c>
      <c r="D30" s="112" t="s">
        <v>461</v>
      </c>
      <c r="F30" s="7"/>
      <c r="G30" s="7"/>
      <c r="H30" s="7"/>
      <c r="I30" s="25"/>
      <c r="K30" s="77" t="s">
        <v>540</v>
      </c>
      <c r="L30">
        <v>3</v>
      </c>
      <c r="R30" t="str">
        <f>"3 : 1"</f>
        <v>3 : 1</v>
      </c>
      <c r="S30">
        <v>3</v>
      </c>
      <c r="V30" t="str">
        <f>"3 : 1"</f>
        <v>3 : 1</v>
      </c>
      <c r="W30">
        <v>3</v>
      </c>
    </row>
    <row r="31" spans="1:23" x14ac:dyDescent="0.25">
      <c r="A31" s="111"/>
      <c r="B31" s="375"/>
      <c r="C31" s="61"/>
      <c r="D31" s="112"/>
      <c r="F31" s="7"/>
      <c r="G31" s="7"/>
      <c r="H31" s="7"/>
      <c r="I31" s="25"/>
      <c r="K31" s="77"/>
      <c r="R31" t="str">
        <f>"2.5 : 1"</f>
        <v>2.5 : 1</v>
      </c>
      <c r="S31">
        <v>4</v>
      </c>
      <c r="V31" t="str">
        <f>"2.5 : 1"</f>
        <v>2.5 : 1</v>
      </c>
      <c r="W31">
        <v>4</v>
      </c>
    </row>
    <row r="32" spans="1:23" x14ac:dyDescent="0.25">
      <c r="A32" s="111" t="s">
        <v>560</v>
      </c>
      <c r="B32" s="375">
        <f>1%*Vout2*1000</f>
        <v>80</v>
      </c>
      <c r="C32" s="61" t="s">
        <v>149</v>
      </c>
      <c r="D32" s="112" t="s">
        <v>559</v>
      </c>
      <c r="F32" s="7"/>
      <c r="G32" s="7"/>
      <c r="H32" s="7"/>
      <c r="I32" s="25"/>
      <c r="Q32" s="527"/>
      <c r="R32" t="str">
        <f>"2 : 1"</f>
        <v>2 : 1</v>
      </c>
      <c r="S32">
        <v>5</v>
      </c>
      <c r="V32" t="str">
        <f>"2 : 1"</f>
        <v>2 : 1</v>
      </c>
      <c r="W32">
        <v>5</v>
      </c>
    </row>
    <row r="33" spans="1:23" x14ac:dyDescent="0.25">
      <c r="A33" s="78"/>
      <c r="B33" s="375"/>
      <c r="C33" s="61"/>
      <c r="D33" s="112"/>
      <c r="F33" s="7"/>
      <c r="G33" s="7"/>
      <c r="H33" s="7"/>
      <c r="I33" s="25"/>
      <c r="Q33" s="527"/>
      <c r="R33" t="str">
        <f>"1.8 : 1"</f>
        <v>1.8 : 1</v>
      </c>
      <c r="S33">
        <v>6</v>
      </c>
      <c r="V33" t="str">
        <f>"1.8 : 1"</f>
        <v>1.8 : 1</v>
      </c>
      <c r="W33">
        <v>6</v>
      </c>
    </row>
    <row r="34" spans="1:23" x14ac:dyDescent="0.25">
      <c r="F34" s="7"/>
      <c r="G34" s="7"/>
      <c r="H34" s="7"/>
      <c r="I34" s="25"/>
      <c r="R34" t="str">
        <f>"1.5 : 1"</f>
        <v>1.5 : 1</v>
      </c>
      <c r="S34">
        <v>7</v>
      </c>
      <c r="V34" t="str">
        <f>"1.5 : 1"</f>
        <v>1.5 : 1</v>
      </c>
      <c r="W34">
        <v>7</v>
      </c>
    </row>
    <row r="35" spans="1:23" x14ac:dyDescent="0.25">
      <c r="F35" s="7"/>
      <c r="G35" s="7"/>
      <c r="H35" s="7"/>
      <c r="I35" s="25"/>
      <c r="R35" s="793" t="s">
        <v>856</v>
      </c>
      <c r="S35">
        <v>8</v>
      </c>
      <c r="V35" s="793" t="s">
        <v>856</v>
      </c>
      <c r="W35">
        <v>8</v>
      </c>
    </row>
    <row r="36" spans="1:23" x14ac:dyDescent="0.25">
      <c r="A36" s="111" t="s">
        <v>47</v>
      </c>
      <c r="B36" s="626">
        <v>0.9</v>
      </c>
      <c r="C36" s="61"/>
      <c r="D36" s="78" t="s">
        <v>175</v>
      </c>
      <c r="F36" s="7"/>
      <c r="G36" s="7"/>
      <c r="H36" s="7"/>
      <c r="I36" s="25"/>
      <c r="R36" t="str">
        <f>"1 : 1"</f>
        <v>1 : 1</v>
      </c>
      <c r="S36">
        <v>9</v>
      </c>
      <c r="V36" t="str">
        <f>"1 : 1"</f>
        <v>1 : 1</v>
      </c>
      <c r="W36">
        <v>9</v>
      </c>
    </row>
    <row r="37" spans="1:23" x14ac:dyDescent="0.25">
      <c r="A37" s="111"/>
      <c r="B37" s="626"/>
      <c r="C37" s="61"/>
      <c r="D37" s="78"/>
      <c r="F37" s="7"/>
      <c r="G37" s="7"/>
      <c r="H37" s="7"/>
      <c r="I37" s="25"/>
      <c r="R37" s="793" t="s">
        <v>857</v>
      </c>
      <c r="S37">
        <v>10</v>
      </c>
      <c r="V37" s="793" t="s">
        <v>857</v>
      </c>
      <c r="W37">
        <v>10</v>
      </c>
    </row>
    <row r="38" spans="1:23" x14ac:dyDescent="0.25">
      <c r="A38" s="111" t="s">
        <v>156</v>
      </c>
      <c r="B38" s="424">
        <f>Pout/Efficiency</f>
        <v>1.6666666666666665</v>
      </c>
      <c r="C38" s="61" t="s">
        <v>45</v>
      </c>
      <c r="D38" s="112" t="s">
        <v>462</v>
      </c>
      <c r="F38" s="7"/>
      <c r="G38" s="7"/>
      <c r="H38" s="7"/>
      <c r="I38" s="25"/>
      <c r="R38" t="str">
        <f>"1 : 1.5"</f>
        <v>1 : 1.5</v>
      </c>
      <c r="S38">
        <v>11</v>
      </c>
      <c r="V38" t="str">
        <f>"1 : 1.5"</f>
        <v>1 : 1.5</v>
      </c>
      <c r="W38">
        <v>11</v>
      </c>
    </row>
    <row r="39" spans="1:23" x14ac:dyDescent="0.25">
      <c r="A39" s="111"/>
      <c r="B39" s="424"/>
      <c r="C39" s="61"/>
      <c r="D39" s="112"/>
      <c r="F39" s="7"/>
      <c r="G39" s="7"/>
      <c r="H39" s="7"/>
      <c r="I39" s="25"/>
      <c r="R39" t="str">
        <f>"1 : 1.8"</f>
        <v>1 : 1.8</v>
      </c>
      <c r="S39">
        <v>12</v>
      </c>
      <c r="V39" t="str">
        <f>"1 : 1.8"</f>
        <v>1 : 1.8</v>
      </c>
      <c r="W39">
        <v>12</v>
      </c>
    </row>
    <row r="40" spans="1:23" x14ac:dyDescent="0.25">
      <c r="A40" s="111" t="s">
        <v>153</v>
      </c>
      <c r="B40" s="167">
        <f>Pin/VIN_min</f>
        <v>8.3333333333333329E-2</v>
      </c>
      <c r="C40" s="61" t="s">
        <v>1</v>
      </c>
      <c r="D40" s="78"/>
      <c r="F40" s="7"/>
      <c r="G40" s="7"/>
      <c r="H40" s="7"/>
      <c r="I40" s="25"/>
      <c r="R40" t="str">
        <f>"1 : 2"</f>
        <v>1 : 2</v>
      </c>
      <c r="S40">
        <v>13</v>
      </c>
      <c r="V40" t="str">
        <f>"1 : 2"</f>
        <v>1 : 2</v>
      </c>
      <c r="W40">
        <v>13</v>
      </c>
    </row>
    <row r="41" spans="1:23" x14ac:dyDescent="0.25">
      <c r="A41" s="111"/>
      <c r="B41" s="167"/>
      <c r="C41" s="61"/>
      <c r="D41" s="78"/>
      <c r="F41" s="7"/>
      <c r="G41" s="7"/>
      <c r="H41" s="7"/>
      <c r="I41" s="25"/>
      <c r="R41" t="str">
        <f>"1 : 2.5"</f>
        <v>1 : 2.5</v>
      </c>
      <c r="S41">
        <v>14</v>
      </c>
      <c r="V41" t="str">
        <f>"1 : 2.5"</f>
        <v>1 : 2.5</v>
      </c>
      <c r="W41">
        <v>14</v>
      </c>
    </row>
    <row r="42" spans="1:23" x14ac:dyDescent="0.25">
      <c r="A42" s="111" t="s">
        <v>154</v>
      </c>
      <c r="B42" s="167">
        <f>Pin/VIN_nom</f>
        <v>6.9444444444444434E-2</v>
      </c>
      <c r="C42" s="61" t="s">
        <v>1</v>
      </c>
      <c r="D42" s="112" t="s">
        <v>159</v>
      </c>
      <c r="F42" s="7"/>
      <c r="G42" s="7"/>
      <c r="H42" s="7"/>
      <c r="I42" s="25">
        <v>1</v>
      </c>
      <c r="K42" s="77"/>
      <c r="R42" t="str">
        <f>"1 : 3"</f>
        <v>1 : 3</v>
      </c>
      <c r="S42">
        <v>15</v>
      </c>
      <c r="V42" t="str">
        <f>"1 : 3"</f>
        <v>1 : 3</v>
      </c>
      <c r="W42">
        <v>15</v>
      </c>
    </row>
    <row r="43" spans="1:23" x14ac:dyDescent="0.25">
      <c r="A43" s="111" t="s">
        <v>155</v>
      </c>
      <c r="B43" s="167">
        <f>Pin/VIN_max</f>
        <v>5.9523809523809521E-2</v>
      </c>
      <c r="C43" s="61" t="s">
        <v>1</v>
      </c>
      <c r="D43" s="78"/>
      <c r="F43" s="7"/>
      <c r="G43" s="7"/>
      <c r="H43" s="7"/>
      <c r="I43" s="25"/>
      <c r="R43" t="str">
        <f>"1 : 4"</f>
        <v>1 : 4</v>
      </c>
      <c r="S43">
        <v>16</v>
      </c>
      <c r="V43" t="str">
        <f>"1 : 4"</f>
        <v>1 : 4</v>
      </c>
      <c r="W43">
        <v>16</v>
      </c>
    </row>
    <row r="44" spans="1:23" x14ac:dyDescent="0.25">
      <c r="A44" s="111"/>
      <c r="B44" s="167"/>
      <c r="C44" s="61"/>
      <c r="D44" s="78"/>
      <c r="F44" s="7"/>
      <c r="G44" s="7"/>
      <c r="H44" s="7"/>
      <c r="I44" s="25"/>
      <c r="R44" t="str">
        <f>"1 : 5"</f>
        <v>1 : 5</v>
      </c>
      <c r="S44">
        <v>17</v>
      </c>
      <c r="V44" t="str">
        <f>"1 : 5"</f>
        <v>1 : 5</v>
      </c>
      <c r="W44">
        <v>17</v>
      </c>
    </row>
    <row r="45" spans="1:23" x14ac:dyDescent="0.25">
      <c r="A45" s="111" t="s">
        <v>620</v>
      </c>
      <c r="B45" s="376">
        <f>CHOOSE(MODE, 'Calculations - Single'!N110, 'Calculations - Dual'!O110+'Calculations - Dual'!P110)</f>
        <v>6.7498058689637359</v>
      </c>
      <c r="C45" s="112" t="s">
        <v>45</v>
      </c>
      <c r="D45" s="78" t="b">
        <f>B45&lt;Pout_total</f>
        <v>0</v>
      </c>
      <c r="F45" s="7"/>
      <c r="G45" s="7"/>
      <c r="H45" s="7"/>
      <c r="I45" s="25"/>
      <c r="Q45" s="572" t="s">
        <v>395</v>
      </c>
      <c r="R45" s="467" t="str">
        <f>CHOOSE(Turns_Ratio, "5 : 1", "4 : 1", "3 : 1", "2.5 : 1", "2 : 1", "1.8 : 1", "1.5 : 1", "1.2 : 1", "1 : 1", "1 : 1.2", "1 : 1.5", "1 : 1.8", "1 : 2",  "1 : 2.5","1 : 3", "1 : 4", "1 : 5")</f>
        <v>1.2 : 1</v>
      </c>
      <c r="S45" s="3">
        <v>8</v>
      </c>
      <c r="U45" s="572" t="s">
        <v>584</v>
      </c>
      <c r="V45" s="453" t="str">
        <f>CHOOSE(Turns_Ratio2, "5 : 1", "4 : 1", "3 : 1", "2.5 : 1", "2 : 1", "1.8 : 1","1.5 : 1", "1.2 : 1", "1 : 1", "1 : 1.2", "1 : 1.5", "1 : 2",  "1 : 2.5","1 : 3", "1 : 4", "1 : 5")</f>
        <v>1 : 1</v>
      </c>
      <c r="W45" s="3">
        <v>9</v>
      </c>
    </row>
    <row r="46" spans="1:23" x14ac:dyDescent="0.25">
      <c r="A46" s="111" t="s">
        <v>807</v>
      </c>
      <c r="B46" s="528">
        <f>CHOOSE(MODE, 'Calculations - Single'!N111, 'Calculations - Dual'!O111+'Calculations - Dual'!P111)/Vout</f>
        <v>0.4499870579309157</v>
      </c>
      <c r="C46" s="112" t="s">
        <v>1</v>
      </c>
      <c r="D46" s="78"/>
      <c r="F46" s="7"/>
      <c r="G46" s="7"/>
      <c r="H46" s="7"/>
      <c r="I46" s="25"/>
      <c r="Q46" s="572"/>
      <c r="R46" s="467"/>
      <c r="S46" s="3"/>
      <c r="U46" s="572"/>
      <c r="V46" s="453"/>
      <c r="W46" s="3"/>
    </row>
    <row r="47" spans="1:23" x14ac:dyDescent="0.25">
      <c r="A47" s="111" t="s">
        <v>435</v>
      </c>
      <c r="B47" s="134">
        <v>350000</v>
      </c>
      <c r="C47" s="112" t="s">
        <v>8</v>
      </c>
      <c r="D47" s="78" t="s">
        <v>579</v>
      </c>
      <c r="F47" s="7"/>
      <c r="G47" s="7"/>
      <c r="H47" s="7"/>
      <c r="I47" s="25"/>
    </row>
    <row r="48" spans="1:23" x14ac:dyDescent="0.25">
      <c r="A48" s="26" t="s">
        <v>18</v>
      </c>
      <c r="B48" s="27">
        <v>1.21</v>
      </c>
      <c r="C48" s="7" t="s">
        <v>0</v>
      </c>
      <c r="D48" s="78" t="s">
        <v>580</v>
      </c>
      <c r="F48" s="7"/>
      <c r="G48" s="7"/>
      <c r="H48" s="7"/>
      <c r="I48" s="25"/>
      <c r="Q48" s="77" t="s">
        <v>454</v>
      </c>
      <c r="R48" s="467" t="str">
        <f>CHOOSE(Turns_Ratio, "5", "4 ", "3", "2.5", "2", "1.8", "1.5", "1.2", "1", "0.833",  "0.667", "0.556", "0.5", "0.4", "0.33", "0.25", "0.2")</f>
        <v>1.2</v>
      </c>
    </row>
    <row r="49" spans="1:23" x14ac:dyDescent="0.25">
      <c r="A49" s="111" t="s">
        <v>393</v>
      </c>
      <c r="B49" s="168">
        <f>'LM(2)518x PSR flyback converter'!E28*1000</f>
        <v>196000</v>
      </c>
      <c r="C49" s="114" t="s">
        <v>45</v>
      </c>
      <c r="D49" s="112" t="s">
        <v>581</v>
      </c>
      <c r="F49" s="7"/>
      <c r="G49" s="7"/>
      <c r="H49" s="7"/>
      <c r="I49" s="25"/>
      <c r="Q49" s="77" t="s">
        <v>503</v>
      </c>
      <c r="R49" s="467" t="str">
        <f>CHOOSE(Turns_Ratio, "5", "4 ", "3", "2.5", "2", "1.8", "1.5", "1.2", "1", "0.833",  "0.667","0.556", "0.5", "0.4", "0.333", "0.25", "0.2")</f>
        <v>1.2</v>
      </c>
      <c r="V49" s="77" t="s">
        <v>588</v>
      </c>
      <c r="W49" s="162" t="str">
        <f>CHOOSE(Turns_Ratio, "1", "1", "1", "1", "1", "1", "1", "1", "1", "1.2", "1.5", "1.8",  "2", "2.5", "3", "4", "5")</f>
        <v>1</v>
      </c>
    </row>
    <row r="50" spans="1:23" x14ac:dyDescent="0.25">
      <c r="A50" s="111" t="s">
        <v>786</v>
      </c>
      <c r="B50" s="375">
        <f>VIN_max+Nps*(Vout+Vfwd2)</f>
        <v>699069.70000000007</v>
      </c>
      <c r="C50" s="78" t="s">
        <v>0</v>
      </c>
      <c r="D50" s="112" t="b">
        <f>B50&gt;F50</f>
        <v>1</v>
      </c>
      <c r="F50" s="7">
        <f>CHOOSE(VARIANT, 90, 90, 60, 60, 60)</f>
        <v>90</v>
      </c>
      <c r="G50" s="7"/>
      <c r="H50" s="7"/>
      <c r="I50" s="25"/>
      <c r="K50" s="77" t="s">
        <v>397</v>
      </c>
      <c r="Q50" s="77" t="s">
        <v>587</v>
      </c>
      <c r="R50" s="637">
        <f>ABS((Vout2+Vfwd1)/(Vout+Vfwd1))</f>
        <v>0.5400788436268068</v>
      </c>
      <c r="V50" s="77" t="s">
        <v>587</v>
      </c>
      <c r="W50" s="623">
        <f>Nsec1sec2</f>
        <v>0.5400788436268068</v>
      </c>
    </row>
    <row r="51" spans="1:23" ht="15.6" x14ac:dyDescent="0.35">
      <c r="A51" s="111" t="s">
        <v>394</v>
      </c>
      <c r="B51" s="528">
        <v>0.1</v>
      </c>
      <c r="C51" s="78" t="s">
        <v>45</v>
      </c>
      <c r="D51" s="112" t="s">
        <v>582</v>
      </c>
      <c r="F51" s="607" t="s">
        <v>583</v>
      </c>
      <c r="G51" s="7"/>
      <c r="H51" s="7"/>
      <c r="I51" s="25"/>
      <c r="Q51" s="483" t="s">
        <v>504</v>
      </c>
      <c r="R51" s="621">
        <f>Nps/Nsec1sec2</f>
        <v>84596.90754257908</v>
      </c>
      <c r="V51" s="3"/>
      <c r="W51" s="622">
        <f>W49*W50</f>
        <v>0.5400788436268068</v>
      </c>
    </row>
    <row r="52" spans="1:23" ht="13.8" thickBot="1" x14ac:dyDescent="0.3">
      <c r="A52" s="28"/>
      <c r="B52" s="29"/>
      <c r="C52" s="81"/>
      <c r="D52" s="29"/>
      <c r="E52" s="29"/>
      <c r="F52" s="29"/>
      <c r="G52" s="29"/>
      <c r="H52" s="29"/>
      <c r="I52" s="30"/>
      <c r="K52" s="449" t="str">
        <f>"SCH_"&amp;B59&amp;"_"&amp;F64&amp;"_"&amp;I64&amp;"_"&amp;F58</f>
        <v>SCH_DUAL_UVLOadj_SSadj_TCyes</v>
      </c>
      <c r="R52" s="372">
        <f>ROUND(Nsec1sec2,1)</f>
        <v>0.5</v>
      </c>
      <c r="V52" s="162" t="s">
        <v>589</v>
      </c>
      <c r="W52" s="612" t="str">
        <f>CHOOSE(MODE, R45, R45&amp;" : "&amp;ROUND(W51,2))</f>
        <v>1.2 : 1 : 0,54</v>
      </c>
    </row>
    <row r="53" spans="1:23" x14ac:dyDescent="0.25">
      <c r="A53" s="7"/>
      <c r="B53" s="7"/>
      <c r="C53" s="40"/>
      <c r="D53" s="7"/>
      <c r="E53" s="7"/>
      <c r="F53" s="7"/>
      <c r="G53" s="7"/>
      <c r="H53" s="7"/>
      <c r="I53" s="7"/>
    </row>
    <row r="54" spans="1:23" ht="16.2" thickBot="1" x14ac:dyDescent="0.35">
      <c r="A54" s="51" t="s">
        <v>570</v>
      </c>
      <c r="B54" s="7"/>
      <c r="C54" s="40"/>
      <c r="D54" s="7"/>
      <c r="E54" s="7"/>
      <c r="F54" s="7"/>
      <c r="G54" s="7"/>
      <c r="H54" s="7"/>
      <c r="I54" s="7"/>
    </row>
    <row r="55" spans="1:23" ht="15.6" x14ac:dyDescent="0.3">
      <c r="A55" s="384"/>
      <c r="B55" s="385"/>
      <c r="C55" s="386"/>
      <c r="D55" s="385"/>
      <c r="E55" s="385"/>
      <c r="F55" s="385"/>
      <c r="G55" s="385"/>
      <c r="H55" s="385"/>
      <c r="I55" s="441"/>
      <c r="J55" s="441"/>
      <c r="K55" s="441"/>
      <c r="L55" s="441"/>
      <c r="M55" s="441"/>
      <c r="N55" s="441"/>
      <c r="O55" s="24"/>
    </row>
    <row r="56" spans="1:23" x14ac:dyDescent="0.25">
      <c r="A56" s="381" t="s">
        <v>363</v>
      </c>
      <c r="B56" s="78" t="s">
        <v>364</v>
      </c>
      <c r="C56" s="442">
        <v>1</v>
      </c>
      <c r="D56" s="7"/>
      <c r="E56" s="381" t="s">
        <v>381</v>
      </c>
      <c r="F56" s="78" t="s">
        <v>366</v>
      </c>
      <c r="G56" s="165" t="b">
        <v>1</v>
      </c>
      <c r="I56" s="159" t="s">
        <v>301</v>
      </c>
      <c r="J56" s="165">
        <v>1</v>
      </c>
      <c r="K56" t="str">
        <f>B59&amp;", "&amp;F58&amp;", "&amp;I58&amp;", "&amp;F64&amp;", "&amp;I64</f>
        <v>DUAL, TCyes, IlimRes, UVLOadj, SSadj</v>
      </c>
      <c r="O56" s="24"/>
      <c r="Q56" s="399" t="s">
        <v>334</v>
      </c>
      <c r="R56" s="3" t="s">
        <v>329</v>
      </c>
      <c r="S56" s="372">
        <v>1</v>
      </c>
    </row>
    <row r="57" spans="1:23" x14ac:dyDescent="0.25">
      <c r="A57" s="380"/>
      <c r="B57" s="78" t="s">
        <v>365</v>
      </c>
      <c r="C57" s="442">
        <v>2</v>
      </c>
      <c r="D57" s="7"/>
      <c r="E57" s="37"/>
      <c r="F57" s="78" t="s">
        <v>367</v>
      </c>
      <c r="G57" s="165" t="b">
        <v>0</v>
      </c>
      <c r="I57" s="159" t="s">
        <v>302</v>
      </c>
      <c r="J57" s="165">
        <v>2</v>
      </c>
      <c r="K57" t="str">
        <f>C59&amp;", "&amp;G58&amp;", "&amp;J58&amp;", "&amp;G64&amp;", "&amp;J64</f>
        <v>2, 1, 2, 1, 1</v>
      </c>
      <c r="O57" s="24"/>
      <c r="Q57" s="399" t="s">
        <v>336</v>
      </c>
      <c r="R57" s="3" t="s">
        <v>330</v>
      </c>
      <c r="S57" s="372">
        <v>2</v>
      </c>
    </row>
    <row r="58" spans="1:23" x14ac:dyDescent="0.25">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21211</v>
      </c>
      <c r="O58" s="24"/>
      <c r="Q58" s="399" t="s">
        <v>337</v>
      </c>
      <c r="R58" s="3" t="s">
        <v>331</v>
      </c>
      <c r="S58" s="372">
        <v>3</v>
      </c>
    </row>
    <row r="59" spans="1:23" x14ac:dyDescent="0.25">
      <c r="A59" s="445" t="s">
        <v>285</v>
      </c>
      <c r="B59" s="443" t="str">
        <f>CHOOSE(C59,"SINGLE", IF(Vout2_actual&gt;0, "DUAL", "BIPOLAR"))</f>
        <v>DUAL</v>
      </c>
      <c r="C59" s="382">
        <v>2</v>
      </c>
      <c r="D59" s="7"/>
      <c r="E59" s="7"/>
      <c r="G59" s="79">
        <f>TC</f>
        <v>1</v>
      </c>
      <c r="I59" s="378"/>
      <c r="J59" s="7"/>
      <c r="O59" s="24"/>
      <c r="Q59" s="399" t="s">
        <v>335</v>
      </c>
      <c r="R59" s="3" t="s">
        <v>332</v>
      </c>
      <c r="S59" s="372">
        <v>4</v>
      </c>
    </row>
    <row r="60" spans="1:23" x14ac:dyDescent="0.25">
      <c r="A60" s="380"/>
      <c r="B60" s="3" t="b">
        <f>CHOOSE(C59, TRUE, FALSE)</f>
        <v>0</v>
      </c>
      <c r="C60" s="79" t="str">
        <f>CHOOSE(C59,"1", IF(Vout2&gt;0, "2", "3"))</f>
        <v>2</v>
      </c>
      <c r="O60" s="24"/>
      <c r="Q60" s="399" t="s">
        <v>339</v>
      </c>
      <c r="R60" s="3" t="s">
        <v>338</v>
      </c>
      <c r="S60" s="372">
        <v>5</v>
      </c>
    </row>
    <row r="61" spans="1:23" x14ac:dyDescent="0.25">
      <c r="O61" s="24"/>
      <c r="Q61" s="447" t="s">
        <v>333</v>
      </c>
      <c r="R61" s="453" t="str">
        <f>CHOOSE(S61,"6.3V","10V","16V","25V","50V")</f>
        <v>25V</v>
      </c>
      <c r="S61" s="467">
        <f>IF(Vout&lt;=5, 1, IF(Vout&lt;=8, 2, IF(Vout&lt;=12, 3, IF(Vout&lt;=20, 4, 5))))</f>
        <v>4</v>
      </c>
    </row>
    <row r="62" spans="1:23" x14ac:dyDescent="0.25">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25">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25">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8" thickBot="1" x14ac:dyDescent="0.3">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25">
      <c r="A66" s="7"/>
      <c r="B66" s="7" t="b">
        <f>(CONFIG="2")</f>
        <v>1</v>
      </c>
      <c r="C66" s="40" t="str">
        <f>CONFIG</f>
        <v>2</v>
      </c>
      <c r="D66" s="7"/>
      <c r="E66" s="7"/>
      <c r="F66" s="7"/>
      <c r="G66" s="7"/>
      <c r="H66" s="7"/>
      <c r="I66" s="7"/>
      <c r="R66" s="466" t="s">
        <v>343</v>
      </c>
      <c r="S66" s="372">
        <v>3</v>
      </c>
      <c r="T66" s="77" t="s">
        <v>353</v>
      </c>
      <c r="U66" s="469">
        <v>2.5</v>
      </c>
    </row>
    <row r="67" spans="1:26" ht="16.2" thickBot="1" x14ac:dyDescent="0.35">
      <c r="A67" s="51" t="s">
        <v>571</v>
      </c>
      <c r="B67" s="40"/>
      <c r="C67" s="40"/>
      <c r="E67" s="7"/>
      <c r="F67" s="7"/>
      <c r="G67" s="7"/>
      <c r="H67" s="7"/>
      <c r="I67" s="7"/>
      <c r="R67" s="466" t="s">
        <v>344</v>
      </c>
      <c r="S67" s="372">
        <v>4</v>
      </c>
      <c r="T67" s="77" t="s">
        <v>351</v>
      </c>
      <c r="U67" s="469">
        <v>5.0999999999999996</v>
      </c>
    </row>
    <row r="68" spans="1:26" x14ac:dyDescent="0.25">
      <c r="A68" s="110"/>
      <c r="B68" s="605"/>
      <c r="C68" s="606"/>
      <c r="D68" s="157"/>
      <c r="E68" s="80"/>
      <c r="F68" s="31"/>
      <c r="G68" s="31"/>
      <c r="H68" s="31"/>
      <c r="I68" s="32">
        <v>1</v>
      </c>
      <c r="R68" s="466" t="s">
        <v>345</v>
      </c>
      <c r="S68" s="372">
        <v>5</v>
      </c>
      <c r="T68" s="77" t="s">
        <v>354</v>
      </c>
      <c r="U68" s="469">
        <v>8</v>
      </c>
    </row>
    <row r="69" spans="1:26" x14ac:dyDescent="0.25">
      <c r="A69" s="111" t="s">
        <v>150</v>
      </c>
      <c r="B69" s="166">
        <f>Nps*(Vout+Vfwd2)/(VIN_min+Nps*(Vout+Vfwd2))</f>
        <v>0.99997139022206483</v>
      </c>
      <c r="C69" s="7"/>
      <c r="D69" t="b">
        <f>B69&gt;0.75</f>
        <v>1</v>
      </c>
      <c r="E69" s="78"/>
      <c r="F69" s="7"/>
      <c r="G69" s="7"/>
      <c r="H69" s="7"/>
      <c r="I69" s="25">
        <v>1</v>
      </c>
      <c r="Q69" s="447" t="s">
        <v>346</v>
      </c>
      <c r="R69" s="453" t="str">
        <f>CHOOSE(S69,"0402","0603","0805","1206","1210")</f>
        <v>1210</v>
      </c>
      <c r="S69" s="467">
        <v>5</v>
      </c>
      <c r="T69" s="453" t="str">
        <f>CHOOSE(S69,T64,T65, T66,T67,T68)</f>
        <v>3.2 x 2.5</v>
      </c>
    </row>
    <row r="70" spans="1:26" x14ac:dyDescent="0.25">
      <c r="A70" s="111" t="s">
        <v>157</v>
      </c>
      <c r="B70" s="166">
        <f>Nps*(Vout+Vfwd1)/(VIN_nom+Nps*(Vout+Vfwd1))</f>
        <v>0.99996548801428931</v>
      </c>
      <c r="C70" s="7"/>
      <c r="F70" s="7"/>
      <c r="G70" s="7"/>
      <c r="H70" s="7"/>
      <c r="I70" s="25"/>
    </row>
    <row r="71" spans="1:26" x14ac:dyDescent="0.25">
      <c r="A71" s="111" t="s">
        <v>151</v>
      </c>
      <c r="B71" s="166">
        <f>Nps*(Vout+Vfwd1)/(VIN_max+Nps*(Vout+Vfwd1))</f>
        <v>0.99995973624826795</v>
      </c>
      <c r="C71" s="7"/>
      <c r="E71" s="78"/>
      <c r="F71" s="7"/>
      <c r="G71" s="7"/>
      <c r="H71" s="7"/>
      <c r="I71" s="25"/>
    </row>
    <row r="72" spans="1:26" x14ac:dyDescent="0.25">
      <c r="A72" s="77"/>
      <c r="B72" s="7"/>
      <c r="C72" s="7"/>
      <c r="D72" s="7"/>
      <c r="E72" s="78"/>
      <c r="F72" s="7"/>
      <c r="G72" s="7"/>
      <c r="H72" s="7"/>
      <c r="I72" s="25"/>
      <c r="R72" s="3" t="s">
        <v>645</v>
      </c>
      <c r="S72" s="3"/>
      <c r="T72" s="3" t="s">
        <v>116</v>
      </c>
      <c r="U72" s="3" t="s">
        <v>646</v>
      </c>
      <c r="W72" s="3" t="s">
        <v>645</v>
      </c>
      <c r="X72" s="3"/>
      <c r="Y72" s="3" t="s">
        <v>116</v>
      </c>
      <c r="Z72" s="3" t="s">
        <v>646</v>
      </c>
    </row>
    <row r="73" spans="1:26" x14ac:dyDescent="0.25">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25">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25">
      <c r="A75" s="111"/>
      <c r="B75" s="643"/>
      <c r="C75" s="78"/>
      <c r="D75" s="78"/>
      <c r="F75" s="7"/>
      <c r="G75" s="7"/>
      <c r="H75" s="7"/>
      <c r="I75" s="25"/>
      <c r="R75" s="77" t="s">
        <v>624</v>
      </c>
      <c r="S75" s="372">
        <v>3</v>
      </c>
      <c r="T75" s="483" t="s">
        <v>632</v>
      </c>
      <c r="U75" s="469">
        <v>64</v>
      </c>
      <c r="W75" s="77" t="s">
        <v>643</v>
      </c>
      <c r="X75" s="372">
        <v>3</v>
      </c>
      <c r="Y75" s="77" t="s">
        <v>650</v>
      </c>
      <c r="Z75">
        <v>6.5</v>
      </c>
    </row>
    <row r="76" spans="1:26" x14ac:dyDescent="0.25">
      <c r="A76" s="77"/>
      <c r="B76" s="11"/>
      <c r="C76"/>
      <c r="I76" s="25">
        <v>1</v>
      </c>
      <c r="R76" s="77" t="s">
        <v>625</v>
      </c>
      <c r="S76" s="372">
        <v>4</v>
      </c>
      <c r="T76" s="483" t="s">
        <v>631</v>
      </c>
      <c r="U76" s="469">
        <v>81</v>
      </c>
      <c r="W76" s="77" t="s">
        <v>644</v>
      </c>
      <c r="X76" s="372">
        <v>4</v>
      </c>
      <c r="Y76" s="77" t="s">
        <v>649</v>
      </c>
      <c r="Z76">
        <v>12.5</v>
      </c>
    </row>
    <row r="77" spans="1:26" x14ac:dyDescent="0.25">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25">
      <c r="A78" s="112"/>
      <c r="B78" s="644"/>
      <c r="C78" s="7"/>
      <c r="D78" s="78">
        <f>Isw_min</f>
        <v>0.15</v>
      </c>
      <c r="E78" s="78"/>
      <c r="F78" s="7"/>
      <c r="G78" s="7"/>
      <c r="H78" s="7"/>
      <c r="I78" s="25"/>
      <c r="R78" s="77" t="s">
        <v>627</v>
      </c>
      <c r="S78" s="372">
        <v>6</v>
      </c>
      <c r="T78" s="483" t="s">
        <v>629</v>
      </c>
      <c r="U78" s="469">
        <v>120</v>
      </c>
      <c r="W78" s="447" t="s">
        <v>647</v>
      </c>
    </row>
    <row r="79" spans="1:26" x14ac:dyDescent="0.25">
      <c r="A79" s="112"/>
      <c r="B79" s="644"/>
      <c r="C79" s="78"/>
      <c r="D79" s="78"/>
      <c r="E79" s="78"/>
      <c r="F79" s="7"/>
      <c r="G79" s="7"/>
      <c r="H79" s="7"/>
      <c r="I79" s="25"/>
      <c r="R79" s="77" t="s">
        <v>628</v>
      </c>
      <c r="S79" s="372">
        <v>7</v>
      </c>
      <c r="T79" s="483" t="s">
        <v>635</v>
      </c>
      <c r="U79" s="469">
        <v>143</v>
      </c>
    </row>
    <row r="80" spans="1:26" ht="15.6" x14ac:dyDescent="0.35">
      <c r="A80" s="77"/>
      <c r="B80" s="7"/>
      <c r="C80" s="78"/>
      <c r="D80" s="7"/>
      <c r="E80" s="78"/>
      <c r="F80" s="7"/>
      <c r="G80" s="7"/>
      <c r="H80" s="7"/>
      <c r="I80" s="25"/>
      <c r="K80" s="77" t="s">
        <v>321</v>
      </c>
      <c r="Q80" s="447" t="s">
        <v>460</v>
      </c>
    </row>
    <row r="81" spans="1:9" x14ac:dyDescent="0.25">
      <c r="A81" s="111" t="s">
        <v>695</v>
      </c>
      <c r="B81" s="42">
        <f>'LM(2)518x PSR flyback converter'!L7/1000000</f>
        <v>3.0000000000000001E-5</v>
      </c>
      <c r="C81" s="7" t="s">
        <v>11</v>
      </c>
      <c r="D81" s="78" t="s">
        <v>459</v>
      </c>
      <c r="F81" s="7"/>
      <c r="G81" s="7"/>
      <c r="H81" s="7"/>
      <c r="I81" s="25"/>
    </row>
    <row r="82" spans="1:9" x14ac:dyDescent="0.25">
      <c r="A82" s="111" t="s">
        <v>677</v>
      </c>
      <c r="B82" s="134">
        <f>'LM(2)518x PSR flyback converter'!L11</f>
        <v>100</v>
      </c>
      <c r="C82" s="7" t="s">
        <v>678</v>
      </c>
      <c r="D82" s="78"/>
      <c r="F82" s="7"/>
      <c r="G82" s="7"/>
      <c r="H82" s="7"/>
      <c r="I82" s="25"/>
    </row>
    <row r="83" spans="1:9" x14ac:dyDescent="0.25">
      <c r="A83" s="111" t="s">
        <v>392</v>
      </c>
      <c r="B83" s="10">
        <f>'LM(2)518x PSR flyback converter'!L8/1000</f>
        <v>0.1</v>
      </c>
      <c r="C83" s="114" t="s">
        <v>45</v>
      </c>
      <c r="D83" s="78" t="s">
        <v>457</v>
      </c>
      <c r="F83" s="7"/>
      <c r="G83" s="7"/>
      <c r="H83" s="7"/>
      <c r="I83" s="25"/>
    </row>
    <row r="84" spans="1:9" x14ac:dyDescent="0.25">
      <c r="A84" s="111" t="s">
        <v>455</v>
      </c>
      <c r="B84" s="10">
        <f>'LM(2)518x PSR flyback converter'!L9/1000</f>
        <v>0.03</v>
      </c>
      <c r="C84" s="114" t="s">
        <v>45</v>
      </c>
      <c r="D84" s="78" t="s">
        <v>458</v>
      </c>
      <c r="F84" s="7"/>
      <c r="G84" s="7"/>
      <c r="H84" s="7"/>
      <c r="I84" s="25">
        <v>2</v>
      </c>
    </row>
    <row r="85" spans="1:9" x14ac:dyDescent="0.25">
      <c r="A85" s="111" t="s">
        <v>456</v>
      </c>
      <c r="B85" s="10">
        <f>'LM(2)518x PSR flyback converter'!L10/1000</f>
        <v>0.05</v>
      </c>
      <c r="C85" s="114" t="s">
        <v>45</v>
      </c>
      <c r="D85" s="78" t="s">
        <v>553</v>
      </c>
      <c r="E85" s="78"/>
      <c r="F85" s="7"/>
      <c r="G85" s="7"/>
      <c r="H85" s="7"/>
      <c r="I85" s="25">
        <v>1</v>
      </c>
    </row>
    <row r="86" spans="1:9" x14ac:dyDescent="0.25">
      <c r="A86" s="111"/>
      <c r="B86" s="7"/>
      <c r="C86" s="7"/>
      <c r="D86" s="7"/>
      <c r="E86" s="7"/>
      <c r="F86" s="7"/>
      <c r="G86" s="7"/>
      <c r="H86" s="7"/>
      <c r="I86" s="25"/>
    </row>
    <row r="87" spans="1:9" ht="15.75" customHeight="1" x14ac:dyDescent="0.25">
      <c r="A87" s="78" t="s">
        <v>552</v>
      </c>
      <c r="B87" s="195">
        <v>100</v>
      </c>
      <c r="C87" s="112" t="s">
        <v>102</v>
      </c>
      <c r="D87" s="78"/>
      <c r="E87" s="7"/>
      <c r="F87" s="7"/>
      <c r="H87" s="7"/>
      <c r="I87" s="25"/>
    </row>
    <row r="88" spans="1:9" x14ac:dyDescent="0.25">
      <c r="A88" s="111" t="s">
        <v>549</v>
      </c>
      <c r="B88" s="187">
        <f>Rdcr_pri*(1+0.0039*(B87-25))</f>
        <v>0.12925</v>
      </c>
      <c r="C88" s="114" t="s">
        <v>45</v>
      </c>
      <c r="D88" s="7"/>
      <c r="H88" s="7"/>
      <c r="I88" s="25"/>
    </row>
    <row r="89" spans="1:9" x14ac:dyDescent="0.25">
      <c r="A89" s="111" t="s">
        <v>550</v>
      </c>
      <c r="B89" s="187">
        <f>Rdcr_sec*(1+0.0039*(B87-25))</f>
        <v>3.8774999999999997E-2</v>
      </c>
      <c r="C89" s="114" t="s">
        <v>45</v>
      </c>
      <c r="D89" s="7"/>
      <c r="H89" s="7"/>
      <c r="I89" s="25"/>
    </row>
    <row r="90" spans="1:9" x14ac:dyDescent="0.25">
      <c r="A90" s="111" t="s">
        <v>551</v>
      </c>
      <c r="B90" s="187">
        <f>Rdcr_sec2*(1+0.0039*(B87-25))</f>
        <v>6.4625000000000002E-2</v>
      </c>
      <c r="C90" s="114" t="s">
        <v>45</v>
      </c>
      <c r="D90" s="7"/>
      <c r="H90" s="7"/>
      <c r="I90" s="25"/>
    </row>
    <row r="91" spans="1:9" x14ac:dyDescent="0.25">
      <c r="A91" s="112" t="s">
        <v>805</v>
      </c>
      <c r="B91">
        <f>CHOOSE(VARIANT, 450, 375, 450, 375, 425)</f>
        <v>375</v>
      </c>
      <c r="C91" s="3" t="s">
        <v>32</v>
      </c>
      <c r="I91" s="25"/>
    </row>
    <row r="92" spans="1:9" x14ac:dyDescent="0.25">
      <c r="A92" t="s">
        <v>676</v>
      </c>
      <c r="B92" s="747">
        <f>(Vout+Vfwd1)*Nps*toff_max*0.000000001/Isw_min*1000000</f>
        <v>1738466.4500000002</v>
      </c>
      <c r="C92" s="3" t="s">
        <v>806</v>
      </c>
      <c r="I92" s="25"/>
    </row>
    <row r="93" spans="1:9" ht="13.8" thickBot="1" x14ac:dyDescent="0.3">
      <c r="A93" s="170" t="s">
        <v>815</v>
      </c>
      <c r="B93" s="761">
        <f>CHOOSE(VARIANT, 2, 1, 2, 3, 5)</f>
        <v>1</v>
      </c>
      <c r="C93" s="81" t="s">
        <v>1</v>
      </c>
      <c r="D93" s="29"/>
      <c r="E93" s="29"/>
      <c r="F93" s="29"/>
      <c r="G93" s="29"/>
      <c r="H93" s="29"/>
      <c r="I93" s="30"/>
    </row>
    <row r="94" spans="1:9" x14ac:dyDescent="0.25">
      <c r="A94" s="40"/>
      <c r="B94" s="39"/>
      <c r="C94" s="39"/>
      <c r="D94" s="7"/>
      <c r="E94" s="7"/>
      <c r="F94" s="7"/>
      <c r="G94" s="7"/>
      <c r="H94" s="7"/>
      <c r="I94" s="7"/>
    </row>
    <row r="96" spans="1:9" ht="16.2" thickBot="1" x14ac:dyDescent="0.35">
      <c r="A96" s="51" t="s">
        <v>572</v>
      </c>
      <c r="B96" s="7"/>
      <c r="D96" s="40"/>
      <c r="E96" s="7"/>
      <c r="F96" s="7"/>
      <c r="G96" s="7"/>
      <c r="H96" s="7"/>
      <c r="I96" s="7"/>
    </row>
    <row r="97" spans="1:12" x14ac:dyDescent="0.25">
      <c r="A97" s="110" t="s">
        <v>164</v>
      </c>
      <c r="B97" s="423"/>
      <c r="C97" s="169" t="s">
        <v>1</v>
      </c>
      <c r="D97" s="80" t="s">
        <v>163</v>
      </c>
      <c r="E97" s="31"/>
      <c r="F97" s="31"/>
      <c r="G97" s="31"/>
      <c r="H97" s="31"/>
      <c r="I97" s="32"/>
      <c r="L97" s="5"/>
    </row>
    <row r="98" spans="1:12" x14ac:dyDescent="0.25">
      <c r="A98" s="111" t="s">
        <v>165</v>
      </c>
      <c r="B98" s="424"/>
      <c r="C98" s="112" t="s">
        <v>1</v>
      </c>
      <c r="D98" s="7"/>
      <c r="E98" s="78"/>
      <c r="F98" s="7"/>
      <c r="G98" s="7"/>
      <c r="H98" s="7"/>
      <c r="I98" s="25"/>
      <c r="L98" s="5"/>
    </row>
    <row r="99" spans="1:12" x14ac:dyDescent="0.25">
      <c r="A99" s="111" t="s">
        <v>166</v>
      </c>
      <c r="B99" s="424"/>
      <c r="C99" s="112" t="s">
        <v>1</v>
      </c>
      <c r="D99" s="7"/>
      <c r="E99" s="78"/>
      <c r="F99" s="7"/>
      <c r="G99" s="7"/>
      <c r="H99" s="7"/>
      <c r="I99" s="25"/>
      <c r="L99" s="5"/>
    </row>
    <row r="100" spans="1:12" x14ac:dyDescent="0.25">
      <c r="A100" s="111"/>
      <c r="B100" s="171"/>
      <c r="C100" s="112"/>
      <c r="D100" s="7"/>
      <c r="E100" s="78"/>
      <c r="F100" s="7"/>
      <c r="G100" s="7"/>
      <c r="H100" s="7"/>
      <c r="I100" s="25"/>
      <c r="L100" s="5"/>
    </row>
    <row r="101" spans="1:12" x14ac:dyDescent="0.25">
      <c r="A101" s="111" t="s">
        <v>174</v>
      </c>
      <c r="B101" s="559">
        <f>Vout_ripple</f>
        <v>150</v>
      </c>
      <c r="C101" s="112" t="s">
        <v>149</v>
      </c>
      <c r="D101" s="78" t="s">
        <v>608</v>
      </c>
      <c r="F101" s="7"/>
      <c r="G101" s="7"/>
      <c r="H101" s="7"/>
      <c r="I101" s="25"/>
      <c r="L101" s="5"/>
    </row>
    <row r="102" spans="1:12" x14ac:dyDescent="0.25">
      <c r="A102" s="505" t="s">
        <v>12</v>
      </c>
      <c r="B102" s="745">
        <f>MAX(4.7, CHOOSE(MODE, 'Calculations - Single'!BA212, 'Calculations - Dual'!AW105))</f>
        <v>4.7</v>
      </c>
      <c r="C102" s="205" t="s">
        <v>97</v>
      </c>
      <c r="D102" s="78" t="s">
        <v>607</v>
      </c>
      <c r="E102" s="78"/>
      <c r="F102" s="7"/>
      <c r="G102" s="7"/>
      <c r="H102" s="7"/>
      <c r="I102" s="25"/>
    </row>
    <row r="103" spans="1:12" x14ac:dyDescent="0.25">
      <c r="A103" s="111" t="s">
        <v>14</v>
      </c>
      <c r="B103" s="602">
        <f>'LM(2)518x PSR flyback converter'!E22</f>
        <v>10</v>
      </c>
      <c r="C103" s="205" t="s">
        <v>97</v>
      </c>
      <c r="D103" s="78" t="s">
        <v>167</v>
      </c>
      <c r="F103" s="7"/>
      <c r="G103" s="7"/>
      <c r="H103" s="7"/>
      <c r="I103" s="25"/>
    </row>
    <row r="104" spans="1:12" x14ac:dyDescent="0.25">
      <c r="A104" s="204" t="s">
        <v>181</v>
      </c>
      <c r="B104" s="560">
        <f>(Vripple1_spec-Iout*B106/Cout*1000)/Iout</f>
        <v>1214.2857142857142</v>
      </c>
      <c r="C104" s="114" t="s">
        <v>258</v>
      </c>
      <c r="D104" s="78" t="s">
        <v>107</v>
      </c>
      <c r="F104" s="7"/>
      <c r="G104" s="7"/>
      <c r="H104" s="7"/>
      <c r="I104" s="25"/>
    </row>
    <row r="105" spans="1:12" x14ac:dyDescent="0.25">
      <c r="A105" s="111" t="s">
        <v>54</v>
      </c>
      <c r="B105" s="197">
        <f>'LM(2)518x PSR flyback converter'!E23</f>
        <v>3</v>
      </c>
      <c r="C105" s="114" t="s">
        <v>258</v>
      </c>
      <c r="D105" s="78" t="s">
        <v>108</v>
      </c>
      <c r="F105" s="7"/>
      <c r="G105" s="7"/>
      <c r="H105" s="7"/>
      <c r="I105" s="25"/>
    </row>
    <row r="106" spans="1:12" x14ac:dyDescent="0.25">
      <c r="A106" s="111" t="s">
        <v>445</v>
      </c>
      <c r="B106" s="196">
        <f>CHOOSE(MODE, 'Calculations - Single'!AT105, 'Calculations - Dual'!AR105)</f>
        <v>2.8571428571428572</v>
      </c>
      <c r="C106" s="205" t="s">
        <v>247</v>
      </c>
      <c r="D106" s="78"/>
      <c r="F106" s="7"/>
      <c r="G106" s="7"/>
      <c r="H106" s="7"/>
      <c r="I106" s="25"/>
    </row>
    <row r="107" spans="1:12" x14ac:dyDescent="0.25">
      <c r="A107" s="34" t="s">
        <v>444</v>
      </c>
      <c r="B107" s="744">
        <f>'Calculations - Single'!BB105</f>
        <v>1.9087249652130232</v>
      </c>
      <c r="C107" s="78" t="s">
        <v>450</v>
      </c>
      <c r="D107" s="78" t="s">
        <v>610</v>
      </c>
      <c r="F107" s="7"/>
      <c r="G107" s="7"/>
      <c r="H107" s="453" t="s">
        <v>575</v>
      </c>
      <c r="I107" s="25"/>
    </row>
    <row r="108" spans="1:12" x14ac:dyDescent="0.25">
      <c r="A108" s="34"/>
      <c r="B108" s="196"/>
      <c r="C108" s="78"/>
      <c r="D108" s="78"/>
      <c r="F108" s="7"/>
      <c r="G108" s="7"/>
      <c r="H108" s="7"/>
      <c r="I108" s="25"/>
    </row>
    <row r="109" spans="1:12" x14ac:dyDescent="0.25">
      <c r="A109" s="34"/>
      <c r="B109" s="196"/>
      <c r="C109" s="78"/>
      <c r="D109" s="78"/>
      <c r="F109" s="7"/>
      <c r="G109" s="7"/>
      <c r="H109" s="7"/>
      <c r="I109" s="25"/>
    </row>
    <row r="110" spans="1:12" ht="15.6" x14ac:dyDescent="0.3">
      <c r="A110" s="649" t="s">
        <v>573</v>
      </c>
      <c r="B110" s="196"/>
      <c r="C110" s="205"/>
      <c r="D110" s="78"/>
      <c r="F110" s="7"/>
      <c r="G110" s="7"/>
      <c r="H110" s="7"/>
      <c r="I110" s="25"/>
    </row>
    <row r="111" spans="1:12" x14ac:dyDescent="0.25">
      <c r="A111" s="111" t="s">
        <v>554</v>
      </c>
      <c r="B111" s="559">
        <f>Vout_ripple2</f>
        <v>80</v>
      </c>
      <c r="C111" s="112" t="s">
        <v>149</v>
      </c>
      <c r="D111" s="78" t="s">
        <v>611</v>
      </c>
      <c r="F111" s="7"/>
      <c r="G111" s="7"/>
      <c r="H111" s="7"/>
      <c r="I111" s="25"/>
    </row>
    <row r="112" spans="1:12" x14ac:dyDescent="0.25">
      <c r="A112" s="505" t="s">
        <v>556</v>
      </c>
      <c r="B112" s="196">
        <f>MAX(4.7, 'Calculations - Dual'!AY105)</f>
        <v>4.7</v>
      </c>
      <c r="C112" s="205" t="s">
        <v>97</v>
      </c>
      <c r="D112" s="78" t="s">
        <v>607</v>
      </c>
      <c r="F112" s="7"/>
      <c r="G112" s="7"/>
      <c r="H112" s="7"/>
      <c r="I112" s="25"/>
    </row>
    <row r="113" spans="1:9" x14ac:dyDescent="0.25">
      <c r="A113" s="111" t="s">
        <v>555</v>
      </c>
      <c r="B113" s="602">
        <f>'LM(2)518x PSR flyback converter'!L22</f>
        <v>47</v>
      </c>
      <c r="C113" s="205" t="s">
        <v>97</v>
      </c>
      <c r="D113" s="78" t="s">
        <v>167</v>
      </c>
      <c r="F113" s="7"/>
      <c r="G113" s="7"/>
      <c r="H113" s="7"/>
      <c r="I113" s="25"/>
    </row>
    <row r="114" spans="1:9" x14ac:dyDescent="0.25">
      <c r="A114" s="204" t="s">
        <v>557</v>
      </c>
      <c r="B114" s="560">
        <f>(Vout_ripple2-Iout2*B116/Cout2*1000)/Iout2</f>
        <v>132.77838746174686</v>
      </c>
      <c r="C114" s="114" t="s">
        <v>258</v>
      </c>
      <c r="D114" s="78" t="s">
        <v>107</v>
      </c>
      <c r="F114" s="7"/>
      <c r="G114" s="7"/>
      <c r="H114" s="453" t="s">
        <v>574</v>
      </c>
      <c r="I114" s="25"/>
    </row>
    <row r="115" spans="1:9" x14ac:dyDescent="0.25">
      <c r="A115" s="111" t="s">
        <v>558</v>
      </c>
      <c r="B115" s="197">
        <f>'LM(2)518x PSR flyback converter'!L23</f>
        <v>2</v>
      </c>
      <c r="C115" s="114" t="s">
        <v>258</v>
      </c>
      <c r="D115" s="78" t="s">
        <v>108</v>
      </c>
      <c r="F115" s="7"/>
      <c r="G115" s="7"/>
      <c r="I115" s="25"/>
    </row>
    <row r="116" spans="1:9" x14ac:dyDescent="0.25">
      <c r="A116" s="111" t="s">
        <v>445</v>
      </c>
      <c r="B116" s="196">
        <f>'Calculations - Dual'!AS105</f>
        <v>1.2794157892978975</v>
      </c>
      <c r="C116" s="205" t="s">
        <v>247</v>
      </c>
      <c r="D116" s="78"/>
      <c r="F116" s="7"/>
      <c r="G116" s="7"/>
      <c r="H116" s="453" t="s">
        <v>574</v>
      </c>
      <c r="I116" s="25"/>
    </row>
    <row r="117" spans="1:9" x14ac:dyDescent="0.25">
      <c r="A117" s="34" t="s">
        <v>444</v>
      </c>
      <c r="B117" s="599">
        <f>'Calculations - Dual'!AZ105</f>
        <v>5.6799321268362828</v>
      </c>
      <c r="C117" s="78" t="s">
        <v>450</v>
      </c>
      <c r="D117" s="78" t="s">
        <v>609</v>
      </c>
      <c r="F117" s="7"/>
      <c r="G117" s="7"/>
      <c r="H117" s="7"/>
      <c r="I117" s="25"/>
    </row>
    <row r="118" spans="1:9" x14ac:dyDescent="0.25">
      <c r="A118" s="40"/>
      <c r="B118" s="196"/>
      <c r="C118" s="78"/>
      <c r="D118" s="78"/>
      <c r="F118" s="7"/>
      <c r="G118" s="7"/>
      <c r="H118" s="7"/>
      <c r="I118" s="25"/>
    </row>
    <row r="119" spans="1:9" ht="13.8" thickBot="1" x14ac:dyDescent="0.3">
      <c r="A119" s="29"/>
      <c r="B119" s="29"/>
      <c r="C119" s="29"/>
      <c r="D119" s="29"/>
      <c r="E119" s="29"/>
      <c r="F119" s="29"/>
      <c r="G119" s="29"/>
      <c r="H119" s="29"/>
      <c r="I119" s="30"/>
    </row>
    <row r="121" spans="1:9" ht="13.8" thickBot="1" x14ac:dyDescent="0.3">
      <c r="A121" s="7"/>
      <c r="B121" s="7"/>
      <c r="C121" s="40"/>
      <c r="D121" s="7"/>
      <c r="E121" s="7"/>
      <c r="F121" s="7"/>
      <c r="G121" s="7"/>
      <c r="H121" s="7"/>
      <c r="I121" s="7"/>
    </row>
    <row r="122" spans="1:9" ht="15.6" x14ac:dyDescent="0.3">
      <c r="A122" s="62" t="s">
        <v>55</v>
      </c>
      <c r="B122" s="63"/>
      <c r="C122" s="172"/>
      <c r="D122" s="63"/>
      <c r="E122" s="63"/>
      <c r="F122" s="63"/>
      <c r="G122" s="63"/>
      <c r="H122" s="63"/>
      <c r="I122" s="64"/>
    </row>
    <row r="123" spans="1:9" x14ac:dyDescent="0.25">
      <c r="A123" s="562" t="s">
        <v>518</v>
      </c>
      <c r="B123" s="565">
        <f>0.05*VIN_nom</f>
        <v>1.2000000000000002</v>
      </c>
      <c r="C123" s="112" t="s">
        <v>451</v>
      </c>
      <c r="D123" s="77" t="s">
        <v>446</v>
      </c>
      <c r="E123" s="7"/>
      <c r="F123" s="7"/>
      <c r="G123" s="7"/>
      <c r="H123" s="7"/>
      <c r="I123" s="66"/>
    </row>
    <row r="124" spans="1:9" x14ac:dyDescent="0.25">
      <c r="A124" s="65"/>
      <c r="B124" s="12"/>
      <c r="C124" s="61"/>
      <c r="E124" s="7"/>
      <c r="F124" s="7"/>
      <c r="G124" s="7"/>
      <c r="H124" s="7"/>
      <c r="I124" s="66"/>
    </row>
    <row r="125" spans="1:9" x14ac:dyDescent="0.25">
      <c r="A125" s="67" t="s">
        <v>58</v>
      </c>
      <c r="B125" s="425"/>
      <c r="C125" s="205" t="s">
        <v>30</v>
      </c>
      <c r="E125" s="7"/>
      <c r="F125" s="7"/>
      <c r="G125" s="7"/>
      <c r="H125" s="7"/>
      <c r="I125" s="66"/>
    </row>
    <row r="126" spans="1:9" x14ac:dyDescent="0.25">
      <c r="A126" s="67" t="s">
        <v>98</v>
      </c>
      <c r="B126" s="189">
        <f>'Calculations - Single'!BC105</f>
        <v>0.1242882878131743</v>
      </c>
      <c r="C126" s="205" t="s">
        <v>97</v>
      </c>
      <c r="E126" s="7"/>
      <c r="F126" s="7"/>
      <c r="G126" s="7"/>
      <c r="H126" s="7"/>
      <c r="I126" s="66"/>
    </row>
    <row r="127" spans="1:9" x14ac:dyDescent="0.25">
      <c r="A127" s="204" t="s">
        <v>180</v>
      </c>
      <c r="B127" s="608">
        <f>MAX(2.2,Cinmin)</f>
        <v>2.2000000000000002</v>
      </c>
      <c r="C127" s="205" t="s">
        <v>97</v>
      </c>
      <c r="E127" s="7"/>
      <c r="F127" s="7"/>
      <c r="G127" s="7"/>
      <c r="H127" s="7"/>
      <c r="I127" s="66"/>
    </row>
    <row r="128" spans="1:9" x14ac:dyDescent="0.25">
      <c r="A128" s="67" t="s">
        <v>28</v>
      </c>
      <c r="B128" s="563">
        <f>'LM(2)518x PSR flyback converter'!E18</f>
        <v>10</v>
      </c>
      <c r="C128" s="205" t="s">
        <v>97</v>
      </c>
      <c r="D128" s="7" t="s">
        <v>60</v>
      </c>
      <c r="F128" s="7"/>
      <c r="G128" s="7"/>
      <c r="H128" s="7"/>
      <c r="I128" s="66"/>
    </row>
    <row r="129" spans="1:9" x14ac:dyDescent="0.25">
      <c r="A129" s="67"/>
      <c r="B129" s="561"/>
      <c r="C129" s="59"/>
      <c r="D129" s="7"/>
      <c r="F129" s="7"/>
      <c r="G129" s="7"/>
      <c r="H129" s="7"/>
      <c r="I129" s="66"/>
    </row>
    <row r="130" spans="1:9" x14ac:dyDescent="0.25">
      <c r="A130" s="68" t="s">
        <v>99</v>
      </c>
      <c r="B130" s="424">
        <f>(Vinripple1-B133*B135/Cin)/B134</f>
        <v>1.1331601538447829</v>
      </c>
      <c r="C130" s="114" t="s">
        <v>45</v>
      </c>
      <c r="D130" s="7"/>
      <c r="F130" s="7"/>
      <c r="G130" s="7"/>
      <c r="H130" s="7"/>
      <c r="I130" s="66"/>
    </row>
    <row r="131" spans="1:9" x14ac:dyDescent="0.25">
      <c r="A131" s="67" t="s">
        <v>37</v>
      </c>
      <c r="B131" s="60">
        <f>'LM(2)518x PSR flyback converter'!E19/1000</f>
        <v>3.0000000000000001E-3</v>
      </c>
      <c r="C131" s="114" t="s">
        <v>45</v>
      </c>
      <c r="D131" s="78" t="s">
        <v>109</v>
      </c>
      <c r="F131" s="7"/>
      <c r="G131" s="7"/>
      <c r="H131" s="7"/>
      <c r="I131" s="66"/>
    </row>
    <row r="132" spans="1:9" ht="13.8" x14ac:dyDescent="0.3">
      <c r="A132" s="204" t="s">
        <v>182</v>
      </c>
      <c r="B132" s="373">
        <f>'LM(2)518x PSR flyback converter'!E19</f>
        <v>3</v>
      </c>
      <c r="C132" s="17" t="s">
        <v>161</v>
      </c>
      <c r="D132" s="78"/>
      <c r="F132" s="7"/>
      <c r="G132" s="7"/>
      <c r="H132" s="7"/>
      <c r="I132" s="66"/>
    </row>
    <row r="133" spans="1:9" x14ac:dyDescent="0.25">
      <c r="A133" s="204" t="s">
        <v>448</v>
      </c>
      <c r="B133" s="430">
        <f>Pout_total/VIN_nom/Efficiency</f>
        <v>0.25462962962962959</v>
      </c>
      <c r="C133" s="78" t="s">
        <v>1</v>
      </c>
      <c r="D133" s="78"/>
      <c r="F133" s="7"/>
      <c r="G133" s="7"/>
      <c r="H133" s="7"/>
      <c r="I133" s="66"/>
    </row>
    <row r="134" spans="1:9" x14ac:dyDescent="0.25">
      <c r="A134" s="204" t="s">
        <v>452</v>
      </c>
      <c r="B134" s="430">
        <f>CHOOSE(MODE, 'Calculations - Single'!AJ105, 'Calculations - Dual'!$AI$105)</f>
        <v>1.023532631438318</v>
      </c>
      <c r="C134" s="78" t="s">
        <v>1</v>
      </c>
      <c r="D134" s="78"/>
      <c r="F134" s="7"/>
      <c r="G134" s="7"/>
      <c r="H134" s="7"/>
      <c r="I134" s="66"/>
    </row>
    <row r="135" spans="1:9" x14ac:dyDescent="0.25">
      <c r="A135" s="204" t="s">
        <v>449</v>
      </c>
      <c r="B135" s="430">
        <f>CHOOSE(MODE, 'Calculations - Single'!AU105, 'Calculations - Dual'!$AT$105)</f>
        <v>1.5777270678449598</v>
      </c>
      <c r="C135" s="205" t="s">
        <v>247</v>
      </c>
      <c r="D135" s="78"/>
      <c r="F135" s="7"/>
      <c r="G135" s="7"/>
      <c r="H135" s="7"/>
      <c r="I135" s="66"/>
    </row>
    <row r="136" spans="1:9" x14ac:dyDescent="0.25">
      <c r="A136" s="204" t="s">
        <v>447</v>
      </c>
      <c r="B136" s="189">
        <f>CHOOSE(MODE, 'Calculations - Single'!BD105, 'Calculations - Dual'!$BB$105)</f>
        <v>40.937494783089249</v>
      </c>
      <c r="C136" s="205" t="s">
        <v>450</v>
      </c>
      <c r="D136" s="77" t="s">
        <v>453</v>
      </c>
      <c r="E136" s="564"/>
      <c r="F136" s="205"/>
      <c r="G136" s="7"/>
      <c r="H136" s="7"/>
      <c r="I136" s="66"/>
    </row>
    <row r="137" spans="1:9" ht="13.8" thickBot="1" x14ac:dyDescent="0.3">
      <c r="A137" s="69"/>
      <c r="B137" s="70"/>
      <c r="C137" s="70"/>
      <c r="D137" s="70"/>
      <c r="E137" s="71"/>
      <c r="F137" s="71"/>
      <c r="G137" s="71"/>
      <c r="H137" s="71"/>
      <c r="I137" s="72"/>
    </row>
    <row r="138" spans="1:9" x14ac:dyDescent="0.25">
      <c r="A138" s="7"/>
      <c r="B138" s="7"/>
      <c r="C138" s="40"/>
      <c r="D138" s="7"/>
      <c r="E138" s="7"/>
      <c r="F138" s="7"/>
      <c r="G138" s="7"/>
      <c r="H138" s="7"/>
      <c r="I138" s="7"/>
    </row>
    <row r="139" spans="1:9" ht="16.2" thickBot="1" x14ac:dyDescent="0.35">
      <c r="A139" s="51" t="s">
        <v>62</v>
      </c>
      <c r="B139" s="7"/>
      <c r="C139" s="40"/>
      <c r="D139" s="7"/>
      <c r="E139" s="7"/>
      <c r="F139" s="7"/>
      <c r="G139" s="7"/>
      <c r="H139" s="7"/>
      <c r="I139" s="7"/>
    </row>
    <row r="140" spans="1:9" x14ac:dyDescent="0.25">
      <c r="A140" s="53" t="s">
        <v>64</v>
      </c>
      <c r="B140" s="9">
        <f>'LM(2)518x PSR flyback converter'!E30/1000</f>
        <v>8.9999999999999993E-3</v>
      </c>
      <c r="C140" s="31" t="s">
        <v>51</v>
      </c>
      <c r="D140" s="80" t="s">
        <v>176</v>
      </c>
      <c r="E140" s="31"/>
      <c r="F140" s="31"/>
      <c r="G140" s="31"/>
      <c r="H140" s="31"/>
      <c r="I140" s="32"/>
    </row>
    <row r="141" spans="1:9" x14ac:dyDescent="0.25">
      <c r="A141" s="24" t="s">
        <v>65</v>
      </c>
      <c r="B141" s="199">
        <v>5.0000000000000004E-6</v>
      </c>
      <c r="C141" s="7" t="s">
        <v>1</v>
      </c>
      <c r="D141" s="78" t="s">
        <v>307</v>
      </c>
      <c r="E141" s="7"/>
      <c r="F141" s="7"/>
      <c r="G141" s="7"/>
      <c r="H141" s="7"/>
      <c r="I141" s="25"/>
    </row>
    <row r="142" spans="1:9" x14ac:dyDescent="0.25">
      <c r="A142" s="24" t="s">
        <v>66</v>
      </c>
      <c r="B142" s="199">
        <f>0.000005*Tss/1</f>
        <v>4.4999999999999999E-8</v>
      </c>
      <c r="C142" s="7" t="s">
        <v>13</v>
      </c>
      <c r="D142" s="78" t="s">
        <v>309</v>
      </c>
      <c r="E142" s="7"/>
      <c r="F142" s="7"/>
      <c r="G142" s="7"/>
      <c r="H142" s="7"/>
      <c r="I142" s="25"/>
    </row>
    <row r="143" spans="1:9" ht="13.8" thickBot="1" x14ac:dyDescent="0.3">
      <c r="A143" s="28" t="s">
        <v>72</v>
      </c>
      <c r="B143" s="200">
        <f>'Standard Value Calculator'!B4</f>
        <v>4.6999999999999997E-8</v>
      </c>
      <c r="C143" s="29" t="s">
        <v>13</v>
      </c>
      <c r="D143" s="81" t="s">
        <v>310</v>
      </c>
      <c r="E143" s="29"/>
      <c r="F143" s="29"/>
      <c r="G143" s="29"/>
      <c r="H143" s="29"/>
      <c r="I143" s="30"/>
    </row>
    <row r="145" spans="1:9" ht="16.2" thickBot="1" x14ac:dyDescent="0.35">
      <c r="A145" s="51" t="s">
        <v>569</v>
      </c>
      <c r="B145" s="7"/>
      <c r="C145" s="40"/>
      <c r="D145" s="7"/>
      <c r="E145" s="7"/>
      <c r="F145" s="7"/>
      <c r="G145" s="7"/>
      <c r="H145" s="7"/>
      <c r="I145" s="7"/>
    </row>
    <row r="146" spans="1:9" ht="12.75" customHeight="1" x14ac:dyDescent="0.25">
      <c r="A146" s="110"/>
      <c r="B146" s="54"/>
      <c r="C146" s="160"/>
      <c r="D146" s="80"/>
      <c r="E146" s="31"/>
      <c r="F146" s="31"/>
      <c r="G146" s="31"/>
      <c r="H146" s="31"/>
      <c r="I146" s="32"/>
    </row>
    <row r="147" spans="1:9" ht="12.75" customHeight="1" x14ac:dyDescent="0.25">
      <c r="A147" s="111" t="s">
        <v>111</v>
      </c>
      <c r="B147" s="190">
        <v>1.5</v>
      </c>
      <c r="C147" s="78" t="s">
        <v>0</v>
      </c>
      <c r="D147" s="78"/>
      <c r="E147" s="7"/>
      <c r="F147" s="7"/>
      <c r="G147" s="7"/>
      <c r="H147" s="7"/>
      <c r="I147" s="25"/>
    </row>
    <row r="148" spans="1:9" ht="12.75" customHeight="1" x14ac:dyDescent="0.25">
      <c r="A148" s="111" t="s">
        <v>112</v>
      </c>
      <c r="B148" s="190">
        <v>1.45</v>
      </c>
      <c r="C148" s="78" t="s">
        <v>0</v>
      </c>
      <c r="D148" s="78"/>
      <c r="E148" s="7"/>
      <c r="F148" s="7"/>
      <c r="G148" s="7"/>
      <c r="H148" s="7"/>
      <c r="I148" s="25"/>
    </row>
    <row r="149" spans="1:9" ht="12.75" customHeight="1" x14ac:dyDescent="0.25">
      <c r="A149" s="111" t="s">
        <v>148</v>
      </c>
      <c r="B149" s="37">
        <f>B147-B148</f>
        <v>5.0000000000000044E-2</v>
      </c>
      <c r="C149" s="78" t="s">
        <v>0</v>
      </c>
      <c r="D149" s="78"/>
      <c r="E149" s="7"/>
      <c r="F149" s="7"/>
      <c r="G149" s="7"/>
      <c r="H149" s="7"/>
      <c r="I149" s="25"/>
    </row>
    <row r="150" spans="1:9" ht="12.75" customHeight="1" x14ac:dyDescent="0.25">
      <c r="A150" s="111" t="s">
        <v>377</v>
      </c>
      <c r="B150" s="7">
        <v>0</v>
      </c>
      <c r="C150" s="112" t="s">
        <v>1</v>
      </c>
      <c r="D150" s="78"/>
      <c r="E150" s="7"/>
      <c r="F150" s="7"/>
      <c r="G150" s="7"/>
      <c r="H150" s="7"/>
      <c r="I150" s="25"/>
    </row>
    <row r="151" spans="1:9" ht="12.75" customHeight="1" x14ac:dyDescent="0.25">
      <c r="A151" s="111" t="s">
        <v>376</v>
      </c>
      <c r="B151" s="529">
        <v>5.0000000000000001E-3</v>
      </c>
      <c r="C151" s="112" t="s">
        <v>30</v>
      </c>
      <c r="D151" s="78"/>
      <c r="E151" s="7"/>
      <c r="F151" s="7"/>
      <c r="G151" s="7"/>
      <c r="H151" s="7"/>
      <c r="I151" s="25"/>
    </row>
    <row r="152" spans="1:9" ht="12.75" customHeight="1" x14ac:dyDescent="0.25">
      <c r="A152" s="111" t="s">
        <v>375</v>
      </c>
      <c r="B152" s="530">
        <f>Iuvlo2-Iuvlo1</f>
        <v>5.0000000000000001E-3</v>
      </c>
      <c r="C152" s="112" t="s">
        <v>30</v>
      </c>
      <c r="D152" s="78"/>
      <c r="F152" s="7"/>
      <c r="G152" s="7"/>
      <c r="H152" s="7"/>
      <c r="I152" s="25"/>
    </row>
    <row r="153" spans="1:9" ht="12.75" customHeight="1" x14ac:dyDescent="0.25">
      <c r="A153" s="111"/>
      <c r="B153" s="37"/>
      <c r="C153" s="381"/>
      <c r="D153" s="78"/>
      <c r="E153" s="7"/>
      <c r="F153" s="7"/>
      <c r="G153" s="7"/>
      <c r="H153" s="7"/>
      <c r="I153" s="25"/>
    </row>
    <row r="154" spans="1:9" ht="12.75" customHeight="1" x14ac:dyDescent="0.35">
      <c r="A154" s="111" t="s">
        <v>110</v>
      </c>
      <c r="B154" s="188">
        <f>'LM(2)518x PSR flyback converter'!E36</f>
        <v>18</v>
      </c>
      <c r="C154" s="112" t="s">
        <v>0</v>
      </c>
      <c r="E154" s="7"/>
      <c r="F154" s="7"/>
      <c r="G154" s="7"/>
      <c r="H154" s="7"/>
      <c r="I154" s="25"/>
    </row>
    <row r="155" spans="1:9" ht="12.75" customHeight="1" x14ac:dyDescent="0.35">
      <c r="A155" s="111" t="s">
        <v>294</v>
      </c>
      <c r="B155" s="188">
        <f>'LM(2)518x PSR flyback converter'!E37</f>
        <v>16</v>
      </c>
      <c r="C155" s="112" t="s">
        <v>0</v>
      </c>
      <c r="E155" s="7"/>
      <c r="F155" s="7"/>
      <c r="G155" s="7"/>
      <c r="H155" s="7"/>
      <c r="I155" s="25"/>
    </row>
    <row r="156" spans="1:9" ht="12.75" customHeight="1" x14ac:dyDescent="0.25">
      <c r="A156" s="111"/>
      <c r="B156" s="37"/>
      <c r="C156" s="112"/>
      <c r="E156" s="7"/>
      <c r="F156" s="7"/>
      <c r="G156" s="7"/>
      <c r="H156" s="7"/>
      <c r="I156" s="25"/>
    </row>
    <row r="157" spans="1:9" ht="12.75" customHeight="1" x14ac:dyDescent="0.35">
      <c r="A157" s="111" t="s">
        <v>126</v>
      </c>
      <c r="B157" s="600">
        <f>(VINuvlo_off-VINuvlo_on*Vuvlo_off/Vuvlo_on)/(Iuvlo1*Vuvlo_off/Vuvlo_on-Iuvlo2)</f>
        <v>279.99999999999972</v>
      </c>
      <c r="C157" s="17" t="s">
        <v>113</v>
      </c>
      <c r="D157" s="7">
        <f>'Standard Value Calculator'!J16</f>
        <v>280</v>
      </c>
      <c r="E157" s="17" t="s">
        <v>113</v>
      </c>
      <c r="F157" s="37">
        <f>IF(Ruvlo1&lt;0,"N/A",D157)</f>
        <v>280</v>
      </c>
      <c r="G157" s="37" t="str">
        <f>IF(Ruvlo1&lt;0,"N/A",D157&amp;"kΩ")</f>
        <v>280kΩ</v>
      </c>
      <c r="I157" s="25"/>
    </row>
    <row r="158" spans="1:9" ht="12.75" customHeight="1" x14ac:dyDescent="0.35">
      <c r="A158" s="111" t="s">
        <v>127</v>
      </c>
      <c r="B158" s="191">
        <f>D157*Vuvlo_on/(VINuvlo_on-Vuvlo_on+Ruvlo1*Iuvlo1)</f>
        <v>25.454545454545453</v>
      </c>
      <c r="C158" s="17" t="s">
        <v>113</v>
      </c>
      <c r="D158" s="7">
        <f>'Standard Value Calculator'!J17</f>
        <v>25.5</v>
      </c>
      <c r="E158" s="17" t="s">
        <v>113</v>
      </c>
      <c r="F158" s="37">
        <f>IF(F157="N/A","N/A",D158)</f>
        <v>25.5</v>
      </c>
      <c r="G158" s="37" t="str">
        <f>IF(G157="N/A","N/A",D158&amp;"kΩ")</f>
        <v>25,5kΩ</v>
      </c>
      <c r="I158" s="25"/>
    </row>
    <row r="159" spans="1:9" ht="12.75" customHeight="1" x14ac:dyDescent="0.3">
      <c r="A159" s="111"/>
      <c r="B159" s="113"/>
      <c r="C159" s="17"/>
      <c r="D159" s="37"/>
      <c r="E159" s="17"/>
      <c r="F159" s="37"/>
      <c r="G159" s="37"/>
      <c r="I159" s="25"/>
    </row>
    <row r="160" spans="1:9" ht="12.75" customHeight="1" x14ac:dyDescent="0.35">
      <c r="A160" s="111" t="s">
        <v>114</v>
      </c>
      <c r="B160" s="601">
        <f>(D157+D158)/D158*Vuvlo_on</f>
        <v>17.970588235294116</v>
      </c>
      <c r="C160" s="3" t="s">
        <v>0</v>
      </c>
      <c r="E160" s="7"/>
      <c r="F160" s="17"/>
      <c r="G160" s="7"/>
      <c r="H160" s="7"/>
      <c r="I160" s="25"/>
    </row>
    <row r="161" spans="1:9" ht="12.75" customHeight="1" x14ac:dyDescent="0.35">
      <c r="A161" s="111" t="s">
        <v>115</v>
      </c>
      <c r="B161" s="601">
        <f>(D157+D158)/D158*Vuvlo_off-Iuvlo2*D157</f>
        <v>15.97156862745098</v>
      </c>
      <c r="C161" s="3" t="s">
        <v>0</v>
      </c>
      <c r="E161" s="7"/>
      <c r="F161" s="17"/>
      <c r="G161" s="7"/>
      <c r="H161" s="7"/>
      <c r="I161" s="25"/>
    </row>
    <row r="162" spans="1:9" ht="12.75" customHeight="1" thickBot="1" x14ac:dyDescent="0.3">
      <c r="A162" s="28"/>
      <c r="B162" s="38"/>
      <c r="C162" s="161"/>
      <c r="D162" s="29"/>
      <c r="E162" s="29"/>
      <c r="F162" s="29"/>
      <c r="G162" s="29"/>
      <c r="H162" s="29"/>
      <c r="I162" s="30"/>
    </row>
    <row r="163" spans="1:9" x14ac:dyDescent="0.25">
      <c r="B163" s="16"/>
      <c r="C163" s="162"/>
    </row>
    <row r="164" spans="1:9" ht="16.2" thickBot="1" x14ac:dyDescent="0.35">
      <c r="A164" s="51" t="s">
        <v>529</v>
      </c>
      <c r="B164" s="7"/>
      <c r="C164" s="40"/>
      <c r="D164" s="7"/>
      <c r="E164" s="7"/>
      <c r="F164" s="7"/>
      <c r="G164" s="7"/>
      <c r="H164" s="7"/>
      <c r="I164" s="7"/>
    </row>
    <row r="165" spans="1:9" x14ac:dyDescent="0.25">
      <c r="A165" s="179" t="s">
        <v>16</v>
      </c>
      <c r="B165" s="180">
        <v>3.1415926500000002</v>
      </c>
      <c r="C165" s="181"/>
      <c r="D165" s="182" t="s">
        <v>170</v>
      </c>
      <c r="E165" s="31"/>
      <c r="F165" s="31"/>
      <c r="G165" s="31"/>
      <c r="H165" s="31"/>
      <c r="I165" s="32"/>
    </row>
    <row r="166" spans="1:9" x14ac:dyDescent="0.25">
      <c r="A166" s="77" t="s">
        <v>185</v>
      </c>
      <c r="B166" s="208"/>
      <c r="C166" s="183" t="s">
        <v>184</v>
      </c>
      <c r="D166" s="185" t="s">
        <v>561</v>
      </c>
      <c r="I166" s="25"/>
    </row>
    <row r="167" spans="1:9" x14ac:dyDescent="0.25">
      <c r="A167" s="77" t="s">
        <v>186</v>
      </c>
      <c r="B167" s="208"/>
      <c r="C167" s="183" t="s">
        <v>184</v>
      </c>
      <c r="D167" s="185"/>
      <c r="I167" s="25"/>
    </row>
    <row r="168" spans="1:9" x14ac:dyDescent="0.25">
      <c r="C168" s="7"/>
      <c r="D168" s="7"/>
      <c r="F168" s="7"/>
      <c r="G168" s="7"/>
      <c r="H168" s="7"/>
      <c r="I168" s="25"/>
    </row>
    <row r="169" spans="1:9" ht="13.8" x14ac:dyDescent="0.3">
      <c r="A169" s="111" t="s">
        <v>393</v>
      </c>
      <c r="B169" s="173">
        <f>(Vout+Vfwd1)*Nps*10</f>
        <v>6953865.8000000007</v>
      </c>
      <c r="C169" s="17" t="s">
        <v>113</v>
      </c>
      <c r="D169" s="78" t="s">
        <v>531</v>
      </c>
      <c r="F169" s="7"/>
      <c r="G169" s="7"/>
      <c r="H169" s="7"/>
      <c r="I169" s="25">
        <v>1</v>
      </c>
    </row>
    <row r="170" spans="1:9" ht="13.8" x14ac:dyDescent="0.3">
      <c r="A170" s="34" t="s">
        <v>530</v>
      </c>
      <c r="B170" s="178">
        <f>Rfb/1000</f>
        <v>196</v>
      </c>
      <c r="C170" s="17" t="s">
        <v>113</v>
      </c>
      <c r="D170" s="78" t="s">
        <v>528</v>
      </c>
      <c r="F170" s="7"/>
      <c r="G170" s="7"/>
      <c r="H170" s="7"/>
      <c r="I170" s="25"/>
    </row>
    <row r="171" spans="1:9" ht="13.8" x14ac:dyDescent="0.3">
      <c r="A171" s="111" t="s">
        <v>53</v>
      </c>
      <c r="B171" s="36">
        <f>'Standard Value Calculator'!J10/1000</f>
        <v>196</v>
      </c>
      <c r="C171" s="17" t="s">
        <v>113</v>
      </c>
      <c r="D171" s="78" t="s">
        <v>361</v>
      </c>
      <c r="F171" s="7"/>
      <c r="G171" s="7"/>
      <c r="H171" s="7"/>
      <c r="I171" s="25"/>
    </row>
    <row r="172" spans="1:9" ht="13.8" x14ac:dyDescent="0.3">
      <c r="A172" s="78"/>
      <c r="B172" s="12"/>
      <c r="C172" s="17"/>
      <c r="D172" s="78"/>
      <c r="F172" s="7"/>
      <c r="G172" s="7"/>
      <c r="H172" s="7"/>
      <c r="I172" s="25"/>
    </row>
    <row r="173" spans="1:9" x14ac:dyDescent="0.25">
      <c r="A173" s="112" t="s">
        <v>532</v>
      </c>
      <c r="B173" s="603">
        <f>'LM(2)518x PSR flyback converter'!E33</f>
        <v>-1.5</v>
      </c>
      <c r="C173" s="112" t="s">
        <v>386</v>
      </c>
      <c r="D173" s="78"/>
      <c r="F173" s="7"/>
      <c r="G173" s="7"/>
      <c r="H173" s="7"/>
      <c r="I173" s="25"/>
    </row>
    <row r="174" spans="1:9" ht="15.6" x14ac:dyDescent="0.35">
      <c r="A174" s="24" t="s">
        <v>527</v>
      </c>
      <c r="B174" s="375">
        <f>3*B170/Nps/ABS(Diode_TC)*1000</f>
        <v>8.5797456718247282</v>
      </c>
      <c r="C174" s="17" t="s">
        <v>136</v>
      </c>
      <c r="D174" s="78"/>
      <c r="F174" s="7"/>
      <c r="G174" s="7"/>
      <c r="H174" s="7"/>
      <c r="I174" s="25"/>
    </row>
    <row r="175" spans="1:9" ht="13.8" x14ac:dyDescent="0.3">
      <c r="A175" s="12" t="s">
        <v>533</v>
      </c>
      <c r="B175" s="171">
        <f>'Standard Value Calculator'!J9/1000</f>
        <v>8.6599999999999993E-3</v>
      </c>
      <c r="C175" s="17" t="s">
        <v>113</v>
      </c>
      <c r="D175" s="78"/>
      <c r="F175" s="7"/>
      <c r="G175" s="7"/>
      <c r="H175" s="7"/>
      <c r="I175" s="25"/>
    </row>
    <row r="176" spans="1:9" ht="13.8" thickBot="1" x14ac:dyDescent="0.3">
      <c r="A176" s="184"/>
      <c r="B176" s="184"/>
      <c r="C176" s="41"/>
      <c r="D176" s="29"/>
      <c r="E176" s="41"/>
      <c r="F176" s="29"/>
      <c r="G176" s="29"/>
      <c r="H176" s="29"/>
      <c r="I176" s="30"/>
    </row>
    <row r="177" spans="1:9" x14ac:dyDescent="0.25">
      <c r="A177" s="2"/>
      <c r="B177" s="18"/>
      <c r="C177" s="18"/>
      <c r="E177" s="18"/>
    </row>
    <row r="178" spans="1:9" x14ac:dyDescent="0.25">
      <c r="A178" s="2"/>
      <c r="B178" s="18"/>
      <c r="C178" s="18"/>
      <c r="E178" s="18"/>
    </row>
    <row r="179" spans="1:9" ht="16.2" thickBot="1" x14ac:dyDescent="0.35">
      <c r="A179" s="55" t="s">
        <v>83</v>
      </c>
      <c r="B179" s="7"/>
      <c r="C179" s="40"/>
      <c r="D179" s="7"/>
      <c r="E179" s="7"/>
      <c r="F179" s="7"/>
      <c r="G179" s="7"/>
      <c r="H179" s="7"/>
      <c r="I179" s="7"/>
    </row>
    <row r="180" spans="1:9" x14ac:dyDescent="0.25">
      <c r="A180" s="53"/>
      <c r="B180" s="31"/>
      <c r="C180" s="163"/>
      <c r="D180" s="31"/>
      <c r="E180" s="31"/>
      <c r="F180" s="31"/>
      <c r="G180" s="31"/>
      <c r="H180" s="31"/>
      <c r="I180" s="32"/>
    </row>
    <row r="181" spans="1:9" x14ac:dyDescent="0.25">
      <c r="A181" s="34" t="s">
        <v>26</v>
      </c>
      <c r="B181" s="7"/>
      <c r="C181" s="40"/>
      <c r="D181" s="7"/>
      <c r="E181" s="7"/>
      <c r="F181" s="7"/>
      <c r="G181" s="7"/>
      <c r="H181" s="7"/>
      <c r="I181" s="25"/>
    </row>
    <row r="182" spans="1:9" x14ac:dyDescent="0.25">
      <c r="A182" s="24" t="s">
        <v>36</v>
      </c>
      <c r="B182" s="134">
        <f>'LM(2)518x PSR flyback converter'!E45</f>
        <v>55</v>
      </c>
      <c r="C182" s="78" t="s">
        <v>102</v>
      </c>
      <c r="D182" s="7" t="s">
        <v>40</v>
      </c>
      <c r="F182" s="7"/>
      <c r="G182" s="7"/>
      <c r="H182" s="7"/>
      <c r="I182" s="25"/>
    </row>
    <row r="183" spans="1:9" x14ac:dyDescent="0.25">
      <c r="A183" s="34" t="s">
        <v>29</v>
      </c>
      <c r="B183" s="7"/>
      <c r="C183" s="7"/>
      <c r="D183" s="7"/>
      <c r="F183" s="7"/>
      <c r="G183" s="7"/>
      <c r="H183" s="7"/>
      <c r="I183" s="25"/>
    </row>
    <row r="184" spans="1:9" x14ac:dyDescent="0.25">
      <c r="A184" s="24" t="s">
        <v>35</v>
      </c>
      <c r="B184" s="27">
        <f>4000/1000000</f>
        <v>4.0000000000000001E-3</v>
      </c>
      <c r="C184" s="78" t="s">
        <v>138</v>
      </c>
      <c r="D184" s="78" t="s">
        <v>562</v>
      </c>
      <c r="F184" s="7"/>
      <c r="G184" s="7"/>
      <c r="H184" s="7"/>
      <c r="I184" s="25"/>
    </row>
    <row r="185" spans="1:9" ht="15.6" x14ac:dyDescent="0.35">
      <c r="A185" s="111" t="s">
        <v>177</v>
      </c>
      <c r="B185" s="27">
        <v>20</v>
      </c>
      <c r="C185" s="112" t="s">
        <v>84</v>
      </c>
      <c r="D185" s="78" t="s">
        <v>563</v>
      </c>
      <c r="F185" s="7"/>
      <c r="G185" s="7"/>
      <c r="H185" s="7"/>
      <c r="I185" s="25"/>
    </row>
    <row r="186" spans="1:9" x14ac:dyDescent="0.25">
      <c r="A186" s="24" t="s">
        <v>37</v>
      </c>
      <c r="B186" s="10">
        <f>RCinEsr</f>
        <v>3.0000000000000001E-3</v>
      </c>
      <c r="C186" s="114" t="s">
        <v>45</v>
      </c>
      <c r="D186" s="78" t="s">
        <v>178</v>
      </c>
      <c r="F186" s="7"/>
      <c r="G186" s="7"/>
      <c r="H186" s="7"/>
      <c r="I186" s="25"/>
    </row>
    <row r="187" spans="1:9" x14ac:dyDescent="0.25">
      <c r="A187" s="24"/>
      <c r="B187" s="10"/>
      <c r="C187" s="114"/>
      <c r="D187" s="78"/>
      <c r="F187" s="7"/>
      <c r="G187" s="7"/>
      <c r="H187" s="7"/>
      <c r="I187" s="25"/>
    </row>
    <row r="188" spans="1:9" x14ac:dyDescent="0.25">
      <c r="A188" s="33" t="s">
        <v>52</v>
      </c>
      <c r="B188" s="7"/>
      <c r="C188" s="7"/>
      <c r="D188" s="7"/>
      <c r="F188" s="7"/>
      <c r="G188" s="7"/>
      <c r="H188" s="7"/>
      <c r="I188" s="25"/>
    </row>
    <row r="189" spans="1:9" x14ac:dyDescent="0.25">
      <c r="A189" s="111" t="s">
        <v>284</v>
      </c>
      <c r="B189" s="27">
        <f>Vdd</f>
        <v>5</v>
      </c>
      <c r="C189" s="61" t="s">
        <v>0</v>
      </c>
      <c r="D189" s="186"/>
      <c r="F189" s="7"/>
      <c r="G189" s="7"/>
      <c r="H189" s="7"/>
      <c r="I189" s="25"/>
    </row>
    <row r="190" spans="1:9" x14ac:dyDescent="0.25">
      <c r="A190" s="24" t="s">
        <v>49</v>
      </c>
      <c r="B190" s="35">
        <f>IQ</f>
        <v>2.9E-4</v>
      </c>
      <c r="C190" s="7" t="s">
        <v>1</v>
      </c>
      <c r="D190" s="7" t="s">
        <v>50</v>
      </c>
      <c r="F190" s="7"/>
      <c r="G190" s="7"/>
      <c r="H190" s="7"/>
      <c r="I190" s="25"/>
    </row>
    <row r="191" spans="1:9" x14ac:dyDescent="0.25">
      <c r="A191" s="24"/>
      <c r="B191" s="7"/>
      <c r="C191" s="7"/>
      <c r="D191" s="7"/>
      <c r="F191" s="7"/>
      <c r="G191" s="7"/>
      <c r="H191" s="7"/>
      <c r="I191" s="25"/>
    </row>
    <row r="192" spans="1:9" x14ac:dyDescent="0.25">
      <c r="A192" s="56" t="s">
        <v>172</v>
      </c>
      <c r="B192" s="43" t="s">
        <v>6</v>
      </c>
      <c r="C192" s="14" t="s">
        <v>33</v>
      </c>
      <c r="D192" s="7"/>
      <c r="F192" s="7"/>
      <c r="G192" s="7"/>
      <c r="H192" s="7"/>
      <c r="I192" s="25"/>
    </row>
    <row r="193" spans="1:9" x14ac:dyDescent="0.25">
      <c r="A193" s="57" t="s">
        <v>44</v>
      </c>
      <c r="B193" s="44"/>
      <c r="C193" s="45" t="s">
        <v>45</v>
      </c>
      <c r="D193" s="7"/>
      <c r="F193" s="7"/>
      <c r="G193" s="7"/>
      <c r="H193" s="7"/>
      <c r="I193" s="25"/>
    </row>
    <row r="194" spans="1:9" x14ac:dyDescent="0.25">
      <c r="A194" s="57" t="s">
        <v>46</v>
      </c>
      <c r="B194" s="13">
        <v>0</v>
      </c>
      <c r="C194" s="112" t="s">
        <v>102</v>
      </c>
      <c r="D194" s="7"/>
      <c r="F194" s="7"/>
      <c r="G194" s="7"/>
      <c r="H194" s="7"/>
      <c r="I194" s="25"/>
    </row>
    <row r="195" spans="1:9" x14ac:dyDescent="0.25">
      <c r="A195" s="57" t="s">
        <v>87</v>
      </c>
      <c r="B195" s="13" t="e">
        <v>#NAME?</v>
      </c>
      <c r="C195" s="12" t="s">
        <v>1</v>
      </c>
      <c r="D195" s="7"/>
      <c r="F195" s="7"/>
      <c r="G195" s="7"/>
      <c r="H195" s="7"/>
      <c r="I195" s="25"/>
    </row>
    <row r="196" spans="1:9" x14ac:dyDescent="0.25">
      <c r="A196" s="57" t="s">
        <v>88</v>
      </c>
      <c r="B196" s="12" t="e">
        <v>#NAME?</v>
      </c>
      <c r="C196" s="12" t="s">
        <v>1</v>
      </c>
      <c r="D196" s="7"/>
      <c r="F196" s="7"/>
      <c r="G196" s="7"/>
      <c r="H196" s="7"/>
      <c r="I196" s="25"/>
    </row>
    <row r="197" spans="1:9" x14ac:dyDescent="0.25">
      <c r="A197" s="57" t="s">
        <v>89</v>
      </c>
      <c r="B197" s="12" t="e">
        <f>C197/Vin</f>
        <v>#NAME?</v>
      </c>
      <c r="C197" s="12" t="e">
        <v>#NAME?</v>
      </c>
      <c r="D197" s="7"/>
      <c r="F197" s="7"/>
      <c r="G197" s="7"/>
      <c r="H197" s="7"/>
      <c r="I197" s="25"/>
    </row>
    <row r="198" spans="1:9" x14ac:dyDescent="0.25">
      <c r="A198" s="57" t="s">
        <v>91</v>
      </c>
      <c r="B198" s="12" t="e">
        <f>SUM(B195:B197)</f>
        <v>#NAME?</v>
      </c>
      <c r="C198" s="12" t="s">
        <v>1</v>
      </c>
      <c r="D198" s="7"/>
      <c r="F198" s="7"/>
      <c r="G198" s="7"/>
      <c r="H198" s="7"/>
      <c r="I198" s="25"/>
    </row>
    <row r="199" spans="1:9" ht="13.8" thickBot="1" x14ac:dyDescent="0.3">
      <c r="A199" s="28"/>
      <c r="B199" s="29"/>
      <c r="C199" s="164"/>
      <c r="D199" s="29"/>
      <c r="E199" s="29"/>
      <c r="F199" s="29"/>
      <c r="G199" s="29"/>
      <c r="H199" s="29"/>
      <c r="I199" s="30"/>
    </row>
    <row r="200" spans="1:9" x14ac:dyDescent="0.25">
      <c r="A200" s="2"/>
      <c r="B200" s="2"/>
      <c r="C200" s="2"/>
    </row>
    <row r="201" spans="1:9" ht="21.75" customHeight="1" thickBot="1" x14ac:dyDescent="0.35">
      <c r="A201" s="51" t="s">
        <v>85</v>
      </c>
      <c r="B201" s="7"/>
      <c r="C201" s="40"/>
      <c r="D201" s="7"/>
      <c r="E201" s="7"/>
      <c r="F201" s="7"/>
      <c r="G201" s="7"/>
      <c r="H201" s="7"/>
      <c r="I201" s="7"/>
    </row>
    <row r="202" spans="1:9" x14ac:dyDescent="0.25">
      <c r="A202" s="53"/>
      <c r="B202" s="31"/>
      <c r="C202" s="163"/>
      <c r="D202" s="31"/>
      <c r="E202" s="58"/>
      <c r="F202" s="58"/>
      <c r="G202" s="58"/>
      <c r="H202" s="58"/>
      <c r="I202" s="32"/>
    </row>
    <row r="203" spans="1:9" x14ac:dyDescent="0.25">
      <c r="A203" s="24"/>
      <c r="B203" s="112"/>
      <c r="C203" s="40"/>
      <c r="D203" s="7"/>
      <c r="E203" s="203"/>
      <c r="F203" s="203"/>
      <c r="G203" s="203"/>
      <c r="H203" s="203"/>
      <c r="I203" s="25"/>
    </row>
    <row r="204" spans="1:9" x14ac:dyDescent="0.25">
      <c r="A204" s="24" t="str">
        <f>"RUV1 = "&amp;'LM(2)518x PSR flyback converter'!E38&amp;"MΩ"</f>
        <v>RUV1 = 280MΩ</v>
      </c>
      <c r="B204" s="7" t="str">
        <f>C245</f>
        <v>280kΩ</v>
      </c>
      <c r="C204" s="40"/>
      <c r="D204" s="7"/>
      <c r="E204" s="203"/>
      <c r="F204" s="203"/>
      <c r="G204" s="203"/>
      <c r="H204" s="203"/>
      <c r="I204" s="25"/>
    </row>
    <row r="205" spans="1:9" x14ac:dyDescent="0.25">
      <c r="A205" s="24" t="str">
        <f>"RUV2 = "&amp;'LM(2)518x PSR flyback converter'!E39&amp;"kΩ"</f>
        <v>RUV2 = 25,5kΩ</v>
      </c>
      <c r="B205" s="7" t="str">
        <f>C246</f>
        <v>25,5kΩ</v>
      </c>
      <c r="C205" s="40"/>
      <c r="D205" s="7"/>
      <c r="E205" s="203"/>
      <c r="F205" s="203"/>
      <c r="G205" s="203"/>
      <c r="H205" s="203"/>
      <c r="I205" s="25"/>
    </row>
    <row r="206" spans="1:9" x14ac:dyDescent="0.25">
      <c r="A206" s="24"/>
      <c r="B206" s="7"/>
      <c r="C206" s="40"/>
      <c r="D206" s="7"/>
      <c r="E206" s="203"/>
      <c r="F206" s="203"/>
      <c r="G206" s="203"/>
      <c r="H206" s="203"/>
      <c r="I206" s="25"/>
    </row>
    <row r="207" spans="1:9" x14ac:dyDescent="0.25">
      <c r="A207" s="24" t="str">
        <f>"Lmag = "&amp;'LM(2)518x PSR flyback converter'!L7&amp;"µH"</f>
        <v>Lmag = 30µH</v>
      </c>
      <c r="B207" s="7" t="str">
        <f>'LM(2)518x PSR flyback converter'!L7&amp;"µH"</f>
        <v>30µH</v>
      </c>
      <c r="C207" s="40"/>
      <c r="D207" s="7"/>
      <c r="E207" s="7"/>
      <c r="F207" s="7"/>
      <c r="G207" s="7"/>
      <c r="H207" s="7"/>
      <c r="I207" s="25"/>
    </row>
    <row r="208" spans="1:9" x14ac:dyDescent="0.25">
      <c r="A208" s="24" t="str">
        <f>"Rdcr = "&amp;Rdcr_pri*1000&amp;"mΩ"</f>
        <v>Rdcr = 100mΩ</v>
      </c>
      <c r="B208" s="202" t="str">
        <f>Rdcr_pri*1000&amp;"mΩ"</f>
        <v>100mΩ</v>
      </c>
      <c r="C208" s="40"/>
      <c r="D208" s="7"/>
      <c r="E208" s="7"/>
      <c r="F208" s="7"/>
      <c r="G208" s="7"/>
      <c r="H208" s="7"/>
      <c r="I208" s="25"/>
    </row>
    <row r="209" spans="1:9" x14ac:dyDescent="0.25">
      <c r="A209" s="111" t="s">
        <v>391</v>
      </c>
      <c r="B209" s="202" t="str">
        <f>W52</f>
        <v>1.2 : 1 : 0,54</v>
      </c>
      <c r="C209" s="40"/>
      <c r="D209" s="7"/>
      <c r="E209" s="7"/>
      <c r="F209" s="7"/>
      <c r="G209" s="7"/>
      <c r="H209" s="7"/>
      <c r="I209" s="25"/>
    </row>
    <row r="210" spans="1:9" x14ac:dyDescent="0.25">
      <c r="A210" s="24"/>
      <c r="B210" s="202"/>
      <c r="C210" s="40"/>
      <c r="D210" s="7"/>
      <c r="E210" s="7"/>
      <c r="F210" s="7"/>
      <c r="G210" s="7"/>
      <c r="H210" s="7"/>
      <c r="I210" s="25"/>
    </row>
    <row r="211" spans="1:9" x14ac:dyDescent="0.25">
      <c r="A211" s="24" t="str">
        <f>"Css = "&amp;ROUND(Css_u*1000000000,1)&amp;"nF"</f>
        <v>Css = 47nF</v>
      </c>
      <c r="B211" s="7" t="str">
        <f>ROUND(Css_u*1000000000,1)&amp;"nF"</f>
        <v>47nF</v>
      </c>
      <c r="C211" s="40"/>
      <c r="D211" s="7"/>
      <c r="E211" s="7"/>
      <c r="F211" s="7"/>
      <c r="G211" s="7"/>
      <c r="H211" s="7"/>
      <c r="I211" s="25"/>
    </row>
    <row r="212" spans="1:9" x14ac:dyDescent="0.25">
      <c r="A212" s="24"/>
      <c r="B212" s="7"/>
      <c r="C212" s="40"/>
      <c r="D212" s="7"/>
      <c r="E212" s="7"/>
      <c r="F212" s="7"/>
      <c r="G212" s="7"/>
      <c r="H212" s="7"/>
      <c r="I212" s="25"/>
    </row>
    <row r="213" spans="1:9" x14ac:dyDescent="0.25">
      <c r="A213" s="24" t="s">
        <v>57</v>
      </c>
      <c r="B213" s="7" t="str">
        <f>VIN_nom&amp;"V"</f>
        <v>24V</v>
      </c>
      <c r="C213" s="40"/>
      <c r="D213" s="7"/>
      <c r="E213" s="7"/>
      <c r="F213" s="7"/>
      <c r="G213" s="7"/>
      <c r="H213" s="7"/>
      <c r="I213" s="25"/>
    </row>
    <row r="214" spans="1:9" x14ac:dyDescent="0.25">
      <c r="A214" s="111" t="s">
        <v>187</v>
      </c>
      <c r="B214" s="7" t="str">
        <f>VIN_min&amp;"V..."&amp;VIN_max&amp;"V"</f>
        <v>20V...28V</v>
      </c>
      <c r="C214" s="40"/>
      <c r="D214" s="7"/>
      <c r="E214" s="7"/>
      <c r="F214" s="7"/>
      <c r="G214" s="7"/>
      <c r="H214" s="7"/>
      <c r="I214" s="25"/>
    </row>
    <row r="215" spans="1:9" x14ac:dyDescent="0.25">
      <c r="A215" s="111"/>
      <c r="B215" s="7"/>
      <c r="C215" s="40"/>
      <c r="D215" s="7"/>
      <c r="E215" s="7"/>
      <c r="F215" s="7"/>
      <c r="G215" s="7"/>
      <c r="H215" s="7"/>
      <c r="I215" s="25"/>
    </row>
    <row r="216" spans="1:9" x14ac:dyDescent="0.25">
      <c r="A216" s="24" t="str">
        <f>"VOUT = "&amp;'LM(2)518x PSR flyback converter'!E10&amp;"V"</f>
        <v>VOUT = 15V</v>
      </c>
      <c r="B216" s="7" t="str">
        <f>'LM(2)518x PSR flyback converter'!E10&amp;"V"</f>
        <v>15V</v>
      </c>
      <c r="C216" s="40"/>
      <c r="D216" s="7">
        <f>MODE</f>
        <v>2</v>
      </c>
      <c r="E216" s="7"/>
      <c r="F216" s="7"/>
      <c r="G216" s="7"/>
      <c r="H216" s="7"/>
      <c r="I216" s="25"/>
    </row>
    <row r="217" spans="1:9" x14ac:dyDescent="0.25">
      <c r="A217" s="24" t="str">
        <f>"VOUT2 = "&amp;'LM(2)518x PSR flyback converter'!E12&amp;"V"</f>
        <v>VOUT2 = 8V</v>
      </c>
      <c r="B217" s="7" t="str">
        <f>IF(MODE_TOP="DUAL", 'LM(2)518x PSR flyback converter'!E12&amp;"V", "")</f>
        <v>8V</v>
      </c>
      <c r="C217" s="40"/>
      <c r="D217" s="78" t="b">
        <f>MODE=2</f>
        <v>1</v>
      </c>
      <c r="E217" s="7"/>
      <c r="F217" s="7"/>
      <c r="G217" s="7"/>
      <c r="H217" s="7"/>
      <c r="I217" s="25"/>
    </row>
    <row r="218" spans="1:9" x14ac:dyDescent="0.25">
      <c r="A218" s="24" t="str">
        <f>"VOUT2 = "&amp;'LM(2)518x PSR flyback converter'!E12&amp;"V"</f>
        <v>VOUT2 = 8V</v>
      </c>
      <c r="B218" s="7" t="str">
        <f>IF(MODE_TOP="BIPOLAR", 'LM(2)518x PSR flyback converter'!E12&amp;"V", "")</f>
        <v/>
      </c>
      <c r="C218" s="40"/>
      <c r="D218" s="7"/>
      <c r="E218" s="7"/>
      <c r="F218" s="7"/>
      <c r="G218" s="7"/>
      <c r="H218" s="7"/>
      <c r="I218" s="25"/>
    </row>
    <row r="219" spans="1:9" x14ac:dyDescent="0.25">
      <c r="A219" s="24"/>
      <c r="B219" s="7"/>
      <c r="C219" s="40"/>
      <c r="D219" s="7"/>
      <c r="E219" s="7"/>
      <c r="F219" s="7"/>
      <c r="G219" s="7"/>
      <c r="H219" s="7"/>
      <c r="I219" s="25"/>
    </row>
    <row r="220" spans="1:9" x14ac:dyDescent="0.25">
      <c r="A220" s="400" t="s">
        <v>521</v>
      </c>
      <c r="B220" s="78" t="str">
        <f>IF(MODE=1, "", "Co1")</f>
        <v>Co1</v>
      </c>
      <c r="C220" s="78" t="str">
        <f>IF(MODE_TOP="DUAL", "Co2", "")</f>
        <v>Co2</v>
      </c>
      <c r="D220" s="78" t="str">
        <f>IF(MODE_TOP="BIPOLAR", "Co2", "")</f>
        <v/>
      </c>
      <c r="E220" s="7"/>
      <c r="F220" s="78" t="str">
        <f>MODE_TOP</f>
        <v>DUAL</v>
      </c>
      <c r="G220" s="7"/>
      <c r="H220" s="7"/>
      <c r="I220" s="25"/>
    </row>
    <row r="221" spans="1:9" x14ac:dyDescent="0.25">
      <c r="A221" s="24" t="str">
        <f>"COUT = "&amp;'LM(2)518x PSR flyback converter'!$E$22&amp;"µF"</f>
        <v>COUT = 10µF</v>
      </c>
      <c r="B221" s="7" t="str">
        <f>'LM(2)518x PSR flyback converter'!$E$22&amp;"µF"</f>
        <v>10µF</v>
      </c>
      <c r="C221" s="7" t="str">
        <f>IF(MODE_TOP="DUAL", 'LM(2)518x PSR flyback converter'!$L$22&amp;"µF", "")</f>
        <v>47µF</v>
      </c>
      <c r="D221" s="7" t="str">
        <f>IF(MODE_TOP="BIPOLAR", 'LM(2)518x PSR flyback converter'!$L$22&amp;"µF", "")</f>
        <v/>
      </c>
      <c r="E221" s="7"/>
      <c r="F221" s="7" t="str">
        <f>'LM(2)518x PSR flyback converter'!$L$22&amp;"µF"</f>
        <v>47µF</v>
      </c>
      <c r="G221" s="7"/>
      <c r="H221" s="7"/>
      <c r="I221" s="25"/>
    </row>
    <row r="222" spans="1:9" x14ac:dyDescent="0.25">
      <c r="A222" s="111" t="s">
        <v>134</v>
      </c>
      <c r="B222" s="7" t="str">
        <f>"22µF"</f>
        <v>22µF</v>
      </c>
      <c r="C222" s="40"/>
      <c r="D222" s="7"/>
      <c r="E222" s="7"/>
      <c r="F222" s="7"/>
      <c r="G222" s="7"/>
      <c r="H222" s="7"/>
      <c r="I222" s="25"/>
    </row>
    <row r="223" spans="1:9" x14ac:dyDescent="0.25">
      <c r="A223" s="111" t="s">
        <v>135</v>
      </c>
      <c r="B223" s="79" t="str">
        <f>ROUNDUP(Cout/22,0)&amp;" x"</f>
        <v>1 x</v>
      </c>
      <c r="C223" s="165"/>
      <c r="D223" s="7"/>
      <c r="E223" s="7"/>
      <c r="F223" s="7"/>
      <c r="G223" s="7"/>
      <c r="H223" s="7"/>
      <c r="I223" s="25"/>
    </row>
    <row r="224" spans="1:9" x14ac:dyDescent="0.25">
      <c r="A224" s="111"/>
      <c r="B224" s="79">
        <f>Cout</f>
        <v>10</v>
      </c>
      <c r="C224" s="165"/>
      <c r="D224" s="7"/>
      <c r="E224" s="7"/>
      <c r="F224" s="7"/>
      <c r="G224" s="7"/>
      <c r="H224" s="7"/>
      <c r="I224" s="25"/>
    </row>
    <row r="225" spans="1:9" x14ac:dyDescent="0.25">
      <c r="A225" s="400" t="s">
        <v>522</v>
      </c>
      <c r="B225" s="7"/>
      <c r="C225" s="40"/>
      <c r="D225" s="7"/>
      <c r="E225" s="7"/>
      <c r="F225" s="7"/>
      <c r="G225" s="7"/>
      <c r="H225" s="7"/>
      <c r="I225" s="25"/>
    </row>
    <row r="226" spans="1:9" x14ac:dyDescent="0.25">
      <c r="A226" s="24" t="s">
        <v>95</v>
      </c>
      <c r="B226" s="7" t="str">
        <f>Cin&amp;"µF"</f>
        <v>10µF</v>
      </c>
      <c r="E226" s="7"/>
      <c r="F226" s="7"/>
      <c r="G226" s="7"/>
      <c r="H226" s="7"/>
      <c r="I226" s="25"/>
    </row>
    <row r="227" spans="1:9" x14ac:dyDescent="0.25">
      <c r="A227" s="111" t="s">
        <v>133</v>
      </c>
      <c r="B227" s="7" t="str">
        <f>"4.7µF"</f>
        <v>4.7µF</v>
      </c>
      <c r="C227" s="40"/>
      <c r="D227" s="7"/>
      <c r="E227" s="7"/>
      <c r="F227" s="7"/>
      <c r="G227" s="7"/>
      <c r="H227" s="7"/>
      <c r="I227" s="25"/>
    </row>
    <row r="228" spans="1:9" x14ac:dyDescent="0.25">
      <c r="A228" s="111" t="s">
        <v>132</v>
      </c>
      <c r="B228" s="79" t="str">
        <f>ROUNDUP(Cin/4.7,0)&amp;" x"</f>
        <v>3 x</v>
      </c>
      <c r="C228" s="165"/>
      <c r="D228" s="7"/>
      <c r="E228" s="7"/>
      <c r="F228" s="7"/>
      <c r="G228" s="7"/>
      <c r="H228" s="7"/>
      <c r="I228" s="25"/>
    </row>
    <row r="229" spans="1:9" x14ac:dyDescent="0.25">
      <c r="A229" s="111"/>
      <c r="B229" s="79"/>
      <c r="D229" s="7"/>
      <c r="E229" s="7"/>
      <c r="F229" s="7"/>
      <c r="G229" s="7"/>
      <c r="H229" s="7"/>
      <c r="I229" s="25"/>
    </row>
    <row r="230" spans="1:9" ht="15.6" x14ac:dyDescent="0.35">
      <c r="A230" s="111" t="s">
        <v>523</v>
      </c>
      <c r="B230" s="588" t="s">
        <v>524</v>
      </c>
      <c r="C230" s="588" t="s">
        <v>564</v>
      </c>
      <c r="D230" s="7"/>
      <c r="E230" s="7"/>
      <c r="F230" s="7"/>
      <c r="G230" s="7"/>
      <c r="H230" s="7"/>
      <c r="I230" s="25"/>
    </row>
    <row r="231" spans="1:9" x14ac:dyDescent="0.25">
      <c r="A231" s="111"/>
      <c r="B231" s="79"/>
      <c r="D231" s="7"/>
      <c r="E231" s="7"/>
      <c r="F231" s="7"/>
      <c r="G231" s="7"/>
      <c r="H231" s="7"/>
      <c r="I231" s="25"/>
    </row>
    <row r="232" spans="1:9" x14ac:dyDescent="0.25">
      <c r="A232" s="400" t="s">
        <v>390</v>
      </c>
      <c r="B232" s="165" t="str">
        <f>IF(MODE_TC=1, "YES", "NO")</f>
        <v>YES</v>
      </c>
      <c r="D232" s="7"/>
      <c r="E232" s="7"/>
      <c r="F232" s="7"/>
      <c r="G232" s="7"/>
      <c r="H232" s="7"/>
      <c r="I232" s="25"/>
    </row>
    <row r="233" spans="1:9" x14ac:dyDescent="0.25">
      <c r="A233" s="111" t="s">
        <v>299</v>
      </c>
      <c r="B233" s="165" t="str">
        <f>IF(MODE_TC=2, "YES", "NO")</f>
        <v>NO</v>
      </c>
      <c r="C233" s="390" t="str">
        <f>IF(MODE_TC=2, "R1", "")</f>
        <v/>
      </c>
      <c r="D233" s="390" t="str">
        <f>IF(MODE_TC=2, "R2", "")</f>
        <v/>
      </c>
      <c r="E233" s="390"/>
      <c r="F233" s="7"/>
      <c r="G233" s="7"/>
      <c r="H233" s="7"/>
      <c r="I233" s="25"/>
    </row>
    <row r="234" spans="1:9" x14ac:dyDescent="0.25">
      <c r="A234" s="24" t="str">
        <f>"RFB = "&amp;'LM(2)518x PSR flyback converter'!E27&amp;"kΩ"</f>
        <v>RFB = 6953865,8kΩ</v>
      </c>
      <c r="B234" s="7" t="str">
        <f>IF(MODE_TC=1, "", 'LM(2)518x PSR flyback converter'!E27&amp;"kΩ")</f>
        <v/>
      </c>
      <c r="C234" s="78" t="str">
        <f>'LM(2)518x PSR flyback converter'!E27&amp;"kΩ"</f>
        <v>6953865,8kΩ</v>
      </c>
      <c r="D234" s="7"/>
      <c r="E234" s="7"/>
      <c r="F234" s="7"/>
      <c r="G234" s="7"/>
      <c r="H234" s="7"/>
      <c r="I234" s="25"/>
    </row>
    <row r="235" spans="1:9" x14ac:dyDescent="0.25">
      <c r="A235" s="24" t="str">
        <f>"RFB2 = "&amp;IF(Vout=Vref,"OPEN",'LM(2)518x PSR flyback converter'!E28&amp;"kΩ")</f>
        <v>RFB2 = 196kΩ</v>
      </c>
      <c r="B235" s="7" t="str">
        <f>IF(MODE_TC=1, "", IF(Vout=Vref,"OPEN",Rfb2_u/1000&amp;"kΩ"))</f>
        <v/>
      </c>
      <c r="C235" s="78" t="str">
        <f>'LM(2)518x PSR flyback converter'!E28&amp;"kΩ"</f>
        <v>196kΩ</v>
      </c>
      <c r="D235" s="7"/>
      <c r="E235" s="7"/>
      <c r="F235" s="7"/>
      <c r="G235" s="7"/>
      <c r="H235" s="7"/>
      <c r="I235" s="25"/>
    </row>
    <row r="236" spans="1:9" x14ac:dyDescent="0.25">
      <c r="A236" s="24"/>
      <c r="B236" s="7"/>
      <c r="C236" s="78"/>
      <c r="D236" s="7"/>
      <c r="E236" s="7"/>
      <c r="F236" s="7"/>
      <c r="G236" s="7"/>
      <c r="H236" s="7"/>
      <c r="I236" s="25"/>
    </row>
    <row r="237" spans="1:9" x14ac:dyDescent="0.25">
      <c r="A237" s="111" t="s">
        <v>303</v>
      </c>
      <c r="B237" s="40" t="str">
        <f>IF(MODE=1, "YES", "NO")</f>
        <v>NO</v>
      </c>
      <c r="C237" s="7" t="str">
        <f>IF(MODE=1,"Rt", "")</f>
        <v/>
      </c>
      <c r="D237" s="7"/>
      <c r="E237" s="7"/>
      <c r="F237" s="7"/>
      <c r="G237" s="7"/>
      <c r="H237" s="7"/>
      <c r="I237" s="25"/>
    </row>
    <row r="238" spans="1:9" x14ac:dyDescent="0.25">
      <c r="A238" s="111" t="s">
        <v>139</v>
      </c>
      <c r="B238" s="7" t="str">
        <f>IF(MODE=2, "", 'Standard Value Calculator'!J4/1000&amp;"kΩ")</f>
        <v/>
      </c>
      <c r="C238" s="40"/>
      <c r="D238" s="7"/>
      <c r="E238" s="7"/>
      <c r="F238" s="7"/>
      <c r="G238" s="7"/>
      <c r="H238" s="7"/>
      <c r="I238" s="25"/>
    </row>
    <row r="239" spans="1:9" x14ac:dyDescent="0.25">
      <c r="A239" s="111"/>
      <c r="B239" s="7"/>
      <c r="C239" s="40"/>
      <c r="D239" s="7"/>
      <c r="E239" s="7"/>
      <c r="F239" s="7"/>
      <c r="G239" s="7"/>
      <c r="H239" s="7"/>
      <c r="I239" s="25"/>
    </row>
    <row r="240" spans="1:9" x14ac:dyDescent="0.25">
      <c r="A240" s="400" t="s">
        <v>380</v>
      </c>
      <c r="B240" s="165" t="str">
        <f>IF(MODE=1, "YES", "NO")</f>
        <v>NO</v>
      </c>
      <c r="C240" s="78" t="str">
        <f>IF(TC=1,"Rtc", "")</f>
        <v>Rtc</v>
      </c>
      <c r="D240" s="7"/>
      <c r="E240" s="7"/>
      <c r="F240" s="7"/>
      <c r="G240" s="7"/>
      <c r="H240" s="7"/>
      <c r="I240" s="25"/>
    </row>
    <row r="241" spans="1:9" x14ac:dyDescent="0.25">
      <c r="A241" s="531" t="str">
        <f>"RTC = "&amp;RTC&amp;"kΩ"</f>
        <v>RTC = 0,00866kΩ</v>
      </c>
      <c r="B241" s="7" t="str">
        <f>IF(TC=1, RTC&amp;"kΩ", "")</f>
        <v>0,00866kΩ</v>
      </c>
      <c r="C241" s="78" t="str">
        <f>CHOOSE(TC,"Rtc","")</f>
        <v>Rtc</v>
      </c>
      <c r="D241" s="7"/>
      <c r="E241" s="7"/>
      <c r="F241" s="8"/>
      <c r="G241" s="7"/>
      <c r="H241" s="7"/>
      <c r="I241" s="25"/>
    </row>
    <row r="242" spans="1:9" x14ac:dyDescent="0.25">
      <c r="A242" s="111" t="s">
        <v>383</v>
      </c>
      <c r="B242" s="372"/>
      <c r="C242" s="7"/>
      <c r="D242" s="7"/>
      <c r="E242" s="7"/>
      <c r="F242" s="8"/>
      <c r="G242" s="7"/>
      <c r="H242" s="7"/>
      <c r="I242" s="25"/>
    </row>
    <row r="243" spans="1:9" x14ac:dyDescent="0.25">
      <c r="A243" s="24"/>
      <c r="B243" s="79"/>
      <c r="C243" s="165"/>
      <c r="D243" s="7"/>
      <c r="E243" s="114"/>
      <c r="F243" s="7"/>
      <c r="G243" s="7"/>
      <c r="H243" s="7"/>
      <c r="I243" s="25"/>
    </row>
    <row r="244" spans="1:9" x14ac:dyDescent="0.25">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x14ac:dyDescent="0.25">
      <c r="A245" s="24" t="str">
        <f>"RUV1 = "&amp;C245</f>
        <v>RUV1 = 280kΩ</v>
      </c>
      <c r="B245" s="7" t="str">
        <f>'LM(2)518x PSR flyback converter'!E38&amp;" kΩ"</f>
        <v>280 kΩ</v>
      </c>
      <c r="C245" s="390" t="str">
        <f>IF(MODE_UVLO=1,'LM(2)518x PSR flyback converter'!E38&amp;"kΩ", "")</f>
        <v>280kΩ</v>
      </c>
      <c r="F245" s="7">
        <f>IF(MODE_UVLO=1,'LM(2)518x PSR flyback converter'!E38, "")</f>
        <v>280</v>
      </c>
      <c r="G245" s="78" t="str">
        <f>IF(MODE_UVLO=1,"kΩ", "")</f>
        <v>kΩ</v>
      </c>
      <c r="H245" s="390" t="str">
        <f>IF(MODE_UVLO=1,'LM(2)518x PSR flyback converter'!E38&amp;"k", "")</f>
        <v>280k</v>
      </c>
      <c r="I245" s="25"/>
    </row>
    <row r="246" spans="1:9" x14ac:dyDescent="0.25">
      <c r="A246" s="24" t="str">
        <f>"RUV2 = "&amp;C246</f>
        <v>RUV2 = 25,5kΩ</v>
      </c>
      <c r="B246" s="7" t="str">
        <f>IF(D158&gt;=1000, D158/1000&amp;" MΩ", D158&amp;" kΩ")</f>
        <v>25,5 kΩ</v>
      </c>
      <c r="C246" s="390" t="str">
        <f>IF(MODE_UVLO=1, IF(D158&lt;1, D158*1000&amp;"Ω", IF(D158&lt;1000, D158&amp;"kΩ", D158/1000&amp;"MΩ")), "")</f>
        <v>25,5kΩ</v>
      </c>
      <c r="F246" s="7">
        <f>IF(MODE_UVLO=1, IF(D158&lt;1, D158*1000, IF(D158&lt;1000, D158, D158/1000)), "")</f>
        <v>25.5</v>
      </c>
      <c r="G246" s="78" t="str">
        <f>IF(MODE_UVLO=1, IF(D158&lt;1, "Ω", IF(D158&lt;1000,"kΩ", "MΩ")), "")</f>
        <v>kΩ</v>
      </c>
      <c r="H246" s="390" t="str">
        <f>IF(MODE_UVLO=1, IF(D158&lt;1, D158*1000, IF(D158&lt;1000, D158&amp;"k", D158/1000&amp;"M")), "")</f>
        <v>25,5k</v>
      </c>
      <c r="I246" s="25"/>
    </row>
    <row r="247" spans="1:9" x14ac:dyDescent="0.25">
      <c r="A247" s="24"/>
      <c r="B247" s="7"/>
      <c r="C247" s="390"/>
      <c r="F247" s="7"/>
      <c r="G247" s="78"/>
      <c r="H247" s="390"/>
      <c r="I247" s="25"/>
    </row>
    <row r="248" spans="1:9" x14ac:dyDescent="0.25">
      <c r="A248" s="400" t="s">
        <v>384</v>
      </c>
      <c r="B248" s="7"/>
      <c r="C248" s="390"/>
      <c r="F248" s="7"/>
      <c r="G248" s="78"/>
      <c r="H248" s="390"/>
      <c r="I248" s="25"/>
    </row>
    <row r="249" spans="1:9" x14ac:dyDescent="0.25">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x14ac:dyDescent="0.25">
      <c r="A250" s="24"/>
      <c r="B250" s="78"/>
      <c r="C250" s="78"/>
      <c r="F250" s="7"/>
      <c r="G250" s="78"/>
      <c r="H250" s="390"/>
      <c r="I250" s="25"/>
    </row>
    <row r="251" spans="1:9" x14ac:dyDescent="0.25">
      <c r="A251" s="400" t="s">
        <v>385</v>
      </c>
      <c r="B251" s="79"/>
      <c r="C251" s="165"/>
      <c r="D251" s="7"/>
      <c r="E251" s="114"/>
      <c r="F251" s="7"/>
      <c r="G251" s="7"/>
      <c r="H251" s="7"/>
      <c r="I251" s="25"/>
    </row>
    <row r="252" spans="1:9" x14ac:dyDescent="0.25">
      <c r="A252" s="24" t="str">
        <f>"Css = "&amp;Css*1000000000&amp;"nF"</f>
        <v>Css = 45nF</v>
      </c>
      <c r="B252" s="7" t="str">
        <f>Css*1000000000&amp;"nF"</f>
        <v>45nF</v>
      </c>
      <c r="D252" s="7"/>
      <c r="E252" s="7"/>
      <c r="F252" s="7"/>
      <c r="G252" s="7"/>
      <c r="H252" s="7"/>
      <c r="I252" s="25"/>
    </row>
    <row r="253" spans="1:9" x14ac:dyDescent="0.25">
      <c r="A253" s="24" t="s">
        <v>66</v>
      </c>
      <c r="B253" s="7" t="str">
        <f>CHOOSE(MODE_SS,'Standard Value Calculator'!B4*1000000000&amp;"nF","")</f>
        <v>47nF</v>
      </c>
      <c r="C253" s="7" t="str">
        <f>CHOOSE(MODE_SS,"Css","")</f>
        <v>Css</v>
      </c>
      <c r="D253" s="401" t="str">
        <f>B253</f>
        <v>47nF</v>
      </c>
      <c r="E253" s="7"/>
      <c r="F253" s="7"/>
      <c r="G253" s="7"/>
      <c r="H253" s="7"/>
      <c r="I253" s="25"/>
    </row>
    <row r="254" spans="1:9" x14ac:dyDescent="0.25">
      <c r="A254" s="24"/>
      <c r="B254" s="7"/>
      <c r="C254" s="78" t="str">
        <f>C253</f>
        <v>Css</v>
      </c>
      <c r="D254" s="40"/>
      <c r="E254" s="7"/>
      <c r="F254" s="7"/>
      <c r="G254" s="7"/>
      <c r="H254" s="7"/>
      <c r="I254" s="25"/>
    </row>
    <row r="255" spans="1:9" x14ac:dyDescent="0.25">
      <c r="A255" s="24"/>
      <c r="B255" s="7"/>
      <c r="C255" s="78"/>
      <c r="D255" s="40"/>
      <c r="E255" s="7"/>
      <c r="F255" s="7"/>
      <c r="G255" s="7"/>
      <c r="H255" s="7"/>
      <c r="I255" s="25"/>
    </row>
    <row r="256" spans="1:9" x14ac:dyDescent="0.25">
      <c r="A256" s="111" t="s">
        <v>653</v>
      </c>
      <c r="B256" s="78">
        <f>ROUND(Iout*2,1)</f>
        <v>0.2</v>
      </c>
      <c r="C256" s="78" t="s">
        <v>1</v>
      </c>
      <c r="D256" s="7"/>
      <c r="E256" s="7"/>
      <c r="F256" s="7"/>
      <c r="G256" s="7"/>
      <c r="H256" s="7"/>
      <c r="I256" s="25"/>
    </row>
    <row r="257" spans="1:9" x14ac:dyDescent="0.25">
      <c r="A257" s="111" t="s">
        <v>654</v>
      </c>
      <c r="B257">
        <f>ROUND(VRRM_DIODE,0)</f>
        <v>15</v>
      </c>
      <c r="C257" s="78" t="s">
        <v>0</v>
      </c>
      <c r="D257" s="7"/>
      <c r="E257" s="7"/>
      <c r="F257" s="7"/>
      <c r="G257" s="7"/>
      <c r="H257" s="7"/>
      <c r="I257" s="25"/>
    </row>
    <row r="258" spans="1:9" x14ac:dyDescent="0.25">
      <c r="F258" s="7"/>
      <c r="G258" s="7"/>
      <c r="H258" s="7"/>
      <c r="I258" s="25"/>
    </row>
    <row r="259" spans="1:9" x14ac:dyDescent="0.25">
      <c r="A259" s="111"/>
      <c r="B259" s="372"/>
      <c r="C259" s="7"/>
      <c r="D259" s="7"/>
      <c r="E259" s="7"/>
      <c r="F259" s="7"/>
      <c r="G259" s="7"/>
      <c r="H259" s="7"/>
      <c r="I259" s="25"/>
    </row>
    <row r="260" spans="1:9" x14ac:dyDescent="0.25">
      <c r="A260" s="111" t="s">
        <v>129</v>
      </c>
      <c r="B260" s="78" t="s">
        <v>311</v>
      </c>
      <c r="C260" s="7"/>
      <c r="D260" s="7"/>
      <c r="E260" s="7"/>
      <c r="F260" s="7"/>
      <c r="G260" s="7"/>
      <c r="H260" s="7"/>
      <c r="I260" s="25"/>
    </row>
    <row r="261" spans="1:9" x14ac:dyDescent="0.25">
      <c r="A261" s="111"/>
      <c r="B261" s="78"/>
      <c r="C261" s="7"/>
      <c r="D261" s="7"/>
      <c r="E261" s="7"/>
      <c r="F261" s="7"/>
      <c r="G261" s="7"/>
      <c r="H261" s="7"/>
      <c r="I261" s="25"/>
    </row>
    <row r="262" spans="1:9" x14ac:dyDescent="0.25">
      <c r="A262" s="111" t="s">
        <v>183</v>
      </c>
      <c r="B262" s="357" t="str">
        <f>CHOOSE(MODE, ROUND('Calculations - Single'!$CD$105,1)&amp;"%", ROUND('Calculations - Dual'!CF105,1)&amp;"%")</f>
        <v>0%</v>
      </c>
      <c r="C262" s="7"/>
      <c r="D262" s="7"/>
      <c r="E262" s="7"/>
      <c r="F262" s="7"/>
      <c r="G262" s="7"/>
      <c r="H262" s="7"/>
      <c r="I262" s="25"/>
    </row>
    <row r="263" spans="1:9" x14ac:dyDescent="0.25">
      <c r="A263" s="111" t="s">
        <v>501</v>
      </c>
      <c r="B263" s="357" t="str">
        <f>ROUND('Calculations - Single'!$CD$55,1)&amp;"%"</f>
        <v>0%</v>
      </c>
      <c r="C263" s="7"/>
      <c r="D263" s="7"/>
      <c r="E263" s="7"/>
      <c r="F263" s="7"/>
      <c r="G263" s="7"/>
      <c r="H263" s="7"/>
      <c r="I263" s="25"/>
    </row>
    <row r="264" spans="1:9" x14ac:dyDescent="0.25">
      <c r="A264" s="111" t="s">
        <v>308</v>
      </c>
      <c r="B264" s="357" t="str">
        <f>ROUND('Calculations - Single'!$CD$15,1)&amp;"%"</f>
        <v>0%</v>
      </c>
      <c r="C264" s="78" t="s">
        <v>313</v>
      </c>
      <c r="D264" s="7"/>
      <c r="E264" s="7"/>
      <c r="F264" s="7"/>
      <c r="G264" s="7"/>
      <c r="H264" s="7"/>
      <c r="I264" s="25"/>
    </row>
    <row r="265" spans="1:9" x14ac:dyDescent="0.25">
      <c r="A265" s="111" t="s">
        <v>312</v>
      </c>
      <c r="B265" s="357" t="str">
        <f>ROUND(Parameters!BZ56,1)&amp;"%"</f>
        <v>0%</v>
      </c>
      <c r="C265" s="78" t="s">
        <v>314</v>
      </c>
      <c r="D265" s="7"/>
      <c r="E265" s="7"/>
      <c r="F265" s="7"/>
      <c r="G265" s="7"/>
      <c r="H265" s="7"/>
      <c r="I265" s="25"/>
    </row>
    <row r="266" spans="1:9" x14ac:dyDescent="0.25">
      <c r="A266" s="24"/>
      <c r="B266" s="7"/>
      <c r="C266" s="40"/>
      <c r="D266" s="7"/>
      <c r="E266" s="7"/>
      <c r="F266" s="7"/>
      <c r="G266" s="7"/>
      <c r="H266" s="7"/>
      <c r="I266" s="25"/>
    </row>
    <row r="267" spans="1:9" x14ac:dyDescent="0.25">
      <c r="A267" s="24"/>
      <c r="B267" s="7"/>
      <c r="C267" s="40"/>
      <c r="D267" s="7"/>
      <c r="E267" s="7"/>
      <c r="F267" s="7"/>
      <c r="G267" s="7"/>
      <c r="H267" s="7"/>
      <c r="I267" s="25"/>
    </row>
    <row r="268" spans="1:9" x14ac:dyDescent="0.25">
      <c r="A268" s="24"/>
      <c r="B268" s="7"/>
      <c r="C268" s="40"/>
      <c r="D268" s="7"/>
      <c r="E268" s="7"/>
      <c r="F268" s="7"/>
      <c r="G268" s="7"/>
      <c r="H268" s="7"/>
      <c r="I268" s="25"/>
    </row>
    <row r="269" spans="1:9" x14ac:dyDescent="0.25">
      <c r="A269" s="24" t="s">
        <v>80</v>
      </c>
      <c r="B269" s="7" t="str">
        <f>IF(C269="y","","|")</f>
        <v>|</v>
      </c>
      <c r="C269" s="40" t="s">
        <v>320</v>
      </c>
      <c r="D269" s="7"/>
      <c r="E269" s="7"/>
      <c r="F269" s="7"/>
      <c r="G269" s="7"/>
      <c r="H269" s="7"/>
      <c r="I269" s="25"/>
    </row>
    <row r="270" spans="1:9" x14ac:dyDescent="0.25">
      <c r="A270" s="24"/>
      <c r="B270" s="7"/>
      <c r="C270" s="40"/>
      <c r="D270" s="7"/>
      <c r="E270" s="7"/>
      <c r="F270" s="7"/>
      <c r="G270" s="7"/>
      <c r="H270" s="7"/>
      <c r="I270" s="25"/>
    </row>
    <row r="271" spans="1:9" x14ac:dyDescent="0.25">
      <c r="A271" s="505" t="s">
        <v>86</v>
      </c>
      <c r="B271" s="7" t="str">
        <f>'LM(2)518x PSR flyback converter'!$E$11&amp;"A"</f>
        <v>0,1A</v>
      </c>
      <c r="C271" s="40"/>
      <c r="D271" s="7"/>
      <c r="E271" s="7"/>
      <c r="F271" s="7"/>
      <c r="G271" s="7"/>
      <c r="H271" s="7"/>
      <c r="I271" s="25"/>
    </row>
    <row r="272" spans="1:9" x14ac:dyDescent="0.25">
      <c r="A272" s="505" t="s">
        <v>520</v>
      </c>
      <c r="B272" s="7" t="str">
        <f>IF(MODE_TOP="DUAL", 'LM(2)518x PSR flyback converter'!$E$13&amp;"A", "")</f>
        <v>0,5A</v>
      </c>
      <c r="C272" s="40"/>
      <c r="D272" s="78">
        <f>MODE</f>
        <v>2</v>
      </c>
      <c r="E272" s="7"/>
      <c r="F272" s="7"/>
      <c r="G272" s="7"/>
      <c r="H272" s="7"/>
      <c r="I272" s="25"/>
    </row>
    <row r="273" spans="1:9" x14ac:dyDescent="0.25">
      <c r="A273" s="505" t="s">
        <v>519</v>
      </c>
      <c r="B273" s="7" t="str">
        <f>IF(MODE_TOP="BIPOLAR", Iout2_actual&amp;"A", "")</f>
        <v/>
      </c>
      <c r="C273" s="40"/>
      <c r="D273" s="7"/>
      <c r="E273" s="7"/>
      <c r="F273" s="7"/>
      <c r="G273" s="7"/>
      <c r="H273" s="7"/>
      <c r="I273" s="25"/>
    </row>
    <row r="274" spans="1:9" x14ac:dyDescent="0.25">
      <c r="A274" s="24"/>
      <c r="B274" s="7"/>
      <c r="C274" s="40"/>
      <c r="D274" s="7"/>
      <c r="E274" s="7"/>
      <c r="F274" s="7"/>
      <c r="G274" s="7"/>
      <c r="H274" s="7"/>
      <c r="I274" s="25"/>
    </row>
    <row r="275" spans="1:9" x14ac:dyDescent="0.25">
      <c r="A275" s="111" t="s">
        <v>94</v>
      </c>
      <c r="B275" s="7">
        <v>1</v>
      </c>
      <c r="C275" s="40"/>
      <c r="D275" s="7"/>
      <c r="E275" s="7"/>
      <c r="F275" s="7"/>
      <c r="G275" s="7"/>
      <c r="H275" s="7"/>
      <c r="I275" s="25"/>
    </row>
    <row r="276" spans="1:9" x14ac:dyDescent="0.25">
      <c r="A276" s="111" t="s">
        <v>93</v>
      </c>
      <c r="B276" s="7">
        <v>2</v>
      </c>
      <c r="C276" s="40"/>
      <c r="D276" s="7"/>
      <c r="E276" s="7"/>
      <c r="F276" s="7"/>
      <c r="G276" s="7"/>
      <c r="H276" s="7"/>
      <c r="I276" s="25"/>
    </row>
    <row r="277" spans="1:9" x14ac:dyDescent="0.25">
      <c r="A277" s="604" t="s">
        <v>57</v>
      </c>
      <c r="B277" s="7">
        <v>3</v>
      </c>
      <c r="C277" s="40"/>
      <c r="D277" s="7"/>
      <c r="E277" s="7"/>
      <c r="F277" s="7"/>
      <c r="G277" s="7"/>
      <c r="H277" s="7"/>
      <c r="I277" s="25"/>
    </row>
    <row r="278" spans="1:9" x14ac:dyDescent="0.25">
      <c r="A278" s="111" t="s">
        <v>565</v>
      </c>
      <c r="B278" s="7">
        <v>4</v>
      </c>
      <c r="C278" s="40"/>
      <c r="D278" s="7"/>
      <c r="E278" s="7"/>
      <c r="F278" s="7"/>
      <c r="G278" s="7"/>
      <c r="H278" s="7"/>
      <c r="I278" s="25"/>
    </row>
    <row r="279" spans="1:9" x14ac:dyDescent="0.25">
      <c r="A279" s="111" t="s">
        <v>566</v>
      </c>
      <c r="B279" s="7">
        <v>5</v>
      </c>
      <c r="C279" s="40"/>
      <c r="D279" s="7"/>
      <c r="E279" s="7"/>
      <c r="F279" s="7"/>
      <c r="G279" s="7"/>
      <c r="H279" s="7"/>
      <c r="I279" s="25"/>
    </row>
    <row r="280" spans="1:9" x14ac:dyDescent="0.25">
      <c r="A280" s="111" t="s">
        <v>567</v>
      </c>
      <c r="B280" s="7">
        <v>6</v>
      </c>
      <c r="C280" s="40"/>
      <c r="D280" s="7"/>
      <c r="E280" s="7"/>
      <c r="F280" s="7"/>
      <c r="G280" s="7"/>
      <c r="H280" s="7"/>
      <c r="I280" s="25"/>
    </row>
    <row r="281" spans="1:9" x14ac:dyDescent="0.25">
      <c r="A281" s="111" t="s">
        <v>568</v>
      </c>
      <c r="B281" s="7">
        <v>7</v>
      </c>
      <c r="C281" s="40"/>
      <c r="D281" s="7"/>
      <c r="E281" s="7"/>
      <c r="F281" s="7"/>
      <c r="G281" s="7"/>
      <c r="H281" s="7"/>
      <c r="I281" s="25"/>
    </row>
    <row r="282" spans="1:9" x14ac:dyDescent="0.25">
      <c r="A282" s="604" t="s">
        <v>92</v>
      </c>
      <c r="B282" s="7">
        <v>8</v>
      </c>
      <c r="C282" s="40"/>
      <c r="D282" s="7"/>
      <c r="E282" s="7"/>
      <c r="F282" s="7"/>
      <c r="G282" s="7"/>
      <c r="H282" s="7"/>
      <c r="I282" s="25"/>
    </row>
    <row r="283" spans="1:9" ht="13.8" thickBot="1" x14ac:dyDescent="0.3">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baseColWidth="10" defaultColWidth="9.21875" defaultRowHeight="13.2" x14ac:dyDescent="0.25"/>
  <cols>
    <col min="1" max="1" width="10.44140625" style="174" customWidth="1"/>
    <col min="2" max="2" width="10.77734375" style="174" customWidth="1"/>
    <col min="3" max="3" width="6.21875" style="174" customWidth="1"/>
    <col min="4" max="4" width="16.21875" style="174" customWidth="1"/>
    <col min="5" max="5" width="4.44140625" style="174" customWidth="1"/>
    <col min="6" max="6" width="3.21875" style="174" customWidth="1"/>
    <col min="7" max="7" width="16.21875" style="174" customWidth="1"/>
    <col min="8" max="8" width="15.77734375" style="174" customWidth="1"/>
    <col min="9" max="9" width="10" style="174" customWidth="1"/>
    <col min="10" max="10" width="10.77734375" style="174" customWidth="1"/>
    <col min="11" max="11" width="10.21875" style="174" customWidth="1"/>
    <col min="12" max="14" width="11.77734375" style="174" customWidth="1"/>
    <col min="15" max="15" width="14.21875" style="174" customWidth="1"/>
    <col min="16" max="16" width="11" style="174" customWidth="1"/>
    <col min="17" max="17" width="12" style="174" customWidth="1"/>
    <col min="18" max="18" width="11.44140625" style="174" customWidth="1"/>
    <col min="19" max="19" width="10.77734375" style="174" customWidth="1"/>
    <col min="20" max="20" width="11.44140625" style="174" customWidth="1"/>
    <col min="21" max="21" width="11.77734375" style="174" customWidth="1"/>
    <col min="22" max="22" width="13.5546875" style="174" customWidth="1"/>
    <col min="23" max="23" width="9.44140625" style="174" customWidth="1"/>
    <col min="24" max="24" width="16.21875" style="174" bestFit="1" customWidth="1"/>
    <col min="25" max="25" width="16.21875" style="176" customWidth="1"/>
    <col min="26" max="26" width="8.77734375" style="174" bestFit="1" customWidth="1"/>
    <col min="27" max="27" width="13.44140625" style="174" bestFit="1" customWidth="1"/>
    <col min="28" max="28" width="9.21875" style="174" bestFit="1" customWidth="1"/>
    <col min="29" max="29" width="9.21875" style="174"/>
    <col min="30" max="30" width="13.5546875" style="174" customWidth="1"/>
    <col min="31" max="31" width="10.5546875" style="174" customWidth="1"/>
    <col min="32" max="32" width="9.21875" style="174"/>
    <col min="33" max="33" width="9.21875" style="174" bestFit="1" customWidth="1"/>
    <col min="34" max="34" width="11.21875" style="174" bestFit="1" customWidth="1"/>
    <col min="35" max="35" width="5.77734375" style="174" customWidth="1"/>
    <col min="36" max="36" width="12.21875" style="174" customWidth="1"/>
    <col min="37" max="37" width="8.77734375" style="174" customWidth="1"/>
    <col min="38" max="38" width="18.21875" style="174" customWidth="1"/>
    <col min="39" max="39" width="45.21875" style="174" customWidth="1"/>
    <col min="40" max="40" width="19.21875" style="174" bestFit="1" customWidth="1"/>
    <col min="41" max="41" width="40.77734375" style="174" bestFit="1" customWidth="1"/>
    <col min="42" max="42" width="40.21875" style="174" bestFit="1" customWidth="1"/>
    <col min="43" max="43" width="40.77734375" style="174" bestFit="1" customWidth="1"/>
    <col min="44" max="44" width="40.21875" style="174" bestFit="1" customWidth="1"/>
    <col min="45" max="45" width="28.44140625" style="174" customWidth="1"/>
    <col min="46" max="16384" width="9.21875" style="174"/>
  </cols>
  <sheetData>
    <row r="1" spans="1:44" ht="13.8" thickBot="1" x14ac:dyDescent="0.3"/>
    <row r="2" spans="1:44" s="193" customFormat="1" x14ac:dyDescent="0.25">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5">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x14ac:dyDescent="0.25">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x14ac:dyDescent="0.25">
      <c r="H5" s="653" t="s">
        <v>712</v>
      </c>
      <c r="I5" s="273">
        <f>1/(2*Pi*REAout*Ccomp)</f>
        <v>0.5526213308116541</v>
      </c>
      <c r="J5" s="654" t="s">
        <v>8</v>
      </c>
      <c r="K5" s="657"/>
      <c r="L5" s="194"/>
      <c r="M5" s="654"/>
      <c r="N5" s="662"/>
      <c r="O5" s="662"/>
      <c r="P5" s="663" t="s">
        <v>727</v>
      </c>
      <c r="Q5" s="665">
        <f>Rload_pri/(2*Pi*Lmag*M*(M+1))</f>
        <v>235059.60852739401</v>
      </c>
      <c r="R5" s="660" t="s">
        <v>8</v>
      </c>
      <c r="S5" s="663"/>
      <c r="T5" s="192"/>
      <c r="U5" s="660"/>
      <c r="V5" s="734" t="s">
        <v>713</v>
      </c>
      <c r="W5" s="737">
        <f>AK9</f>
        <v>55.276705888282876</v>
      </c>
      <c r="X5" s="738" t="s">
        <v>714</v>
      </c>
      <c r="Y5" s="451">
        <f>20*LOG(Am)</f>
        <v>23.521825181113623</v>
      </c>
      <c r="Z5" s="174" t="s">
        <v>787</v>
      </c>
    </row>
    <row r="6" spans="1:44" x14ac:dyDescent="0.25">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8" thickBot="1" x14ac:dyDescent="0.3">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5">
      <c r="H8" s="675"/>
      <c r="I8" s="676"/>
      <c r="J8" s="677"/>
      <c r="K8" s="677"/>
      <c r="L8" s="678"/>
      <c r="M8" s="678"/>
      <c r="N8" s="678"/>
      <c r="O8" s="677"/>
      <c r="P8" s="677"/>
      <c r="Q8" s="677"/>
      <c r="R8" s="677"/>
      <c r="S8" s="677"/>
      <c r="T8" s="677"/>
      <c r="U8" s="677"/>
      <c r="V8" s="677"/>
      <c r="W8" s="677"/>
      <c r="X8" s="677"/>
    </row>
    <row r="9" spans="1:44" ht="13.8" thickBot="1" x14ac:dyDescent="0.3">
      <c r="A9" s="726"/>
      <c r="B9" s="731" t="s">
        <v>773</v>
      </c>
      <c r="AJ9" s="174" t="s">
        <v>720</v>
      </c>
      <c r="AK9" s="176">
        <f>SUM(AK13:AK613)</f>
        <v>55.276705888282876</v>
      </c>
    </row>
    <row r="10" spans="1:44" ht="13.8" x14ac:dyDescent="0.25">
      <c r="A10" s="729"/>
      <c r="B10" s="263" t="s">
        <v>777</v>
      </c>
      <c r="G10" s="841" t="s">
        <v>721</v>
      </c>
      <c r="H10" s="844" t="s">
        <v>771</v>
      </c>
      <c r="I10" s="846" t="s">
        <v>722</v>
      </c>
      <c r="J10" s="847"/>
      <c r="K10" s="847"/>
      <c r="L10" s="847"/>
      <c r="M10" s="847"/>
      <c r="N10" s="848"/>
      <c r="O10" s="846" t="s">
        <v>723</v>
      </c>
      <c r="P10" s="847"/>
      <c r="Q10" s="847"/>
      <c r="R10" s="847"/>
      <c r="S10" s="847"/>
      <c r="T10" s="848"/>
      <c r="U10" s="826" t="s">
        <v>775</v>
      </c>
      <c r="V10" s="849"/>
      <c r="W10" s="826" t="s">
        <v>724</v>
      </c>
      <c r="X10" s="827"/>
      <c r="Y10" s="828"/>
      <c r="AD10" s="829" t="s">
        <v>725</v>
      </c>
      <c r="AE10" s="830"/>
      <c r="AG10" s="829" t="s">
        <v>726</v>
      </c>
      <c r="AH10" s="830"/>
      <c r="AM10" s="337" t="s">
        <v>776</v>
      </c>
    </row>
    <row r="11" spans="1:44" x14ac:dyDescent="0.25">
      <c r="G11" s="842"/>
      <c r="H11" s="845"/>
      <c r="I11" s="831" t="s">
        <v>710</v>
      </c>
      <c r="J11" s="832"/>
      <c r="K11" s="832" t="s">
        <v>705</v>
      </c>
      <c r="L11" s="833"/>
      <c r="M11" s="834" t="s">
        <v>727</v>
      </c>
      <c r="N11" s="835"/>
      <c r="O11" s="831" t="s">
        <v>728</v>
      </c>
      <c r="P11" s="832"/>
      <c r="Q11" s="832" t="s">
        <v>729</v>
      </c>
      <c r="R11" s="833"/>
      <c r="S11" s="834" t="s">
        <v>730</v>
      </c>
      <c r="T11" s="835"/>
      <c r="U11" s="831" t="s">
        <v>706</v>
      </c>
      <c r="V11" s="833"/>
      <c r="W11" s="657"/>
      <c r="X11" s="175"/>
      <c r="Y11" s="679"/>
      <c r="AD11" s="657"/>
      <c r="AE11" s="654"/>
      <c r="AG11" s="657"/>
      <c r="AH11" s="654"/>
    </row>
    <row r="12" spans="1:44" ht="13.8" thickBot="1" x14ac:dyDescent="0.3">
      <c r="A12" s="677"/>
      <c r="B12" s="677"/>
      <c r="C12" s="677"/>
      <c r="D12" s="677"/>
      <c r="E12" s="677"/>
      <c r="F12" s="722"/>
      <c r="G12" s="843"/>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x14ac:dyDescent="0.25">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1.0000000000000906</v>
      </c>
      <c r="N13" s="694">
        <f t="shared" ref="N13:N76" si="5">-ATAN(G13/z_RHP)</f>
        <v>-4.2542400468747441E-7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96.720751086805791</v>
      </c>
      <c r="X13" s="699">
        <f t="shared" ref="X13:X76" si="13">((L13+R13+N13+V13)-(J13+P13+T13))*radconv</f>
        <v>-10.258398092910317</v>
      </c>
      <c r="Y13" s="700">
        <f t="shared" ref="Y13:Y76" si="14">IF(X13&gt;0,X13,X13+180)</f>
        <v>169.74160190708969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27.047125371805048</v>
      </c>
      <c r="AH13" s="702">
        <f t="shared" ref="AH13:AH76" si="20">(L13+N13-(J13+V13))*radconv</f>
        <v>-5.5392891746656832E-3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x14ac:dyDescent="0.25">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1.0000000000108802</v>
      </c>
      <c r="N14" s="694">
        <f t="shared" si="5"/>
        <v>-4.6647742113646032E-6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89.926076113816023</v>
      </c>
      <c r="X14" s="699">
        <f t="shared" si="13"/>
        <v>-63.267771292963197</v>
      </c>
      <c r="Y14" s="702">
        <f t="shared" si="14"/>
        <v>116.7322287070368</v>
      </c>
      <c r="AA14" s="174">
        <f t="shared" si="15"/>
        <v>1000000000</v>
      </c>
      <c r="AB14" s="174">
        <f t="shared" si="16"/>
        <v>1.2023122500000001</v>
      </c>
      <c r="AD14" s="701">
        <f t="shared" si="17"/>
        <v>88.273848729113467</v>
      </c>
      <c r="AE14" s="702">
        <f t="shared" si="18"/>
        <v>-63.205454162803761</v>
      </c>
      <c r="AG14" s="701">
        <f t="shared" si="19"/>
        <v>27.047120443512526</v>
      </c>
      <c r="AH14" s="702">
        <f t="shared" si="20"/>
        <v>-6.073817154517025E-2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x14ac:dyDescent="0.25">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1.0000000000130811</v>
      </c>
      <c r="N15" s="694">
        <f t="shared" si="5"/>
        <v>-5.1148728083132078E-6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89.276580319894308</v>
      </c>
      <c r="X15" s="699">
        <f t="shared" si="13"/>
        <v>-65.331484415030545</v>
      </c>
      <c r="Y15" s="702">
        <f t="shared" si="14"/>
        <v>114.66851558496946</v>
      </c>
      <c r="AA15" s="174">
        <f t="shared" si="15"/>
        <v>1000000000</v>
      </c>
      <c r="AB15" s="174">
        <f t="shared" si="16"/>
        <v>1.4455252899999997</v>
      </c>
      <c r="AD15" s="701">
        <f t="shared" si="17"/>
        <v>87.624353940705731</v>
      </c>
      <c r="AE15" s="702">
        <f t="shared" si="18"/>
        <v>-65.263154381715353</v>
      </c>
      <c r="AG15" s="701">
        <f t="shared" si="19"/>
        <v>27.047119438218658</v>
      </c>
      <c r="AH15" s="702">
        <f t="shared" si="20"/>
        <v>-6.6598719868240244E-2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x14ac:dyDescent="0.25">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1.000000000015727</v>
      </c>
      <c r="N16" s="694">
        <f t="shared" si="5"/>
        <v>-5.608364653736512E-6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88.605899560894954</v>
      </c>
      <c r="X16" s="699">
        <f t="shared" si="13"/>
        <v>-67.275291433744371</v>
      </c>
      <c r="Y16" s="702">
        <f t="shared" si="14"/>
        <v>112.72470856625563</v>
      </c>
      <c r="AA16" s="174">
        <f t="shared" si="15"/>
        <v>1000000000</v>
      </c>
      <c r="AB16" s="174">
        <f t="shared" si="16"/>
        <v>1.7379148900000001</v>
      </c>
      <c r="AD16" s="701">
        <f t="shared" si="17"/>
        <v>86.953674390530381</v>
      </c>
      <c r="AE16" s="702">
        <f t="shared" si="18"/>
        <v>-67.200368808182958</v>
      </c>
      <c r="AG16" s="701">
        <f t="shared" si="19"/>
        <v>27.047118229659301</v>
      </c>
      <c r="AH16" s="702">
        <f t="shared" si="20"/>
        <v>-7.3024275280531126E-2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5">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1.0000000000189055</v>
      </c>
      <c r="N17" s="694">
        <f t="shared" si="5"/>
        <v>-6.1490785636756252E-6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87.916953347935788</v>
      </c>
      <c r="X17" s="699">
        <f t="shared" si="13"/>
        <v>-69.096712639003414</v>
      </c>
      <c r="Y17" s="702">
        <f t="shared" si="14"/>
        <v>110.90328736099659</v>
      </c>
      <c r="AA17" s="174">
        <f t="shared" si="15"/>
        <v>1000000000</v>
      </c>
      <c r="AB17" s="174">
        <f t="shared" si="16"/>
        <v>2.0891811599999999</v>
      </c>
      <c r="AD17" s="701">
        <f t="shared" si="17"/>
        <v>86.264729629808116</v>
      </c>
      <c r="AE17" s="702">
        <f t="shared" si="18"/>
        <v>-69.014566578073442</v>
      </c>
      <c r="AG17" s="701">
        <f t="shared" si="19"/>
        <v>27.047116777740314</v>
      </c>
      <c r="AH17" s="702">
        <f t="shared" si="20"/>
        <v>-8.0064685283992257E-2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5">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1.0000000000227309</v>
      </c>
      <c r="N18" s="694">
        <f t="shared" si="5"/>
        <v>-6.7425450501900115E-6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87.210902326055916</v>
      </c>
      <c r="X18" s="699">
        <f t="shared" si="13"/>
        <v>-70.799472979606747</v>
      </c>
      <c r="Y18" s="702">
        <f t="shared" si="14"/>
        <v>109.20052702039325</v>
      </c>
      <c r="AA18" s="174">
        <f t="shared" si="15"/>
        <v>1000000000</v>
      </c>
      <c r="AB18" s="174">
        <f t="shared" si="16"/>
        <v>2.51190801</v>
      </c>
      <c r="AD18" s="701">
        <f t="shared" si="17"/>
        <v>85.558680355603357</v>
      </c>
      <c r="AE18" s="702">
        <f t="shared" si="18"/>
        <v>-70.709398760955509</v>
      </c>
      <c r="AG18" s="701">
        <f t="shared" si="19"/>
        <v>27.047115030447845</v>
      </c>
      <c r="AH18" s="702">
        <f t="shared" si="20"/>
        <v>-8.7791961868269083E-2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5">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1.0000000000273284</v>
      </c>
      <c r="N19" s="694">
        <f t="shared" si="5"/>
        <v>-7.3930183533246832E-6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86.490870394601487</v>
      </c>
      <c r="X19" s="699">
        <f t="shared" si="13"/>
        <v>-72.383499704114655</v>
      </c>
      <c r="Y19" s="702">
        <f t="shared" si="14"/>
        <v>107.61650029588534</v>
      </c>
      <c r="AA19" s="174">
        <f t="shared" si="15"/>
        <v>1000000000</v>
      </c>
      <c r="AB19" s="174">
        <f t="shared" si="16"/>
        <v>3.0199488400000001</v>
      </c>
      <c r="AD19" s="701">
        <f t="shared" si="17"/>
        <v>84.838650524535723</v>
      </c>
      <c r="AE19" s="702">
        <f t="shared" si="18"/>
        <v>-72.284735774211526</v>
      </c>
      <c r="AG19" s="701">
        <f t="shared" si="19"/>
        <v>27.047112930520836</v>
      </c>
      <c r="AH19" s="702">
        <f t="shared" si="20"/>
        <v>-9.6261496856062473E-2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5">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1.0000000000328573</v>
      </c>
      <c r="N20" s="694">
        <f t="shared" si="5"/>
        <v>-8.1064544091427432E-6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85.758324250283465</v>
      </c>
      <c r="X20" s="699">
        <f t="shared" si="13"/>
        <v>-73.853636758246552</v>
      </c>
      <c r="Y20" s="702">
        <f t="shared" si="14"/>
        <v>106.14636324175345</v>
      </c>
      <c r="AA20" s="174">
        <f t="shared" si="15"/>
        <v>1000000000</v>
      </c>
      <c r="AB20" s="174">
        <f t="shared" si="16"/>
        <v>3.63093025</v>
      </c>
      <c r="AD20" s="701">
        <f t="shared" si="17"/>
        <v>84.106106906189126</v>
      </c>
      <c r="AE20" s="702">
        <f t="shared" si="18"/>
        <v>-73.745341999671879</v>
      </c>
      <c r="AG20" s="701">
        <f t="shared" si="19"/>
        <v>27.047110405102401</v>
      </c>
      <c r="AH20" s="702">
        <f t="shared" si="20"/>
        <v>-0.10555083868688539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x14ac:dyDescent="0.25">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1.0000000000395017</v>
      </c>
      <c r="N21" s="694">
        <f t="shared" si="5"/>
        <v>-8.8883837297018685E-6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85.015533598696734</v>
      </c>
      <c r="X21" s="699">
        <f t="shared" si="13"/>
        <v>-75.213591105475558</v>
      </c>
      <c r="Y21" s="702">
        <f t="shared" si="14"/>
        <v>104.78640889452444</v>
      </c>
      <c r="AA21" s="174">
        <f t="shared" si="15"/>
        <v>1000000000</v>
      </c>
      <c r="AB21" s="174">
        <f t="shared" si="16"/>
        <v>4.3651744900000002</v>
      </c>
      <c r="AD21" s="701">
        <f t="shared" si="17"/>
        <v>83.363319290175554</v>
      </c>
      <c r="AE21" s="702">
        <f t="shared" si="18"/>
        <v>-75.09485051982081</v>
      </c>
      <c r="AG21" s="701">
        <f t="shared" si="19"/>
        <v>27.047107370193778</v>
      </c>
      <c r="AH21" s="702">
        <f t="shared" si="20"/>
        <v>-0.11573199511990309</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5">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1.0000000000474927</v>
      </c>
      <c r="N22" s="694">
        <f t="shared" si="5"/>
        <v>-9.7460385230773617E-6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84.263469927696931</v>
      </c>
      <c r="X22" s="699">
        <f t="shared" si="13"/>
        <v>-76.469835728543487</v>
      </c>
      <c r="Y22" s="702">
        <f t="shared" si="14"/>
        <v>103.53016427145651</v>
      </c>
      <c r="AA22" s="174">
        <f t="shared" si="15"/>
        <v>1000000000</v>
      </c>
      <c r="AB22" s="174">
        <f t="shared" si="16"/>
        <v>5.2482228100000006</v>
      </c>
      <c r="AD22" s="701">
        <f t="shared" si="17"/>
        <v>82.611259269944242</v>
      </c>
      <c r="AE22" s="702">
        <f t="shared" si="18"/>
        <v>-76.339637702831524</v>
      </c>
      <c r="AG22" s="701">
        <f t="shared" si="19"/>
        <v>27.04710372022452</v>
      </c>
      <c r="AH22" s="702">
        <f t="shared" si="20"/>
        <v>-0.12689912901298278</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5">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1.0000000000570977</v>
      </c>
      <c r="N23" s="694">
        <f t="shared" si="5"/>
        <v>-1.0686225573338541E-5</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83.503904944654224</v>
      </c>
      <c r="X23" s="699">
        <f t="shared" si="13"/>
        <v>-77.627476574966337</v>
      </c>
      <c r="Y23" s="702">
        <f t="shared" si="14"/>
        <v>102.37252342503366</v>
      </c>
      <c r="AA23" s="174">
        <f t="shared" si="15"/>
        <v>1000000000</v>
      </c>
      <c r="AB23" s="174">
        <f t="shared" si="16"/>
        <v>6.309641609999999</v>
      </c>
      <c r="AD23" s="701">
        <f t="shared" si="17"/>
        <v>81.851698675099385</v>
      </c>
      <c r="AE23" s="702">
        <f t="shared" si="18"/>
        <v>-77.484718570715032</v>
      </c>
      <c r="AG23" s="701">
        <f t="shared" si="19"/>
        <v>27.047099332987379</v>
      </c>
      <c r="AH23" s="702">
        <f t="shared" si="20"/>
        <v>-0.13914086793312211</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5">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1.0000000000686444</v>
      </c>
      <c r="N24" s="694">
        <f t="shared" si="5"/>
        <v>-1.171702793656692E-5</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82.737897454614412</v>
      </c>
      <c r="X24" s="699">
        <f t="shared" si="13"/>
        <v>-78.692780639665813</v>
      </c>
      <c r="Y24" s="702">
        <f t="shared" si="14"/>
        <v>101.30721936033419</v>
      </c>
      <c r="AA24" s="174">
        <f t="shared" si="15"/>
        <v>1000000000</v>
      </c>
      <c r="AB24" s="174">
        <f t="shared" si="16"/>
        <v>7.5856176399999997</v>
      </c>
      <c r="AD24" s="701">
        <f t="shared" si="17"/>
        <v>81.085696460290237</v>
      </c>
      <c r="AE24" s="702">
        <f t="shared" si="18"/>
        <v>-78.536252140095698</v>
      </c>
      <c r="AG24" s="701">
        <f t="shared" si="19"/>
        <v>27.047094058911561</v>
      </c>
      <c r="AH24" s="702">
        <f t="shared" si="20"/>
        <v>-0.15256245175450425</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x14ac:dyDescent="0.25">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1.0000000000825331</v>
      </c>
      <c r="N25" s="694">
        <f t="shared" si="5"/>
        <v>-1.284780494085559E-5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81.966041969602784</v>
      </c>
      <c r="X25" s="699">
        <f t="shared" si="13"/>
        <v>-79.672371297323423</v>
      </c>
      <c r="Y25" s="702">
        <f t="shared" si="14"/>
        <v>100.32762870267658</v>
      </c>
      <c r="AA25" s="174">
        <f t="shared" si="15"/>
        <v>1000000000</v>
      </c>
      <c r="AB25" s="174">
        <f t="shared" si="16"/>
        <v>9.1204000000000001</v>
      </c>
      <c r="AD25" s="701">
        <f t="shared" si="17"/>
        <v>80.31384732047627</v>
      </c>
      <c r="AE25" s="702">
        <f t="shared" si="18"/>
        <v>-79.500736760503372</v>
      </c>
      <c r="AG25" s="701">
        <f t="shared" si="19"/>
        <v>27.047087715102968</v>
      </c>
      <c r="AH25" s="702">
        <f t="shared" si="20"/>
        <v>-0.16728573772834515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x14ac:dyDescent="0.25">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1.0000000000992229</v>
      </c>
      <c r="N26" s="694">
        <f t="shared" si="5"/>
        <v>-1.4087065066285353E-5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81.189939715220845</v>
      </c>
      <c r="X26" s="699">
        <f t="shared" si="13"/>
        <v>-80.571349373975508</v>
      </c>
      <c r="Y26" s="702">
        <f t="shared" si="14"/>
        <v>99.428650626024492</v>
      </c>
      <c r="AA26" s="174">
        <f t="shared" si="15"/>
        <v>1000000000</v>
      </c>
      <c r="AB26" s="174">
        <f t="shared" si="16"/>
        <v>10.964707690000001</v>
      </c>
      <c r="AD26" s="701">
        <f t="shared" si="17"/>
        <v>79.537752690939655</v>
      </c>
      <c r="AE26" s="702">
        <f t="shared" si="18"/>
        <v>-80.383159600869149</v>
      </c>
      <c r="AG26" s="701">
        <f t="shared" si="19"/>
        <v>27.047080091926929</v>
      </c>
      <c r="AH26" s="702">
        <f t="shared" si="20"/>
        <v>-0.18342150201900553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5">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1.0000000001192939</v>
      </c>
      <c r="N27" s="694">
        <f t="shared" si="5"/>
        <v>-1.5446294760965318E-5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80.409705514676858</v>
      </c>
      <c r="X27" s="699">
        <f t="shared" si="13"/>
        <v>-81.396331305368065</v>
      </c>
      <c r="Y27" s="702">
        <f t="shared" si="14"/>
        <v>98.603668694631935</v>
      </c>
      <c r="AA27" s="174">
        <f t="shared" si="15"/>
        <v>1000000000</v>
      </c>
      <c r="AB27" s="174">
        <f t="shared" si="16"/>
        <v>13.182708639999998</v>
      </c>
      <c r="AD27" s="701">
        <f t="shared" si="17"/>
        <v>78.757527660167895</v>
      </c>
      <c r="AE27" s="702">
        <f t="shared" si="18"/>
        <v>-81.189983660507977</v>
      </c>
      <c r="AG27" s="701">
        <f t="shared" si="19"/>
        <v>27.047070924162178</v>
      </c>
      <c r="AH27" s="702">
        <f t="shared" si="20"/>
        <v>-0.20111929314089352</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5">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1.0000000001434235</v>
      </c>
      <c r="N28" s="694">
        <f t="shared" si="5"/>
        <v>-1.6936555048994666E-5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79.626260526617514</v>
      </c>
      <c r="X28" s="699">
        <f t="shared" si="13"/>
        <v>-82.152623014469143</v>
      </c>
      <c r="Y28" s="702">
        <f t="shared" si="14"/>
        <v>97.847376985530857</v>
      </c>
      <c r="AA28" s="174">
        <f t="shared" si="15"/>
        <v>1000000000</v>
      </c>
      <c r="AB28" s="174">
        <f t="shared" si="16"/>
        <v>15.849157210000001</v>
      </c>
      <c r="AD28" s="701">
        <f t="shared" si="17"/>
        <v>77.974093695850087</v>
      </c>
      <c r="AE28" s="702">
        <f t="shared" si="18"/>
        <v>-81.926367113398342</v>
      </c>
      <c r="AG28" s="701">
        <f t="shared" si="19"/>
        <v>27.047059902833972</v>
      </c>
      <c r="AH28" s="702">
        <f t="shared" si="20"/>
        <v>-0.22052311723951878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5">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1.0000000001724336</v>
      </c>
      <c r="N29" s="694">
        <f t="shared" si="5"/>
        <v>-1.8570608650483949E-5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78.84006858132733</v>
      </c>
      <c r="X29" s="699">
        <f t="shared" si="13"/>
        <v>-82.845672741190668</v>
      </c>
      <c r="Y29" s="702">
        <f t="shared" si="14"/>
        <v>97.154327258809332</v>
      </c>
      <c r="AA29" s="174">
        <f t="shared" si="15"/>
        <v>1000000000</v>
      </c>
      <c r="AB29" s="174">
        <f t="shared" si="16"/>
        <v>19.054971039999998</v>
      </c>
      <c r="AD29" s="701">
        <f t="shared" si="17"/>
        <v>77.187915004130488</v>
      </c>
      <c r="AE29" s="702">
        <f t="shared" si="18"/>
        <v>-82.597587721856797</v>
      </c>
      <c r="AG29" s="701">
        <f t="shared" si="19"/>
        <v>27.047046652164926</v>
      </c>
      <c r="AH29" s="702">
        <f t="shared" si="20"/>
        <v>-0.2417991319072062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5">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1.0000000002073071</v>
      </c>
      <c r="N30" s="694">
        <f t="shared" si="5"/>
        <v>-2.0362069133543683E-5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78.051686101372567</v>
      </c>
      <c r="X30" s="699">
        <f t="shared" si="13"/>
        <v>-83.480478532754219</v>
      </c>
      <c r="Y30" s="702">
        <f t="shared" si="14"/>
        <v>96.519521467245781</v>
      </c>
      <c r="AA30" s="174">
        <f t="shared" si="15"/>
        <v>1000000000</v>
      </c>
      <c r="AB30" s="174">
        <f t="shared" si="16"/>
        <v>22.908667689999998</v>
      </c>
      <c r="AD30" s="701">
        <f t="shared" si="17"/>
        <v>76.399548456189152</v>
      </c>
      <c r="AE30" s="702">
        <f t="shared" si="18"/>
        <v>-83.20846169488928</v>
      </c>
      <c r="AG30" s="701">
        <f t="shared" si="19"/>
        <v>27.047030723639416</v>
      </c>
      <c r="AH30" s="702">
        <f t="shared" si="20"/>
        <v>-0.26512456619598707</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5">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1.0000000002492402</v>
      </c>
      <c r="N31" s="694">
        <f t="shared" si="5"/>
        <v>-2.2326677186294886E-5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77.26125767963191</v>
      </c>
      <c r="X31" s="699">
        <f t="shared" si="13"/>
        <v>-84.062001563085644</v>
      </c>
      <c r="Y31" s="702">
        <f t="shared" si="14"/>
        <v>95.937998436914356</v>
      </c>
      <c r="AA31" s="174">
        <f t="shared" si="15"/>
        <v>1000000000</v>
      </c>
      <c r="AB31" s="174">
        <f t="shared" si="16"/>
        <v>27.542553609999999</v>
      </c>
      <c r="AD31" s="701">
        <f t="shared" si="17"/>
        <v>75.60913919185532</v>
      </c>
      <c r="AE31" s="702">
        <f t="shared" si="18"/>
        <v>-83.763739961526781</v>
      </c>
      <c r="AG31" s="701">
        <f t="shared" si="19"/>
        <v>27.047011570426648</v>
      </c>
      <c r="AH31" s="702">
        <f t="shared" si="20"/>
        <v>-0.29070433742484891</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5">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1.0000000002996499</v>
      </c>
      <c r="N32" s="694">
        <f t="shared" si="5"/>
        <v>-2.44805989208471E-5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76.469308977802541</v>
      </c>
      <c r="X32" s="699">
        <f t="shared" si="13"/>
        <v>-84.594550993518055</v>
      </c>
      <c r="Y32" s="702">
        <f t="shared" si="14"/>
        <v>95.405449006481945</v>
      </c>
      <c r="AA32" s="174">
        <f t="shared" si="15"/>
        <v>1000000000</v>
      </c>
      <c r="AB32" s="174">
        <f t="shared" si="16"/>
        <v>33.113119360000006</v>
      </c>
      <c r="AD32" s="701">
        <f t="shared" si="17"/>
        <v>74.817213519741813</v>
      </c>
      <c r="AE32" s="702">
        <f t="shared" si="18"/>
        <v>-84.267515766203644</v>
      </c>
      <c r="AG32" s="701">
        <f t="shared" si="19"/>
        <v>27.046988545752622</v>
      </c>
      <c r="AH32" s="702">
        <f t="shared" si="20"/>
        <v>-0.3187488911065825</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5">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1.0000000003602614</v>
      </c>
      <c r="N33" s="694">
        <f t="shared" si="5"/>
        <v>-2.6842552993315613E-5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75.675944477997334</v>
      </c>
      <c r="X33" s="699">
        <f t="shared" si="13"/>
        <v>-85.082399540144408</v>
      </c>
      <c r="Y33" s="702">
        <f t="shared" si="14"/>
        <v>94.917600459855592</v>
      </c>
      <c r="AA33" s="174">
        <f t="shared" si="15"/>
        <v>1000000000</v>
      </c>
      <c r="AB33" s="174">
        <f t="shared" si="16"/>
        <v>39.811052159999996</v>
      </c>
      <c r="AD33" s="701">
        <f t="shared" si="17"/>
        <v>74.023876710227967</v>
      </c>
      <c r="AE33" s="702">
        <f t="shared" si="18"/>
        <v>-84.723811823321199</v>
      </c>
      <c r="AG33" s="701">
        <f t="shared" si="19"/>
        <v>27.046960861523463</v>
      </c>
      <c r="AH33" s="702">
        <f t="shared" si="20"/>
        <v>-0.34950189239931367</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5">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1.0000000004331244</v>
      </c>
      <c r="N34" s="694">
        <f t="shared" si="5"/>
        <v>-2.9432108907796805E-5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74.881545143897995</v>
      </c>
      <c r="X34" s="699">
        <f t="shared" si="13"/>
        <v>-85.529318357288986</v>
      </c>
      <c r="Y34" s="702">
        <f t="shared" si="14"/>
        <v>94.470681642711014</v>
      </c>
      <c r="AA34" s="174">
        <f t="shared" si="15"/>
        <v>1000000000</v>
      </c>
      <c r="AB34" s="174">
        <f t="shared" si="16"/>
        <v>47.862874890000008</v>
      </c>
      <c r="AD34" s="701">
        <f t="shared" si="17"/>
        <v>73.229510663376971</v>
      </c>
      <c r="AE34" s="702">
        <f t="shared" si="18"/>
        <v>-85.136137939283287</v>
      </c>
      <c r="AG34" s="701">
        <f t="shared" si="19"/>
        <v>27.046927581562684</v>
      </c>
      <c r="AH34" s="702">
        <f t="shared" si="20"/>
        <v>-0.38321806623707194</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5">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1.000000000520735</v>
      </c>
      <c r="N35" s="694">
        <f t="shared" si="5"/>
        <v>-3.2271814136381008E-5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74.086124063049297</v>
      </c>
      <c r="X35" s="699">
        <f t="shared" si="13"/>
        <v>-85.938990817974272</v>
      </c>
      <c r="Y35" s="702">
        <f t="shared" si="14"/>
        <v>94.061009182025728</v>
      </c>
      <c r="AA35" s="174">
        <f t="shared" si="15"/>
        <v>1000000000</v>
      </c>
      <c r="AB35" s="174">
        <f t="shared" si="16"/>
        <v>57.544361639999998</v>
      </c>
      <c r="AD35" s="701">
        <f t="shared" si="17"/>
        <v>72.434129606674944</v>
      </c>
      <c r="AE35" s="702">
        <f t="shared" si="18"/>
        <v>-85.507876381764149</v>
      </c>
      <c r="AG35" s="701">
        <f t="shared" si="19"/>
        <v>27.046887566178512</v>
      </c>
      <c r="AH35" s="702">
        <f t="shared" si="20"/>
        <v>-0.42019088435193108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5">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1.0000000006260514</v>
      </c>
      <c r="N36" s="694">
        <f t="shared" si="5"/>
        <v>-3.5385066999118927E-5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73.290030318514255</v>
      </c>
      <c r="X36" s="699">
        <f t="shared" si="13"/>
        <v>-86.314637195169766</v>
      </c>
      <c r="Y36" s="702">
        <f t="shared" si="14"/>
        <v>93.685362804830234</v>
      </c>
      <c r="AA36" s="174">
        <f t="shared" si="15"/>
        <v>1000000000</v>
      </c>
      <c r="AB36" s="174">
        <f t="shared" si="16"/>
        <v>69.182469760000004</v>
      </c>
      <c r="AD36" s="701">
        <f t="shared" si="17"/>
        <v>71.638083974649163</v>
      </c>
      <c r="AE36" s="702">
        <f t="shared" si="18"/>
        <v>-85.841934986832243</v>
      </c>
      <c r="AG36" s="701">
        <f t="shared" si="19"/>
        <v>27.046839464202677</v>
      </c>
      <c r="AH36" s="702">
        <f t="shared" si="20"/>
        <v>-0.46072486432595849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5">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1.0000000007526848</v>
      </c>
      <c r="N37" s="694">
        <f t="shared" si="5"/>
        <v>-3.8799094632035707E-5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72.4931880035234</v>
      </c>
      <c r="X37" s="699">
        <f t="shared" si="13"/>
        <v>-86.659423658591635</v>
      </c>
      <c r="Y37" s="702">
        <f t="shared" si="14"/>
        <v>93.340576341408365</v>
      </c>
      <c r="AA37" s="174">
        <f t="shared" si="15"/>
        <v>1000000000</v>
      </c>
      <c r="AB37" s="174">
        <f t="shared" si="16"/>
        <v>83.176224010000013</v>
      </c>
      <c r="AD37" s="701">
        <f t="shared" si="17"/>
        <v>70.841299509818498</v>
      </c>
      <c r="AE37" s="702">
        <f t="shared" si="18"/>
        <v>-86.141116384414218</v>
      </c>
      <c r="AG37" s="701">
        <f t="shared" si="19"/>
        <v>27.046781626708004</v>
      </c>
      <c r="AH37" s="702">
        <f t="shared" si="20"/>
        <v>-0.50517433024783132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5">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1.0000000009049279</v>
      </c>
      <c r="N38" s="694">
        <f t="shared" si="5"/>
        <v>-4.2542400443084799E-5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71.695825652016879</v>
      </c>
      <c r="X38" s="699">
        <f t="shared" si="13"/>
        <v>-86.976128742312198</v>
      </c>
      <c r="Y38" s="702">
        <f t="shared" si="14"/>
        <v>93.023871257687802</v>
      </c>
      <c r="AA38" s="174">
        <f t="shared" si="15"/>
        <v>1000000000</v>
      </c>
      <c r="AB38" s="174">
        <f t="shared" si="16"/>
        <v>100</v>
      </c>
      <c r="AD38" s="701">
        <f t="shared" si="17"/>
        <v>70.044006706758111</v>
      </c>
      <c r="AE38" s="702">
        <f t="shared" si="18"/>
        <v>-86.4078185777893</v>
      </c>
      <c r="AG38" s="701">
        <f t="shared" si="19"/>
        <v>27.0467120934888</v>
      </c>
      <c r="AH38" s="702">
        <f t="shared" si="20"/>
        <v>-0.55391016441993424</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5">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1.0000000010880059</v>
      </c>
      <c r="N39" s="694">
        <f t="shared" si="5"/>
        <v>-4.6647742080149035E-5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70.897844762494714</v>
      </c>
      <c r="X39" s="699">
        <f t="shared" si="13"/>
        <v>-87.267439501867244</v>
      </c>
      <c r="Y39" s="702">
        <f t="shared" si="14"/>
        <v>92.732560498132756</v>
      </c>
      <c r="AA39" s="174">
        <f t="shared" si="15"/>
        <v>1000000000</v>
      </c>
      <c r="AB39" s="174">
        <f t="shared" si="16"/>
        <v>120.23122499999999</v>
      </c>
      <c r="AD39" s="701">
        <f t="shared" si="17"/>
        <v>69.246109450390207</v>
      </c>
      <c r="AE39" s="702">
        <f t="shared" si="18"/>
        <v>-86.644291340770508</v>
      </c>
      <c r="AG39" s="701">
        <f t="shared" si="19"/>
        <v>27.046628478645488</v>
      </c>
      <c r="AH39" s="702">
        <f t="shared" si="20"/>
        <v>-0.60735856139385336</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5">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1.0000000013080961</v>
      </c>
      <c r="N40" s="694">
        <f t="shared" si="5"/>
        <v>-5.1148728038973162E-5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70.09957175773431</v>
      </c>
      <c r="X40" s="699">
        <f t="shared" si="13"/>
        <v>-87.535680491115556</v>
      </c>
      <c r="Y40" s="702">
        <f t="shared" si="14"/>
        <v>92.464319508884444</v>
      </c>
      <c r="AA40" s="174">
        <f t="shared" si="15"/>
        <v>1000000000</v>
      </c>
      <c r="AB40" s="174">
        <f t="shared" si="16"/>
        <v>144.55252899999999</v>
      </c>
      <c r="AD40" s="701">
        <f t="shared" si="17"/>
        <v>68.447936984487342</v>
      </c>
      <c r="AE40" s="702">
        <f t="shared" si="18"/>
        <v>-86.852410679677504</v>
      </c>
      <c r="AG40" s="701">
        <f t="shared" si="19"/>
        <v>27.046527961800773</v>
      </c>
      <c r="AH40" s="702">
        <f t="shared" si="20"/>
        <v>-0.66595669136723534</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5">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1.0000000015726878</v>
      </c>
      <c r="N41" s="694">
        <f t="shared" si="5"/>
        <v>-5.6083646479151758E-5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69.301035636432445</v>
      </c>
      <c r="X41" s="699">
        <f t="shared" si="13"/>
        <v>-87.783105856736427</v>
      </c>
      <c r="Y41" s="702">
        <f t="shared" si="14"/>
        <v>92.216894143263573</v>
      </c>
      <c r="AA41" s="174">
        <f t="shared" si="15"/>
        <v>1000000000</v>
      </c>
      <c r="AB41" s="174">
        <f t="shared" si="16"/>
        <v>173.79148899999998</v>
      </c>
      <c r="AD41" s="701">
        <f t="shared" si="17"/>
        <v>67.649521727458051</v>
      </c>
      <c r="AE41" s="702">
        <f t="shared" si="18"/>
        <v>-87.033919818342724</v>
      </c>
      <c r="AG41" s="701">
        <f t="shared" si="19"/>
        <v>27.04640712399188</v>
      </c>
      <c r="AH41" s="702">
        <f t="shared" si="20"/>
        <v>-0.73020251867294661</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5">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1.0000000018905584</v>
      </c>
      <c r="N42" s="694">
        <f t="shared" si="5"/>
        <v>-6.1490785560029985E-5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68.502782254743082</v>
      </c>
      <c r="X42" s="699">
        <f t="shared" si="13"/>
        <v>-88.011653134287286</v>
      </c>
      <c r="Y42" s="702">
        <f t="shared" si="14"/>
        <v>91.988346865712714</v>
      </c>
      <c r="AA42" s="174">
        <f t="shared" si="15"/>
        <v>1000000000</v>
      </c>
      <c r="AB42" s="174">
        <f t="shared" si="16"/>
        <v>208.91811600000003</v>
      </c>
      <c r="AD42" s="701">
        <f t="shared" si="17"/>
        <v>66.851413543279079</v>
      </c>
      <c r="AE42" s="702">
        <f t="shared" si="18"/>
        <v>-87.190245540481655</v>
      </c>
      <c r="AG42" s="701">
        <f t="shared" si="19"/>
        <v>27.046261958274012</v>
      </c>
      <c r="AH42" s="702">
        <f t="shared" si="20"/>
        <v>-0.80059383413816465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5">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1.0000000022730957</v>
      </c>
      <c r="N43" s="694">
        <f t="shared" si="5"/>
        <v>-6.7425450400745548E-5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67.703502510594731</v>
      </c>
      <c r="X43" s="699">
        <f t="shared" si="13"/>
        <v>-88.223618261337094</v>
      </c>
      <c r="Y43" s="702">
        <f t="shared" si="14"/>
        <v>91.776381738662906</v>
      </c>
      <c r="AA43" s="174">
        <f t="shared" si="15"/>
        <v>1000000000</v>
      </c>
      <c r="AB43" s="174">
        <f t="shared" si="16"/>
        <v>251.19080099999999</v>
      </c>
      <c r="AD43" s="701">
        <f t="shared" si="17"/>
        <v>66.052308528762111</v>
      </c>
      <c r="AE43" s="702">
        <f t="shared" si="18"/>
        <v>-87.322945973846316</v>
      </c>
      <c r="AG43" s="701">
        <f t="shared" si="19"/>
        <v>27.046087266902905</v>
      </c>
      <c r="AH43" s="702">
        <f t="shared" si="20"/>
        <v>-0.87784972747899814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5">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1.000000002732836</v>
      </c>
      <c r="N44" s="694">
        <f t="shared" si="5"/>
        <v>-7.3930183399901052E-5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66.904346644203486</v>
      </c>
      <c r="X44" s="699">
        <f t="shared" si="13"/>
        <v>-88.420470415233424</v>
      </c>
      <c r="Y44" s="702">
        <f t="shared" si="14"/>
        <v>91.579529584766576</v>
      </c>
      <c r="AA44" s="174">
        <f t="shared" si="15"/>
        <v>1000000000</v>
      </c>
      <c r="AB44" s="174">
        <f t="shared" si="16"/>
        <v>301.99488400000001</v>
      </c>
      <c r="AD44" s="701">
        <f t="shared" si="17"/>
        <v>65.253362646326167</v>
      </c>
      <c r="AE44" s="702">
        <f t="shared" si="18"/>
        <v>-87.432923257294249</v>
      </c>
      <c r="AG44" s="701">
        <f t="shared" si="19"/>
        <v>27.045877328929503</v>
      </c>
      <c r="AH44" s="702">
        <f t="shared" si="20"/>
        <v>-0.96252283828380425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5">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1.0000000032857301</v>
      </c>
      <c r="N45" s="694">
        <f t="shared" si="5"/>
        <v>-8.1064543915632323E-5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66.10480005863414</v>
      </c>
      <c r="X45" s="699">
        <f t="shared" si="13"/>
        <v>-88.604003544923586</v>
      </c>
      <c r="Y45" s="702">
        <f t="shared" si="14"/>
        <v>91.395996455076414</v>
      </c>
      <c r="AA45" s="174">
        <f t="shared" si="15"/>
        <v>1000000000</v>
      </c>
      <c r="AB45" s="174">
        <f t="shared" si="16"/>
        <v>363.09302500000001</v>
      </c>
      <c r="AD45" s="701">
        <f t="shared" si="17"/>
        <v>64.454068578774027</v>
      </c>
      <c r="AE45" s="702">
        <f t="shared" si="18"/>
        <v>-87.521177420581751</v>
      </c>
      <c r="AG45" s="701">
        <f t="shared" si="19"/>
        <v>27.045624866211217</v>
      </c>
      <c r="AH45" s="702">
        <f t="shared" si="20"/>
        <v>-1.0553869244877272</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5">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1.0000000039501682</v>
      </c>
      <c r="N46" s="694">
        <f t="shared" si="5"/>
        <v>-8.8883837065288648E-5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65.305454762471058</v>
      </c>
      <c r="X46" s="699">
        <f t="shared" si="13"/>
        <v>-88.77563593062446</v>
      </c>
      <c r="Y46" s="702">
        <f t="shared" si="14"/>
        <v>91.22436406937554</v>
      </c>
      <c r="AA46" s="174">
        <f t="shared" si="15"/>
        <v>1000000000</v>
      </c>
      <c r="AB46" s="174">
        <f t="shared" si="16"/>
        <v>436.51744900000006</v>
      </c>
      <c r="AD46" s="701">
        <f t="shared" si="17"/>
        <v>63.655026725615052</v>
      </c>
      <c r="AE46" s="702">
        <f t="shared" si="18"/>
        <v>-87.588390169028273</v>
      </c>
      <c r="AG46" s="701">
        <f t="shared" si="19"/>
        <v>27.045321489662271</v>
      </c>
      <c r="AH46" s="702">
        <f t="shared" si="20"/>
        <v>-1.157159841815993</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5">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1.0000000047492632</v>
      </c>
      <c r="N47" s="694">
        <f t="shared" si="5"/>
        <v>-9.7460384925282707E-5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64.50571213510986</v>
      </c>
      <c r="X47" s="699">
        <f t="shared" si="13"/>
        <v>-88.936949802062372</v>
      </c>
      <c r="Y47" s="702">
        <f t="shared" si="14"/>
        <v>91.063050197937628</v>
      </c>
      <c r="AA47" s="174">
        <f t="shared" si="15"/>
        <v>1000000000</v>
      </c>
      <c r="AB47" s="174">
        <f t="shared" si="16"/>
        <v>524.82228100000009</v>
      </c>
      <c r="AD47" s="701">
        <f t="shared" si="17"/>
        <v>62.855649009827623</v>
      </c>
      <c r="AE47" s="702">
        <f t="shared" si="18"/>
        <v>-87.635180601415982</v>
      </c>
      <c r="AG47" s="701">
        <f t="shared" si="19"/>
        <v>27.044956658011728</v>
      </c>
      <c r="AH47" s="702">
        <f t="shared" si="20"/>
        <v>-1.2687802410392741</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5">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1.0000000057097709</v>
      </c>
      <c r="N48" s="694">
        <f t="shared" si="5"/>
        <v>-1.0686225533068048E-4</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63.706036129461687</v>
      </c>
      <c r="X48" s="699">
        <f t="shared" si="13"/>
        <v>-89.089213693586913</v>
      </c>
      <c r="Y48" s="702">
        <f t="shared" si="14"/>
        <v>90.910786306413087</v>
      </c>
      <c r="AA48" s="174">
        <f t="shared" si="15"/>
        <v>1000000000</v>
      </c>
      <c r="AB48" s="174">
        <f t="shared" si="16"/>
        <v>630.96416099999999</v>
      </c>
      <c r="AD48" s="701">
        <f t="shared" si="17"/>
        <v>62.056411585143152</v>
      </c>
      <c r="AE48" s="702">
        <f t="shared" si="18"/>
        <v>-87.661911850459774</v>
      </c>
      <c r="AG48" s="701">
        <f t="shared" si="19"/>
        <v>27.044518173115229</v>
      </c>
      <c r="AH48" s="702">
        <f t="shared" si="20"/>
        <v>-1.3911304838184175</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5">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1.000000006864437</v>
      </c>
      <c r="N49" s="694">
        <f t="shared" si="5"/>
        <v>-1.1717027883482593E-4</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62.90631470288168</v>
      </c>
      <c r="X49" s="699">
        <f t="shared" si="13"/>
        <v>-89.233740023439793</v>
      </c>
      <c r="Y49" s="702">
        <f t="shared" si="14"/>
        <v>90.766259976560207</v>
      </c>
      <c r="AA49" s="174">
        <f t="shared" si="15"/>
        <v>1000000000</v>
      </c>
      <c r="AB49" s="174">
        <f t="shared" si="16"/>
        <v>758.56176400000004</v>
      </c>
      <c r="AD49" s="701">
        <f t="shared" si="17"/>
        <v>61.257217336515055</v>
      </c>
      <c r="AE49" s="702">
        <f t="shared" si="18"/>
        <v>-87.668821718458716</v>
      </c>
      <c r="AG49" s="701">
        <f t="shared" si="19"/>
        <v>27.043991110649763</v>
      </c>
      <c r="AH49" s="702">
        <f t="shared" si="20"/>
        <v>-1.5252578257091065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5">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1.0000000082533045</v>
      </c>
      <c r="N50" s="694">
        <f t="shared" si="5"/>
        <v>-1.2847804870871269E-4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62.106124148345842</v>
      </c>
      <c r="X50" s="699">
        <f t="shared" si="13"/>
        <v>-89.371822689578835</v>
      </c>
      <c r="Y50" s="702">
        <f t="shared" si="14"/>
        <v>90.628177310421165</v>
      </c>
      <c r="AA50" s="174">
        <f t="shared" si="15"/>
        <v>1000000000</v>
      </c>
      <c r="AB50" s="174">
        <f t="shared" si="16"/>
        <v>912.04</v>
      </c>
      <c r="AD50" s="701">
        <f t="shared" si="17"/>
        <v>60.457660802729819</v>
      </c>
      <c r="AE50" s="702">
        <f t="shared" si="18"/>
        <v>-87.655960706108488</v>
      </c>
      <c r="AG50" s="701">
        <f t="shared" si="19"/>
        <v>27.043357228809683</v>
      </c>
      <c r="AH50" s="702">
        <f t="shared" si="20"/>
        <v>-1.6723739844583911</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5">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1.0000000099222701</v>
      </c>
      <c r="N51" s="694">
        <f t="shared" si="5"/>
        <v>-1.4087064974033415E-4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61.306230253826683</v>
      </c>
      <c r="X51" s="699">
        <f t="shared" si="13"/>
        <v>-89.504494901562339</v>
      </c>
      <c r="Y51" s="702">
        <f t="shared" si="14"/>
        <v>90.495505098437661</v>
      </c>
      <c r="AA51" s="174">
        <f t="shared" si="15"/>
        <v>1000000000</v>
      </c>
      <c r="AB51" s="174">
        <f t="shared" si="16"/>
        <v>1096.470769</v>
      </c>
      <c r="AD51" s="701">
        <f t="shared" si="17"/>
        <v>59.658528671910112</v>
      </c>
      <c r="AE51" s="702">
        <f t="shared" si="18"/>
        <v>-87.623234292360593</v>
      </c>
      <c r="AG51" s="701">
        <f t="shared" si="19"/>
        <v>27.04259563203539</v>
      </c>
      <c r="AH51" s="702">
        <f t="shared" si="20"/>
        <v>-1.8335778905585349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5">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1.000000011929401</v>
      </c>
      <c r="N52" s="694">
        <f t="shared" si="5"/>
        <v>-1.5446294639350391E-4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60.505989036264069</v>
      </c>
      <c r="X52" s="699">
        <f t="shared" si="13"/>
        <v>-89.632983645064854</v>
      </c>
      <c r="Y52" s="702">
        <f t="shared" si="14"/>
        <v>90.367016354935146</v>
      </c>
      <c r="AA52" s="174">
        <f t="shared" si="15"/>
        <v>1000000000</v>
      </c>
      <c r="AB52" s="174">
        <f t="shared" si="16"/>
        <v>1318.2708640000001</v>
      </c>
      <c r="AD52" s="701">
        <f t="shared" si="17"/>
        <v>58.859203389556704</v>
      </c>
      <c r="AE52" s="702">
        <f t="shared" si="18"/>
        <v>-87.570347005947099</v>
      </c>
      <c r="AG52" s="701">
        <f t="shared" si="19"/>
        <v>27.041679897573655</v>
      </c>
      <c r="AH52" s="702">
        <f t="shared" si="20"/>
        <v>-2.01035312091205</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5">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1.0000000143423449</v>
      </c>
      <c r="N53" s="694">
        <f t="shared" si="5"/>
        <v>-1.6936554888674128E-4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59.705699949853766</v>
      </c>
      <c r="X53" s="699">
        <f t="shared" si="13"/>
        <v>-89.7583202044339</v>
      </c>
      <c r="Y53" s="702">
        <f t="shared" si="14"/>
        <v>90.2416797955661</v>
      </c>
      <c r="AA53" s="174">
        <f t="shared" si="15"/>
        <v>1000000000</v>
      </c>
      <c r="AB53" s="174">
        <f t="shared" si="16"/>
        <v>1584.9157210000001</v>
      </c>
      <c r="AD53" s="701">
        <f t="shared" si="17"/>
        <v>58.060015171570811</v>
      </c>
      <c r="AE53" s="702">
        <f t="shared" si="18"/>
        <v>-87.496868114937143</v>
      </c>
      <c r="AG53" s="701">
        <f t="shared" si="19"/>
        <v>27.040579270484955</v>
      </c>
      <c r="AH53" s="702">
        <f t="shared" si="20"/>
        <v>-2.2041242517775776</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5">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1.0000000172433752</v>
      </c>
      <c r="N54" s="694">
        <f t="shared" si="5"/>
        <v>-1.8570608439138773E-4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58.905287002291502</v>
      </c>
      <c r="X54" s="699">
        <f t="shared" si="13"/>
        <v>-89.881568431446979</v>
      </c>
      <c r="Y54" s="702">
        <f t="shared" si="14"/>
        <v>90.118431568553021</v>
      </c>
      <c r="AA54" s="174">
        <f t="shared" si="15"/>
        <v>1000000000</v>
      </c>
      <c r="AB54" s="174">
        <f t="shared" si="16"/>
        <v>1905.497104</v>
      </c>
      <c r="AD54" s="701">
        <f t="shared" si="17"/>
        <v>57.260925405205711</v>
      </c>
      <c r="AE54" s="702">
        <f t="shared" si="18"/>
        <v>-87.402177183976434</v>
      </c>
      <c r="AG54" s="701">
        <f t="shared" si="19"/>
        <v>27.039256379440527</v>
      </c>
      <c r="AH54" s="702">
        <f t="shared" si="20"/>
        <v>-2.4165323705609301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5">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1.0000000207306927</v>
      </c>
      <c r="N55" s="694">
        <f t="shared" si="5"/>
        <v>-2.036206885494462E-4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58.104848890445339</v>
      </c>
      <c r="X55" s="699">
        <f t="shared" si="13"/>
        <v>-90.003743692279485</v>
      </c>
      <c r="Y55" s="702">
        <f t="shared" si="14"/>
        <v>89.996256307720515</v>
      </c>
      <c r="AA55" s="174">
        <f t="shared" si="15"/>
        <v>1000000000</v>
      </c>
      <c r="AB55" s="174">
        <f t="shared" si="16"/>
        <v>2290.8667689999997</v>
      </c>
      <c r="AD55" s="701">
        <f t="shared" si="17"/>
        <v>56.462077351160076</v>
      </c>
      <c r="AE55" s="702">
        <f t="shared" si="18"/>
        <v>-87.285498097990541</v>
      </c>
      <c r="AG55" s="701">
        <f t="shared" si="19"/>
        <v>27.037666670431509</v>
      </c>
      <c r="AH55" s="702">
        <f t="shared" si="20"/>
        <v>-2.6493228783346865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5">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1.0000000249240255</v>
      </c>
      <c r="N56" s="694">
        <f t="shared" si="5"/>
        <v>-2.232667681902425E-4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57.304133754635913</v>
      </c>
      <c r="X56" s="699">
        <f t="shared" si="13"/>
        <v>-90.125901204295047</v>
      </c>
      <c r="Y56" s="702">
        <f t="shared" si="14"/>
        <v>89.874098795704953</v>
      </c>
      <c r="AA56" s="174">
        <f t="shared" si="15"/>
        <v>1000000000</v>
      </c>
      <c r="AB56" s="174">
        <f t="shared" si="16"/>
        <v>2754.255361</v>
      </c>
      <c r="AD56" s="701">
        <f t="shared" si="17"/>
        <v>55.663273413392858</v>
      </c>
      <c r="AE56" s="702">
        <f t="shared" si="18"/>
        <v>-87.14581927718362</v>
      </c>
      <c r="AG56" s="701">
        <f t="shared" si="19"/>
        <v>27.035755891794327</v>
      </c>
      <c r="AH56" s="702">
        <f t="shared" si="20"/>
        <v>-2.904509292505407</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5">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1.0000000299649856</v>
      </c>
      <c r="N57" s="694">
        <f t="shared" si="5"/>
        <v>-2.4480598436696984E-4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56.503332333116916</v>
      </c>
      <c r="X57" s="699">
        <f t="shared" si="13"/>
        <v>-90.24902224200234</v>
      </c>
      <c r="Y57" s="702">
        <f t="shared" si="14"/>
        <v>89.75097775799766</v>
      </c>
      <c r="AA57" s="174">
        <f t="shared" si="15"/>
        <v>1000000000</v>
      </c>
      <c r="AB57" s="174">
        <f t="shared" si="16"/>
        <v>3311.3119360000005</v>
      </c>
      <c r="AD57" s="701">
        <f t="shared" si="17"/>
        <v>54.864768401267618</v>
      </c>
      <c r="AE57" s="702">
        <f t="shared" si="18"/>
        <v>-86.982009430082726</v>
      </c>
      <c r="AG57" s="701">
        <f t="shared" si="19"/>
        <v>27.033459986582823</v>
      </c>
      <c r="AH57" s="702">
        <f t="shared" si="20"/>
        <v>-3.1841494589491917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5">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1.0000000360261321</v>
      </c>
      <c r="N58" s="694">
        <f t="shared" si="5"/>
        <v>-2.6842552355073616E-4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55.70225472548583</v>
      </c>
      <c r="X58" s="699">
        <f t="shared" si="13"/>
        <v>-90.374146894230677</v>
      </c>
      <c r="Y58" s="702">
        <f t="shared" si="14"/>
        <v>89.625853105769323</v>
      </c>
      <c r="AA58" s="174">
        <f t="shared" si="15"/>
        <v>1000000000</v>
      </c>
      <c r="AB58" s="174">
        <f t="shared" si="16"/>
        <v>3981.1052159999995</v>
      </c>
      <c r="AD58" s="701">
        <f t="shared" si="17"/>
        <v>54.066450342202124</v>
      </c>
      <c r="AE58" s="702">
        <f t="shared" si="18"/>
        <v>-86.792670352481139</v>
      </c>
      <c r="AG58" s="701">
        <f t="shared" si="19"/>
        <v>27.030701044235567</v>
      </c>
      <c r="AH58" s="702">
        <f t="shared" si="20"/>
        <v>-3.4906183110831304</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5">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1.0000000433124507</v>
      </c>
      <c r="N59" s="694">
        <f t="shared" si="5"/>
        <v>-2.9432108066444166E-4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54.901027377920428</v>
      </c>
      <c r="X59" s="699">
        <f t="shared" si="13"/>
        <v>-90.502272685078907</v>
      </c>
      <c r="Y59" s="702">
        <f t="shared" si="14"/>
        <v>89.497727314921093</v>
      </c>
      <c r="AA59" s="174">
        <f t="shared" si="15"/>
        <v>1000000000</v>
      </c>
      <c r="AB59" s="174">
        <f t="shared" si="16"/>
        <v>4786.2874890000012</v>
      </c>
      <c r="AD59" s="701">
        <f t="shared" si="17"/>
        <v>53.26853802708095</v>
      </c>
      <c r="AE59" s="702">
        <f t="shared" si="18"/>
        <v>-86.576266874400673</v>
      </c>
      <c r="AG59" s="701">
        <f t="shared" si="19"/>
        <v>27.027386740547854</v>
      </c>
      <c r="AH59" s="702">
        <f t="shared" si="20"/>
        <v>-3.8263823029495923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5">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1.000000052073498</v>
      </c>
      <c r="N60" s="694">
        <f t="shared" si="5"/>
        <v>-3.2271813027246924E-4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54.099434434561225</v>
      </c>
      <c r="X60" s="699">
        <f t="shared" si="13"/>
        <v>-90.634463635159776</v>
      </c>
      <c r="Y60" s="702">
        <f t="shared" si="14"/>
        <v>89.365536364840224</v>
      </c>
      <c r="AA60" s="174">
        <f t="shared" si="15"/>
        <v>1000000000</v>
      </c>
      <c r="AB60" s="174">
        <f t="shared" si="16"/>
        <v>5754.4361640000006</v>
      </c>
      <c r="AD60" s="701">
        <f t="shared" si="17"/>
        <v>52.470927721524362</v>
      </c>
      <c r="AE60" s="702">
        <f t="shared" si="18"/>
        <v>-86.330958868806533</v>
      </c>
      <c r="AG60" s="701">
        <f t="shared" si="19"/>
        <v>27.023404978999839</v>
      </c>
      <c r="AH60" s="702">
        <f t="shared" si="20"/>
        <v>-4.1942692625373761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5">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1.0000000626051464</v>
      </c>
      <c r="N61" s="694">
        <f t="shared" si="5"/>
        <v>-3.5385065537029369E-4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53.297620566317654</v>
      </c>
      <c r="X61" s="699">
        <f t="shared" si="13"/>
        <v>-90.771741675813928</v>
      </c>
      <c r="Y61" s="702">
        <f t="shared" si="14"/>
        <v>89.228258324186072</v>
      </c>
      <c r="AA61" s="174">
        <f t="shared" si="15"/>
        <v>1000000000</v>
      </c>
      <c r="AB61" s="174">
        <f t="shared" si="16"/>
        <v>6918.2469760000004</v>
      </c>
      <c r="AD61" s="701">
        <f t="shared" si="17"/>
        <v>51.673896551183994</v>
      </c>
      <c r="AE61" s="702">
        <f t="shared" si="18"/>
        <v>-86.05478358335489</v>
      </c>
      <c r="AG61" s="701">
        <f t="shared" si="19"/>
        <v>27.018623334441475</v>
      </c>
      <c r="AH61" s="702">
        <f t="shared" si="20"/>
        <v>-4.597184673834394</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5">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1.0000000752684846</v>
      </c>
      <c r="N62" s="694">
        <f t="shared" si="5"/>
        <v>-3.8799092704605429E-4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52.495317532629791</v>
      </c>
      <c r="X62" s="699">
        <f t="shared" si="13"/>
        <v>-90.915218894811503</v>
      </c>
      <c r="Y62" s="702">
        <f t="shared" si="14"/>
        <v>89.084781105188497</v>
      </c>
      <c r="AA62" s="174">
        <f t="shared" si="15"/>
        <v>1000000000</v>
      </c>
      <c r="AB62" s="174">
        <f t="shared" si="16"/>
        <v>8317.6224010000005</v>
      </c>
      <c r="AD62" s="701">
        <f t="shared" si="17"/>
        <v>50.877337307671063</v>
      </c>
      <c r="AE62" s="702">
        <f t="shared" si="18"/>
        <v>-85.745402578761258</v>
      </c>
      <c r="AG62" s="701">
        <f t="shared" si="19"/>
        <v>27.012880810816561</v>
      </c>
      <c r="AH62" s="702">
        <f t="shared" si="20"/>
        <v>-5.0384869042416938</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5">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1.0000000904927879</v>
      </c>
      <c r="N63" s="694">
        <f t="shared" si="5"/>
        <v>-4.2542397902229891E-4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51.692572972261381</v>
      </c>
      <c r="X63" s="699">
        <f t="shared" si="13"/>
        <v>-91.065976112434356</v>
      </c>
      <c r="Y63" s="702">
        <f t="shared" si="14"/>
        <v>88.934023887565644</v>
      </c>
      <c r="AA63" s="174">
        <f t="shared" si="15"/>
        <v>1000000000</v>
      </c>
      <c r="AB63" s="174">
        <f t="shared" si="16"/>
        <v>10000</v>
      </c>
      <c r="AD63" s="701">
        <f t="shared" si="17"/>
        <v>50.081488091419232</v>
      </c>
      <c r="AE63" s="702">
        <f t="shared" si="18"/>
        <v>-85.400333058717848</v>
      </c>
      <c r="AG63" s="701">
        <f t="shared" si="19"/>
        <v>27.005986989390038</v>
      </c>
      <c r="AH63" s="702">
        <f t="shared" si="20"/>
        <v>-5.5216430908666787</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5">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1.0000001088005863</v>
      </c>
      <c r="N64" s="694">
        <f t="shared" si="5"/>
        <v>-4.6647738730450181E-4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50.889108754369317</v>
      </c>
      <c r="X64" s="699">
        <f t="shared" si="13"/>
        <v>-91.225178801963565</v>
      </c>
      <c r="Y64" s="702">
        <f t="shared" si="14"/>
        <v>88.774821198036435</v>
      </c>
      <c r="AA64" s="174">
        <f t="shared" si="15"/>
        <v>1000000000</v>
      </c>
      <c r="AB64" s="174">
        <f t="shared" si="16"/>
        <v>12023.122500000001</v>
      </c>
      <c r="AD64" s="701">
        <f t="shared" si="17"/>
        <v>49.286301315149302</v>
      </c>
      <c r="AE64" s="702">
        <f t="shared" si="18"/>
        <v>-85.0166868524893</v>
      </c>
      <c r="AG64" s="701">
        <f t="shared" si="19"/>
        <v>26.997711378859933</v>
      </c>
      <c r="AH64" s="702">
        <f t="shared" si="20"/>
        <v>-6.0505959984171565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5">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1.0000001308096107</v>
      </c>
      <c r="N65" s="694">
        <f t="shared" si="5"/>
        <v>-5.1148723623081738E-4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50.085072668984132</v>
      </c>
      <c r="X65" s="699">
        <f t="shared" si="13"/>
        <v>-91.393930295850865</v>
      </c>
      <c r="Y65" s="702">
        <f t="shared" si="14"/>
        <v>88.606069704149135</v>
      </c>
      <c r="AA65" s="174">
        <f t="shared" si="15"/>
        <v>1000000000</v>
      </c>
      <c r="AB65" s="174">
        <f t="shared" si="16"/>
        <v>14455.252900000001</v>
      </c>
      <c r="AD65" s="701">
        <f t="shared" si="17"/>
        <v>48.492195259891808</v>
      </c>
      <c r="AE65" s="702">
        <f t="shared" si="18"/>
        <v>-84.591497287731997</v>
      </c>
      <c r="AG65" s="701">
        <f t="shared" si="19"/>
        <v>26.987783550009436</v>
      </c>
      <c r="AH65" s="702">
        <f t="shared" si="20"/>
        <v>-6.6293018726659083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5">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1.000000157268758</v>
      </c>
      <c r="N66" s="694">
        <f t="shared" si="5"/>
        <v>-5.6083640657816826E-4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49.280305943173289</v>
      </c>
      <c r="X66" s="699">
        <f t="shared" si="13"/>
        <v>-91.573407269072078</v>
      </c>
      <c r="Y66" s="702">
        <f t="shared" si="14"/>
        <v>88.426592730927922</v>
      </c>
      <c r="AA66" s="174">
        <f t="shared" si="15"/>
        <v>1000000000</v>
      </c>
      <c r="AB66" s="174">
        <f t="shared" si="16"/>
        <v>17379.148900000004</v>
      </c>
      <c r="AD66" s="701">
        <f t="shared" si="17"/>
        <v>47.699336398865633</v>
      </c>
      <c r="AE66" s="702">
        <f t="shared" si="18"/>
        <v>-84.121378042349264</v>
      </c>
      <c r="AG66" s="701">
        <f t="shared" si="19"/>
        <v>26.975878331589456</v>
      </c>
      <c r="AH66" s="702">
        <f t="shared" si="20"/>
        <v>-7.2621941117979141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5">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1.0000001890558181</v>
      </c>
      <c r="N67" s="694">
        <f t="shared" si="5"/>
        <v>-6.1490777887405102E-4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48.475158927372249</v>
      </c>
      <c r="X67" s="699">
        <f t="shared" si="13"/>
        <v>-91.764668911454407</v>
      </c>
      <c r="Y67" s="702">
        <f t="shared" si="14"/>
        <v>88.235331088545593</v>
      </c>
      <c r="AA67" s="174">
        <f t="shared" si="15"/>
        <v>1000000000</v>
      </c>
      <c r="AB67" s="174">
        <f t="shared" si="16"/>
        <v>20891.811599999997</v>
      </c>
      <c r="AD67" s="701">
        <f t="shared" si="17"/>
        <v>46.908452028229888</v>
      </c>
      <c r="AE67" s="702">
        <f t="shared" si="18"/>
        <v>-83.602986462233318</v>
      </c>
      <c r="AG67" s="701">
        <f t="shared" si="19"/>
        <v>26.961618865669834</v>
      </c>
      <c r="AH67" s="702">
        <f t="shared" si="20"/>
        <v>-7.9535449613486948</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5">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1.000000227309543</v>
      </c>
      <c r="N68" s="694">
        <f t="shared" si="5"/>
        <v>-6.7425440285291292E-4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47.668092558636431</v>
      </c>
      <c r="X68" s="699">
        <f t="shared" si="13"/>
        <v>-91.969227178747843</v>
      </c>
      <c r="Y68" s="702">
        <f t="shared" si="14"/>
        <v>88.030772821252157</v>
      </c>
      <c r="AA68" s="174">
        <f t="shared" si="15"/>
        <v>1000000000</v>
      </c>
      <c r="AB68" s="174">
        <f t="shared" si="16"/>
        <v>25119.080100000003</v>
      </c>
      <c r="AD68" s="701">
        <f t="shared" si="17"/>
        <v>46.118487994764195</v>
      </c>
      <c r="AE68" s="702">
        <f t="shared" si="18"/>
        <v>-83.031413707723928</v>
      </c>
      <c r="AG68" s="701">
        <f t="shared" si="19"/>
        <v>26.944520356420352</v>
      </c>
      <c r="AH68" s="702">
        <f t="shared" si="20"/>
        <v>-8.7095880188387298</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5">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1.0000002732835644</v>
      </c>
      <c r="N69" s="694">
        <f t="shared" si="5"/>
        <v>-7.3930170065326949E-4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46.860026072838643</v>
      </c>
      <c r="X69" s="699">
        <f t="shared" si="13"/>
        <v>-92.187970027334472</v>
      </c>
      <c r="Y69" s="702">
        <f t="shared" si="14"/>
        <v>87.812029972665528</v>
      </c>
      <c r="AA69" s="174">
        <f t="shared" si="15"/>
        <v>1000000000</v>
      </c>
      <c r="AB69" s="174">
        <f t="shared" si="16"/>
        <v>30199.488400000002</v>
      </c>
      <c r="AD69" s="701">
        <f t="shared" si="17"/>
        <v>45.330886711554882</v>
      </c>
      <c r="AE69" s="702">
        <f t="shared" si="18"/>
        <v>-82.403077230231247</v>
      </c>
      <c r="AG69" s="701">
        <f t="shared" si="19"/>
        <v>26.924059752011097</v>
      </c>
      <c r="AH69" s="702">
        <f t="shared" si="20"/>
        <v>-9.5346497919416642</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5">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1.0000003285729615</v>
      </c>
      <c r="N70" s="694">
        <f t="shared" si="5"/>
        <v>-8.1064526336129005E-4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46.05016945718873</v>
      </c>
      <c r="X70" s="699">
        <f t="shared" si="13"/>
        <v>-92.422157560603324</v>
      </c>
      <c r="Y70" s="702">
        <f t="shared" si="14"/>
        <v>87.577842439396676</v>
      </c>
      <c r="AA70" s="174">
        <f t="shared" si="15"/>
        <v>1000000000</v>
      </c>
      <c r="AB70" s="174">
        <f t="shared" si="16"/>
        <v>36309.302500000005</v>
      </c>
      <c r="AD70" s="701">
        <f t="shared" si="17"/>
        <v>44.545514986434867</v>
      </c>
      <c r="AE70" s="702">
        <f t="shared" si="18"/>
        <v>-81.712900471339296</v>
      </c>
      <c r="AG70" s="701">
        <f t="shared" si="19"/>
        <v>26.899580391352806</v>
      </c>
      <c r="AH70" s="702">
        <f t="shared" si="20"/>
        <v>-10.434865346132796</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5">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1.0000003950167486</v>
      </c>
      <c r="N71" s="694">
        <f t="shared" si="5"/>
        <v>-8.8883813892296252E-4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45.238819638702523</v>
      </c>
      <c r="X71" s="699">
        <f t="shared" si="13"/>
        <v>-92.672647459981334</v>
      </c>
      <c r="Y71" s="702">
        <f t="shared" si="14"/>
        <v>87.327352540018666</v>
      </c>
      <c r="AA71" s="174">
        <f t="shared" si="15"/>
        <v>1000000000</v>
      </c>
      <c r="AB71" s="174">
        <f t="shared" si="16"/>
        <v>43651.744900000005</v>
      </c>
      <c r="AD71" s="701">
        <f t="shared" si="17"/>
        <v>43.763408346171119</v>
      </c>
      <c r="AE71" s="702">
        <f t="shared" si="18"/>
        <v>-80.95641608083416</v>
      </c>
      <c r="AG71" s="701">
        <f t="shared" si="19"/>
        <v>26.870343858625041</v>
      </c>
      <c r="AH71" s="702">
        <f t="shared" si="20"/>
        <v>-11.41537251775296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5">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1.0000004749262217</v>
      </c>
      <c r="N72" s="694">
        <f t="shared" si="5"/>
        <v>-9.7460354376207963E-4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44.425028199154745</v>
      </c>
      <c r="X72" s="699">
        <f t="shared" si="13"/>
        <v>-92.940524812459969</v>
      </c>
      <c r="Y72" s="702">
        <f t="shared" si="14"/>
        <v>87.059475187540031</v>
      </c>
      <c r="AA72" s="174">
        <f t="shared" si="15"/>
        <v>1000000000</v>
      </c>
      <c r="AB72" s="174">
        <f t="shared" si="16"/>
        <v>52482.2281</v>
      </c>
      <c r="AD72" s="701">
        <f t="shared" si="17"/>
        <v>42.984527806327122</v>
      </c>
      <c r="AE72" s="702">
        <f t="shared" si="18"/>
        <v>-80.127778017486676</v>
      </c>
      <c r="AG72" s="701">
        <f t="shared" si="19"/>
        <v>26.835440951205118</v>
      </c>
      <c r="AH72" s="702">
        <f t="shared" si="20"/>
        <v>-12.482857641353201</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5">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1.000000570976922</v>
      </c>
      <c r="N73" s="694">
        <f t="shared" si="5"/>
        <v>-1.0686221506021483E-3</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43.608884369962375</v>
      </c>
      <c r="X73" s="699">
        <f t="shared" si="13"/>
        <v>-93.22633932921741</v>
      </c>
      <c r="Y73" s="702">
        <f t="shared" si="14"/>
        <v>86.77366067078259</v>
      </c>
      <c r="AA73" s="174">
        <f t="shared" si="15"/>
        <v>1000000000</v>
      </c>
      <c r="AB73" s="174">
        <f t="shared" si="16"/>
        <v>63096.416100000002</v>
      </c>
      <c r="AD73" s="701">
        <f t="shared" si="17"/>
        <v>42.209978706306458</v>
      </c>
      <c r="AE73" s="702">
        <f t="shared" si="18"/>
        <v>-79.221906103413502</v>
      </c>
      <c r="AG73" s="701">
        <f t="shared" si="19"/>
        <v>26.793855828701865</v>
      </c>
      <c r="AH73" s="702">
        <f t="shared" si="20"/>
        <v>-13.642720214209257</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5">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1.0000006864434827</v>
      </c>
      <c r="N74" s="694">
        <f t="shared" si="5"/>
        <v>-1.171702257505406E-3</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42.789848663232839</v>
      </c>
      <c r="X74" s="699">
        <f t="shared" si="13"/>
        <v>-93.530550252524819</v>
      </c>
      <c r="Y74" s="702">
        <f t="shared" si="14"/>
        <v>86.469449747475181</v>
      </c>
      <c r="AA74" s="174">
        <f t="shared" si="15"/>
        <v>1000000000</v>
      </c>
      <c r="AB74" s="174">
        <f t="shared" si="16"/>
        <v>75856.176400000011</v>
      </c>
      <c r="AD74" s="701">
        <f t="shared" si="17"/>
        <v>41.440424222596661</v>
      </c>
      <c r="AE74" s="702">
        <f t="shared" si="18"/>
        <v>-78.23295124604509</v>
      </c>
      <c r="AG74" s="701">
        <f t="shared" si="19"/>
        <v>26.744386154248016</v>
      </c>
      <c r="AH74" s="702">
        <f t="shared" si="20"/>
        <v>-14.900994982128402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5">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1.0000008253301185</v>
      </c>
      <c r="N75" s="694">
        <f t="shared" si="5"/>
        <v>-1.2847797872446336E-3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41.967015177793598</v>
      </c>
      <c r="X75" s="699">
        <f t="shared" si="13"/>
        <v>-93.85338827200178</v>
      </c>
      <c r="Y75" s="702">
        <f t="shared" si="14"/>
        <v>86.14661172799822</v>
      </c>
      <c r="AA75" s="174">
        <f t="shared" si="15"/>
        <v>1000000000</v>
      </c>
      <c r="AB75" s="174">
        <f t="shared" si="16"/>
        <v>91204</v>
      </c>
      <c r="AD75" s="701">
        <f t="shared" si="17"/>
        <v>40.676371025808521</v>
      </c>
      <c r="AE75" s="702">
        <f t="shared" si="18"/>
        <v>-77.154446215048026</v>
      </c>
      <c r="AG75" s="701">
        <f t="shared" si="19"/>
        <v>26.68561975654071</v>
      </c>
      <c r="AH75" s="702">
        <f t="shared" si="20"/>
        <v>-16.264063079527567</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5">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1.0000009922265187</v>
      </c>
      <c r="N76" s="694">
        <f t="shared" si="5"/>
        <v>-1.4087055748850639E-3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41.14066105570339</v>
      </c>
      <c r="X76" s="699">
        <f t="shared" si="13"/>
        <v>-94.194124307516276</v>
      </c>
      <c r="Y76" s="702">
        <f t="shared" si="14"/>
        <v>85.805875692483724</v>
      </c>
      <c r="AA76" s="174">
        <f t="shared" si="15"/>
        <v>1000000000</v>
      </c>
      <c r="AB76" s="174">
        <f t="shared" si="16"/>
        <v>109647.0769</v>
      </c>
      <c r="AD76" s="701">
        <f t="shared" si="17"/>
        <v>39.91961530833894</v>
      </c>
      <c r="AE76" s="702">
        <f t="shared" si="18"/>
        <v>-75.981506476475758</v>
      </c>
      <c r="AG76" s="701">
        <f t="shared" si="19"/>
        <v>26.61603804427568</v>
      </c>
      <c r="AH76" s="702">
        <f t="shared" si="20"/>
        <v>-17.73579197896856</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5">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1.0000011929393977</v>
      </c>
      <c r="N77" s="694">
        <f t="shared" ref="N77:N140" si="41">-ATAN(G77/z_RHP)</f>
        <v>-1.5446282477874962E-3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40.309578869576697</v>
      </c>
      <c r="X77" s="699">
        <f t="shared" ref="X77:X140" si="49">((L77+R77+N77+V77)-(J77+P77+T77))*radconv</f>
        <v>-94.552007247198247</v>
      </c>
      <c r="Y77" s="702">
        <f t="shared" ref="Y77:Y140" si="50">IF(X77&gt;0,X77,X77+180)</f>
        <v>85.447992752801753</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26.533808310336351</v>
      </c>
      <c r="AH77" s="702">
        <f t="shared" ref="AH77:AH140" si="56">(L77+N77-(J77+V77))*radconv</f>
        <v>-19.321771662936861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5">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1.0000014342334564</v>
      </c>
      <c r="N78" s="694">
        <f t="shared" si="41"/>
        <v>-1.6936538856647731E-3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39.47351611875051</v>
      </c>
      <c r="X78" s="699">
        <f t="shared" si="49"/>
        <v>-94.925157289719508</v>
      </c>
      <c r="Y78" s="702">
        <f t="shared" si="50"/>
        <v>85.074842710280492</v>
      </c>
      <c r="AA78" s="174">
        <f t="shared" si="51"/>
        <v>1000000000</v>
      </c>
      <c r="AB78" s="174">
        <f t="shared" si="52"/>
        <v>158491.57210000002</v>
      </c>
      <c r="AD78" s="701">
        <f t="shared" si="53"/>
        <v>38.43158144437551</v>
      </c>
      <c r="AE78" s="702">
        <f t="shared" si="54"/>
        <v>-73.327054898158238</v>
      </c>
      <c r="AG78" s="701">
        <f t="shared" si="55"/>
        <v>26.436971179042747</v>
      </c>
      <c r="AH78" s="702">
        <f t="shared" si="56"/>
        <v>-21.024826334064237</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5">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1.000001724336042</v>
      </c>
      <c r="N79" s="694">
        <f t="shared" si="41"/>
        <v>-1.8570587304664638E-3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38.631834263510463</v>
      </c>
      <c r="X79" s="699">
        <f t="shared" si="49"/>
        <v>-95.310996965685533</v>
      </c>
      <c r="Y79" s="702">
        <f t="shared" si="50"/>
        <v>84.689003034314467</v>
      </c>
      <c r="AA79" s="174">
        <f t="shared" si="51"/>
        <v>1000000000</v>
      </c>
      <c r="AB79" s="174">
        <f t="shared" si="52"/>
        <v>190549.71039999998</v>
      </c>
      <c r="AD79" s="701">
        <f t="shared" si="53"/>
        <v>37.703564833450642</v>
      </c>
      <c r="AE79" s="702">
        <f t="shared" si="54"/>
        <v>-71.835343223208639</v>
      </c>
      <c r="AG79" s="701">
        <f t="shared" si="55"/>
        <v>26.323334949519698</v>
      </c>
      <c r="AH79" s="702">
        <f t="shared" si="56"/>
        <v>-22.847068030514993</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5">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1.0000020730671488</v>
      </c>
      <c r="N80" s="694">
        <f t="shared" si="41"/>
        <v>-2.0362040995107584E-3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37.784110582304102</v>
      </c>
      <c r="X80" s="699">
        <f t="shared" si="49"/>
        <v>-95.705896141394888</v>
      </c>
      <c r="Y80" s="702">
        <f t="shared" si="50"/>
        <v>84.294103858605112</v>
      </c>
      <c r="AA80" s="174">
        <f t="shared" si="51"/>
        <v>1000000000</v>
      </c>
      <c r="AB80" s="174">
        <f t="shared" si="52"/>
        <v>229086.67689999999</v>
      </c>
      <c r="AD80" s="701">
        <f t="shared" si="53"/>
        <v>36.988654309095338</v>
      </c>
      <c r="AE80" s="702">
        <f t="shared" si="54"/>
        <v>-70.228267953580016</v>
      </c>
      <c r="AG80" s="701">
        <f t="shared" si="55"/>
        <v>26.190556671122177</v>
      </c>
      <c r="AH80" s="702">
        <f t="shared" si="56"/>
        <v>-24.78840505852282</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5">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1.0000024923994657</v>
      </c>
      <c r="N81" s="694">
        <f t="shared" si="41"/>
        <v>-2.2326640092070545E-3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36.929621014365168</v>
      </c>
      <c r="X81" s="699">
        <f t="shared" si="49"/>
        <v>-96.10535724021112</v>
      </c>
      <c r="Y81" s="702">
        <f t="shared" si="50"/>
        <v>83.89464275978888</v>
      </c>
      <c r="AA81" s="174">
        <f t="shared" si="51"/>
        <v>1000000000</v>
      </c>
      <c r="AB81" s="174">
        <f t="shared" si="52"/>
        <v>275425.53609999997</v>
      </c>
      <c r="AD81" s="701">
        <f t="shared" si="53"/>
        <v>36.288668919468599</v>
      </c>
      <c r="AE81" s="702">
        <f t="shared" si="54"/>
        <v>-68.502235366764012</v>
      </c>
      <c r="AG81" s="701">
        <f t="shared" si="55"/>
        <v>26.036094432311639</v>
      </c>
      <c r="AH81" s="702">
        <f t="shared" si="56"/>
        <v>-26.847400839746317</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5">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1.0000029964941293</v>
      </c>
      <c r="N82" s="694">
        <f t="shared" si="41"/>
        <v>-2.4480550021859439E-3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36.068228999296124</v>
      </c>
      <c r="X82" s="699">
        <f t="shared" si="49"/>
        <v>-96.503615088473751</v>
      </c>
      <c r="Y82" s="702">
        <f t="shared" si="50"/>
        <v>83.496384911526249</v>
      </c>
      <c r="AA82" s="174">
        <f t="shared" si="51"/>
        <v>1000000000</v>
      </c>
      <c r="AB82" s="174">
        <f t="shared" si="52"/>
        <v>331131.19360000006</v>
      </c>
      <c r="AD82" s="701">
        <f t="shared" si="53"/>
        <v>35.606019439327802</v>
      </c>
      <c r="AE82" s="702">
        <f t="shared" si="54"/>
        <v>-66.656053084654957</v>
      </c>
      <c r="AG82" s="701">
        <f t="shared" si="55"/>
        <v>25.857402314163757</v>
      </c>
      <c r="AH82" s="702">
        <f t="shared" si="56"/>
        <v>-29.018935477859625</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5">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1.0000036026067682</v>
      </c>
      <c r="N83" s="694">
        <f t="shared" si="41"/>
        <v>-2.6842488531149673E-3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35.199561081822758</v>
      </c>
      <c r="X83" s="699">
        <f t="shared" si="49"/>
        <v>-96.894128697523385</v>
      </c>
      <c r="Y83" s="702">
        <f t="shared" si="50"/>
        <v>83.105871302476615</v>
      </c>
      <c r="AA83" s="174">
        <f t="shared" si="51"/>
        <v>1000000000</v>
      </c>
      <c r="AB83" s="174">
        <f t="shared" si="52"/>
        <v>398110.52160000004</v>
      </c>
      <c r="AD83" s="701">
        <f t="shared" si="53"/>
        <v>34.942962538476799</v>
      </c>
      <c r="AE83" s="702">
        <f t="shared" si="54"/>
        <v>-64.689576298552453</v>
      </c>
      <c r="AG83" s="701">
        <f t="shared" si="55"/>
        <v>25.651851917276577</v>
      </c>
      <c r="AH83" s="702">
        <f t="shared" si="56"/>
        <v>-31.295979324439827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5">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1.0000043312357965</v>
      </c>
      <c r="N84" s="694">
        <f t="shared" si="41"/>
        <v>-2.9432023931617178E-3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34.323809997222234</v>
      </c>
      <c r="X84" s="699">
        <f t="shared" si="49"/>
        <v>-97.269439356474365</v>
      </c>
      <c r="Y84" s="702">
        <f t="shared" si="50"/>
        <v>82.730560643525635</v>
      </c>
      <c r="AA84" s="174">
        <f t="shared" si="51"/>
        <v>1000000000</v>
      </c>
      <c r="AB84" s="174">
        <f t="shared" si="52"/>
        <v>478628.74890000006</v>
      </c>
      <c r="AD84" s="701">
        <f t="shared" si="53"/>
        <v>34.302155868849695</v>
      </c>
      <c r="AE84" s="702">
        <f t="shared" si="54"/>
        <v>-62.605694197439782</v>
      </c>
      <c r="AG84" s="701">
        <f t="shared" si="55"/>
        <v>25.416980374922701</v>
      </c>
      <c r="AH84" s="702">
        <f t="shared" si="56"/>
        <v>-33.667522252132116</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5">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1.0000052073363837</v>
      </c>
      <c r="N85" s="694">
        <f t="shared" si="41"/>
        <v>-3.2271702114531437E-3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33.441069663985317</v>
      </c>
      <c r="X85" s="699">
        <f t="shared" si="49"/>
        <v>-97.621820536652663</v>
      </c>
      <c r="Y85" s="702">
        <f t="shared" si="50"/>
        <v>82.378179463347337</v>
      </c>
      <c r="AA85" s="174">
        <f t="shared" si="51"/>
        <v>1000000000</v>
      </c>
      <c r="AB85" s="174">
        <f t="shared" si="52"/>
        <v>575443.61640000006</v>
      </c>
      <c r="AD85" s="701">
        <f t="shared" si="53"/>
        <v>33.686055422608348</v>
      </c>
      <c r="AE85" s="702">
        <f t="shared" si="54"/>
        <v>-60.409080185775785</v>
      </c>
      <c r="AG85" s="701">
        <f t="shared" si="55"/>
        <v>25.150428108994763</v>
      </c>
      <c r="AH85" s="702">
        <f t="shared" si="56"/>
        <v>-36.120401356456007</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5">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1.0000062604952409</v>
      </c>
      <c r="N86" s="694">
        <f t="shared" si="41"/>
        <v>-3.5384919329172282E-3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32.552140312320489</v>
      </c>
      <c r="X86" s="699">
        <f t="shared" si="49"/>
        <v>-97.943417345030596</v>
      </c>
      <c r="Y86" s="702">
        <f t="shared" si="50"/>
        <v>82.056582654969404</v>
      </c>
      <c r="AA86" s="174">
        <f t="shared" si="51"/>
        <v>1000000000</v>
      </c>
      <c r="AB86" s="174">
        <f t="shared" si="52"/>
        <v>691824.69759999996</v>
      </c>
      <c r="AD86" s="701">
        <f t="shared" si="53"/>
        <v>33.097394510230636</v>
      </c>
      <c r="AE86" s="702">
        <f t="shared" si="54"/>
        <v>-58.108326797757037</v>
      </c>
      <c r="AG86" s="701">
        <f t="shared" si="55"/>
        <v>24.850264997852022</v>
      </c>
      <c r="AH86" s="702">
        <f t="shared" si="56"/>
        <v>-38.637377509738592</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5">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1.0000075268204023</v>
      </c>
      <c r="N87" s="694">
        <f t="shared" si="41"/>
        <v>-3.8798899963318981E-3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31.65769132621655</v>
      </c>
      <c r="X87" s="699">
        <f t="shared" si="49"/>
        <v>-98.227144422046507</v>
      </c>
      <c r="Y87" s="702">
        <f t="shared" si="50"/>
        <v>81.772855577953493</v>
      </c>
      <c r="AA87" s="174">
        <f t="shared" si="51"/>
        <v>1000000000</v>
      </c>
      <c r="AB87" s="174">
        <f t="shared" si="52"/>
        <v>831762.24009999994</v>
      </c>
      <c r="AD87" s="701">
        <f t="shared" si="53"/>
        <v>32.538496569888487</v>
      </c>
      <c r="AE87" s="702">
        <f t="shared" si="54"/>
        <v>-55.713995610706419</v>
      </c>
      <c r="AG87" s="701">
        <f t="shared" si="55"/>
        <v>24.514840597936768</v>
      </c>
      <c r="AH87" s="702">
        <f t="shared" si="56"/>
        <v>-41.199882572613696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5">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1.0000090492382439</v>
      </c>
      <c r="N88" s="694">
        <f t="shared" si="41"/>
        <v>-4.254214381949754E-3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30.759054210082425</v>
      </c>
      <c r="X88" s="699">
        <f t="shared" si="49"/>
        <v>-98.467000815368635</v>
      </c>
      <c r="Y88" s="702">
        <f t="shared" si="50"/>
        <v>81.532999184631365</v>
      </c>
      <c r="AA88" s="174">
        <f t="shared" si="51"/>
        <v>1000000000</v>
      </c>
      <c r="AB88" s="174">
        <f t="shared" si="52"/>
        <v>1000000</v>
      </c>
      <c r="AD88" s="701">
        <f t="shared" si="53"/>
        <v>32.011706861898617</v>
      </c>
      <c r="AE88" s="702">
        <f t="shared" si="54"/>
        <v>-53.240690226578565</v>
      </c>
      <c r="AG88" s="701">
        <f t="shared" si="55"/>
        <v>24.143145445565647</v>
      </c>
      <c r="AH88" s="702">
        <f t="shared" si="56"/>
        <v>-43.786347712292496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5">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1.0000108800000345</v>
      </c>
      <c r="N89" s="694">
        <f t="shared" si="41"/>
        <v>-4.6647403764937369E-3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29.857463477665952</v>
      </c>
      <c r="X89" s="699">
        <f t="shared" si="49"/>
        <v>-98.658880612700756</v>
      </c>
      <c r="Y89" s="702">
        <f t="shared" si="50"/>
        <v>81.341119387299244</v>
      </c>
      <c r="AA89" s="174">
        <f t="shared" si="51"/>
        <v>1000000000</v>
      </c>
      <c r="AB89" s="174">
        <f t="shared" si="52"/>
        <v>1202312.25</v>
      </c>
      <c r="AD89" s="701">
        <f t="shared" si="53"/>
        <v>31.518831995209332</v>
      </c>
      <c r="AE89" s="702">
        <f t="shared" si="54"/>
        <v>-50.704960150181321</v>
      </c>
      <c r="AG89" s="701">
        <f t="shared" si="55"/>
        <v>23.73461266989402</v>
      </c>
      <c r="AH89" s="702">
        <f t="shared" si="56"/>
        <v>-46.37500940313042</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5">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1.0000130808763683</v>
      </c>
      <c r="N90" s="694">
        <f t="shared" si="41"/>
        <v>-5.1148282040870069E-3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28.954823557226369</v>
      </c>
      <c r="X90" s="699">
        <f t="shared" si="49"/>
        <v>-98.800844910971165</v>
      </c>
      <c r="Y90" s="702">
        <f t="shared" si="50"/>
        <v>81.199155089028835</v>
      </c>
      <c r="AA90" s="174">
        <f t="shared" si="51"/>
        <v>1000000000</v>
      </c>
      <c r="AB90" s="174">
        <f t="shared" si="52"/>
        <v>1445525.2899999998</v>
      </c>
      <c r="AD90" s="701">
        <f t="shared" si="53"/>
        <v>31.061510894630921</v>
      </c>
      <c r="AE90" s="702">
        <f t="shared" si="54"/>
        <v>-48.127212022401167</v>
      </c>
      <c r="AG90" s="701">
        <f t="shared" si="55"/>
        <v>23.289513950090655</v>
      </c>
      <c r="AH90" s="702">
        <f t="shared" si="56"/>
        <v>-48.942385405755175</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5">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1.0000157267533796</v>
      </c>
      <c r="N91" s="694">
        <f t="shared" si="41"/>
        <v>-5.60830585353078E-3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28.052789873006503</v>
      </c>
      <c r="X91" s="699">
        <f t="shared" si="49"/>
        <v>-98.89360778356864</v>
      </c>
      <c r="Y91" s="702">
        <f t="shared" si="50"/>
        <v>81.10639221643136</v>
      </c>
      <c r="AA91" s="174">
        <f t="shared" si="51"/>
        <v>1000000000</v>
      </c>
      <c r="AB91" s="174">
        <f t="shared" si="52"/>
        <v>1737914.89</v>
      </c>
      <c r="AD91" s="701">
        <f t="shared" si="53"/>
        <v>30.640658979876125</v>
      </c>
      <c r="AE91" s="702">
        <f t="shared" si="54"/>
        <v>-45.52877778036747</v>
      </c>
      <c r="AG91" s="701">
        <f t="shared" si="55"/>
        <v>22.808596777110324</v>
      </c>
      <c r="AH91" s="702">
        <f t="shared" si="56"/>
        <v>-51.466563052685977</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5">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1.0000189054048845</v>
      </c>
      <c r="N92" s="694">
        <f t="shared" si="41"/>
        <v>-6.1490010642321286E-3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27.153572851534658</v>
      </c>
      <c r="X92" s="699">
        <f t="shared" si="49"/>
        <v>-98.940474353940317</v>
      </c>
      <c r="Y92" s="702">
        <f t="shared" si="50"/>
        <v>81.059525646059683</v>
      </c>
      <c r="AA92" s="174">
        <f t="shared" si="51"/>
        <v>1000000000</v>
      </c>
      <c r="AB92" s="174">
        <f t="shared" si="52"/>
        <v>2089181.1600000001</v>
      </c>
      <c r="AD92" s="701">
        <f t="shared" si="53"/>
        <v>30.25684358779953</v>
      </c>
      <c r="AE92" s="702">
        <f t="shared" si="54"/>
        <v>-42.933685381100965</v>
      </c>
      <c r="AG92" s="701">
        <f t="shared" si="55"/>
        <v>22.293513014535286</v>
      </c>
      <c r="AH92" s="702">
        <f t="shared" si="56"/>
        <v>-53.925525067145799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5">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1.0000227306985354</v>
      </c>
      <c r="N93" s="694">
        <f t="shared" si="41"/>
        <v>-6.7424428767453217E-3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26.257163506570365</v>
      </c>
      <c r="X93" s="699">
        <f t="shared" si="49"/>
        <v>-98.94723674440452</v>
      </c>
      <c r="Y93" s="702">
        <f t="shared" si="50"/>
        <v>81.05276325559548</v>
      </c>
      <c r="AA93" s="174">
        <f t="shared" si="51"/>
        <v>1000000000</v>
      </c>
      <c r="AB93" s="174">
        <f t="shared" si="52"/>
        <v>2511908.0100000002</v>
      </c>
      <c r="AD93" s="701">
        <f t="shared" si="53"/>
        <v>29.909162695793711</v>
      </c>
      <c r="AE93" s="702">
        <f t="shared" si="54"/>
        <v>-40.360053339157048</v>
      </c>
      <c r="AG93" s="701">
        <f t="shared" si="55"/>
        <v>21.745167080098064</v>
      </c>
      <c r="AH93" s="702">
        <f t="shared" si="56"/>
        <v>-56.305075184520675</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5">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1.0000273279867777</v>
      </c>
      <c r="N94" s="694">
        <f t="shared" si="41"/>
        <v>-7.3928836651640309E-3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25.366099443224979</v>
      </c>
      <c r="X94" s="699">
        <f t="shared" si="49"/>
        <v>-98.921605662719642</v>
      </c>
      <c r="Y94" s="702">
        <f t="shared" si="50"/>
        <v>81.078394337280358</v>
      </c>
      <c r="AA94" s="174">
        <f t="shared" si="51"/>
        <v>1000000000</v>
      </c>
      <c r="AB94" s="174">
        <f t="shared" si="52"/>
        <v>3019948.84</v>
      </c>
      <c r="AD94" s="701">
        <f t="shared" si="53"/>
        <v>29.597264906476575</v>
      </c>
      <c r="AE94" s="702">
        <f t="shared" si="54"/>
        <v>-37.833173727142679</v>
      </c>
      <c r="AG94" s="701">
        <f t="shared" si="55"/>
        <v>21.16646050328746</v>
      </c>
      <c r="AH94" s="702">
        <f t="shared" si="56"/>
        <v>-58.586194737622051</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5">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1.0000328567617618</v>
      </c>
      <c r="N95" s="694">
        <f t="shared" si="41"/>
        <v>-8.1062768455100569E-3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24.48077038010522</v>
      </c>
      <c r="X95" s="699">
        <f t="shared" si="49"/>
        <v>-98.872814516742892</v>
      </c>
      <c r="Y95" s="702">
        <f t="shared" si="50"/>
        <v>81.127185483257108</v>
      </c>
      <c r="AA95" s="174">
        <f t="shared" si="51"/>
        <v>1000000000</v>
      </c>
      <c r="AB95" s="174">
        <f t="shared" si="52"/>
        <v>3630930.25</v>
      </c>
      <c r="AD95" s="701">
        <f t="shared" si="53"/>
        <v>29.319517398115309</v>
      </c>
      <c r="AE95" s="702">
        <f t="shared" si="54"/>
        <v>-35.371347547186325</v>
      </c>
      <c r="AG95" s="701">
        <f t="shared" si="55"/>
        <v>20.559431761163655</v>
      </c>
      <c r="AH95" s="702">
        <f t="shared" si="56"/>
        <v>-60.757803775108449</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5">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1.0000395009025047</v>
      </c>
      <c r="N96" s="694">
        <f t="shared" si="41"/>
        <v>-8.8881496702884009E-3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23.602486616124423</v>
      </c>
      <c r="X96" s="699">
        <f t="shared" si="49"/>
        <v>-98.811032055750616</v>
      </c>
      <c r="Y96" s="702">
        <f t="shared" si="50"/>
        <v>81.188967944249384</v>
      </c>
      <c r="AA96" s="174">
        <f t="shared" si="51"/>
        <v>1000000000</v>
      </c>
      <c r="AB96" s="174">
        <f t="shared" si="52"/>
        <v>4365174.4900000012</v>
      </c>
      <c r="AD96" s="701">
        <f t="shared" si="53"/>
        <v>29.074239317427949</v>
      </c>
      <c r="AE96" s="702">
        <f t="shared" si="54"/>
        <v>-32.993991301997042</v>
      </c>
      <c r="AG96" s="701">
        <f t="shared" si="55"/>
        <v>19.927090375206525</v>
      </c>
      <c r="AH96" s="702">
        <f t="shared" si="56"/>
        <v>-62.808787254813119</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5">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1.000047491505728</v>
      </c>
      <c r="N97" s="694">
        <f t="shared" si="41"/>
        <v>-9.7457299642807714E-3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22.730941228581337</v>
      </c>
      <c r="X97" s="699">
        <f t="shared" si="49"/>
        <v>-98.746666943117873</v>
      </c>
      <c r="Y97" s="702">
        <f t="shared" si="50"/>
        <v>81.253333056882127</v>
      </c>
      <c r="AA97" s="174">
        <f t="shared" si="51"/>
        <v>1000000000</v>
      </c>
      <c r="AB97" s="174">
        <f t="shared" si="52"/>
        <v>5248222.8100000005</v>
      </c>
      <c r="AD97" s="701">
        <f t="shared" si="53"/>
        <v>28.859015314633968</v>
      </c>
      <c r="AE97" s="702">
        <f t="shared" si="54"/>
        <v>-30.714149618126619</v>
      </c>
      <c r="AG97" s="701">
        <f t="shared" si="55"/>
        <v>19.271567854308682</v>
      </c>
      <c r="AH97" s="702">
        <f t="shared" si="56"/>
        <v>-64.734067548093648</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5">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1.0000570960785253</v>
      </c>
      <c r="N98" s="694">
        <f t="shared" si="41"/>
        <v>-1.0685818828952089E-2</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21.866715704384777</v>
      </c>
      <c r="X98" s="699">
        <f t="shared" si="49"/>
        <v>-98.690048932363041</v>
      </c>
      <c r="Y98" s="702">
        <f t="shared" si="50"/>
        <v>81.309951067636959</v>
      </c>
      <c r="AA98" s="174">
        <f t="shared" si="51"/>
        <v>1000000000</v>
      </c>
      <c r="AB98" s="174">
        <f t="shared" si="52"/>
        <v>6309641.6100000003</v>
      </c>
      <c r="AD98" s="701">
        <f t="shared" si="53"/>
        <v>28.671515675596254</v>
      </c>
      <c r="AE98" s="702">
        <f t="shared" si="54"/>
        <v>-28.544980173974135</v>
      </c>
      <c r="AG98" s="701">
        <f t="shared" si="55"/>
        <v>18.595802109251881</v>
      </c>
      <c r="AH98" s="702">
        <f t="shared" si="56"/>
        <v>-66.528520940598298</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5">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1.0000686420159761</v>
      </c>
      <c r="N99" s="694">
        <f t="shared" si="41"/>
        <v>-1.1716491775919392E-2</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21.009527196140386</v>
      </c>
      <c r="X99" s="699">
        <f t="shared" si="49"/>
        <v>-98.650944820318315</v>
      </c>
      <c r="Y99" s="702">
        <f t="shared" si="50"/>
        <v>81.349055179681685</v>
      </c>
      <c r="AA99" s="174">
        <f t="shared" si="51"/>
        <v>1000000000</v>
      </c>
      <c r="AB99" s="174">
        <f t="shared" si="52"/>
        <v>7585617.6399999987</v>
      </c>
      <c r="AD99" s="701">
        <f t="shared" si="53"/>
        <v>28.509120712455584</v>
      </c>
      <c r="AE99" s="702">
        <f t="shared" si="54"/>
        <v>-26.494907869196108</v>
      </c>
      <c r="AG99" s="701">
        <f t="shared" si="55"/>
        <v>17.902162659548434</v>
      </c>
      <c r="AH99" s="702">
        <f t="shared" si="56"/>
        <v>-68.19076422766301</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5">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1.0000825296403375</v>
      </c>
      <c r="N100" s="694">
        <f t="shared" si="41"/>
        <v>-1.2847098099249893E-2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20.158585306762053</v>
      </c>
      <c r="X100" s="699">
        <f t="shared" si="49"/>
        <v>-98.638395524738343</v>
      </c>
      <c r="Y100" s="702">
        <f t="shared" si="50"/>
        <v>81.361604475261657</v>
      </c>
      <c r="AA100" s="174">
        <f t="shared" si="51"/>
        <v>1000000000</v>
      </c>
      <c r="AB100" s="174">
        <f t="shared" si="52"/>
        <v>9120400</v>
      </c>
      <c r="AD100" s="701">
        <f t="shared" si="53"/>
        <v>28.369153906235059</v>
      </c>
      <c r="AE100" s="702">
        <f t="shared" si="54"/>
        <v>-24.568813980946896</v>
      </c>
      <c r="AG100" s="701">
        <f t="shared" si="55"/>
        <v>17.192575570143745</v>
      </c>
      <c r="AH100" s="702">
        <f t="shared" si="56"/>
        <v>-69.721803540281471</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5">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1.0000992177790202</v>
      </c>
      <c r="N101" s="694">
        <f t="shared" si="41"/>
        <v>-1.4086133340388421E-2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19.314234406178123</v>
      </c>
      <c r="X101" s="699">
        <f t="shared" si="49"/>
        <v>-98.660628991914805</v>
      </c>
      <c r="Y101" s="702">
        <f t="shared" si="50"/>
        <v>81.339371008085195</v>
      </c>
      <c r="AA101" s="174">
        <f t="shared" si="51"/>
        <v>1000000000</v>
      </c>
      <c r="AB101" s="174">
        <f t="shared" si="52"/>
        <v>10964707.690000001</v>
      </c>
      <c r="AD101" s="701">
        <f t="shared" si="53"/>
        <v>28.249204472810668</v>
      </c>
      <c r="AE101" s="702">
        <f t="shared" si="54"/>
        <v>-22.771828884830136</v>
      </c>
      <c r="AG101" s="701">
        <f t="shared" si="55"/>
        <v>16.469841748710003</v>
      </c>
      <c r="AH101" s="702">
        <f t="shared" si="56"/>
        <v>-71.121875127336494</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5">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1.0001192868962585</v>
      </c>
      <c r="N102" s="694">
        <f t="shared" si="41"/>
        <v>-1.5445066504379957E-2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18.475241209731273</v>
      </c>
      <c r="X102" s="699">
        <f t="shared" si="49"/>
        <v>-98.725049784992038</v>
      </c>
      <c r="Y102" s="702">
        <f t="shared" si="50"/>
        <v>81.274950215007962</v>
      </c>
      <c r="AA102" s="174">
        <f t="shared" si="51"/>
        <v>1000000000</v>
      </c>
      <c r="AB102" s="174">
        <f t="shared" si="52"/>
        <v>13182708.640000001</v>
      </c>
      <c r="AD102" s="701">
        <f t="shared" si="53"/>
        <v>28.146748587876502</v>
      </c>
      <c r="AE102" s="702">
        <f t="shared" si="54"/>
        <v>-21.103524831248755</v>
      </c>
      <c r="AG102" s="701">
        <f t="shared" si="55"/>
        <v>15.735309590835048</v>
      </c>
      <c r="AH102" s="702">
        <f t="shared" si="56"/>
        <v>-72.394948472859213</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5">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1.0001434131648232</v>
      </c>
      <c r="N103" s="694">
        <f t="shared" si="41"/>
        <v>-1.6934935929848176E-2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17.641327947699715</v>
      </c>
      <c r="X103" s="699">
        <f t="shared" si="49"/>
        <v>-98.838302496018485</v>
      </c>
      <c r="Y103" s="702">
        <f t="shared" si="50"/>
        <v>81.161697503981515</v>
      </c>
      <c r="AA103" s="174">
        <f t="shared" si="51"/>
        <v>1000000000</v>
      </c>
      <c r="AB103" s="174">
        <f t="shared" si="52"/>
        <v>15849157.209999999</v>
      </c>
      <c r="AD103" s="701">
        <f t="shared" si="53"/>
        <v>28.059575234616162</v>
      </c>
      <c r="AE103" s="702">
        <f t="shared" si="54"/>
        <v>-19.563786053553503</v>
      </c>
      <c r="AG103" s="701">
        <f t="shared" si="55"/>
        <v>14.990979685002156</v>
      </c>
      <c r="AH103" s="702">
        <f t="shared" si="56"/>
        <v>-73.544072655078537</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5">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1.0001724188887278</v>
      </c>
      <c r="N104" s="694">
        <f t="shared" si="41"/>
        <v>-1.8568474294415192E-2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16.811810292771664</v>
      </c>
      <c r="X104" s="699">
        <f t="shared" si="49"/>
        <v>-99.006434918121982</v>
      </c>
      <c r="Y104" s="702">
        <f t="shared" si="50"/>
        <v>80.993565081878018</v>
      </c>
      <c r="AA104" s="174">
        <f t="shared" si="51"/>
        <v>1000000000</v>
      </c>
      <c r="AB104" s="174">
        <f t="shared" si="52"/>
        <v>19054971.039999999</v>
      </c>
      <c r="AD104" s="701">
        <f t="shared" si="53"/>
        <v>27.985610985880601</v>
      </c>
      <c r="AE104" s="702">
        <f t="shared" si="54"/>
        <v>-18.150227499566387</v>
      </c>
      <c r="AG104" s="701">
        <f t="shared" si="55"/>
        <v>14.238322959254443</v>
      </c>
      <c r="AH104" s="702">
        <f t="shared" si="56"/>
        <v>-74.573403824786197</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5">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1.0002072854461288</v>
      </c>
      <c r="N105" s="694">
        <f t="shared" si="41"/>
        <v>-2.0359255704193339E-2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15.986196750121417</v>
      </c>
      <c r="X105" s="699">
        <f t="shared" si="49"/>
        <v>-99.23499972154444</v>
      </c>
      <c r="Y105" s="702">
        <f t="shared" si="50"/>
        <v>80.76500027845556</v>
      </c>
      <c r="AA105" s="174">
        <f t="shared" si="51"/>
        <v>1000000000</v>
      </c>
      <c r="AB105" s="174">
        <f t="shared" si="52"/>
        <v>22908667.690000001</v>
      </c>
      <c r="AD105" s="701">
        <f t="shared" si="53"/>
        <v>27.923002819855004</v>
      </c>
      <c r="AE105" s="702">
        <f t="shared" si="54"/>
        <v>-16.859708903158623</v>
      </c>
      <c r="AG105" s="701">
        <f t="shared" si="55"/>
        <v>13.478798495191104</v>
      </c>
      <c r="AH105" s="702">
        <f t="shared" si="56"/>
        <v>-75.487083761004811</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5">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1.0002492092045594</v>
      </c>
      <c r="N106" s="694">
        <f t="shared" si="41"/>
        <v>-2.2322968494659159E-2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15.1636608171844</v>
      </c>
      <c r="X106" s="699">
        <f t="shared" si="49"/>
        <v>-99.529363712575076</v>
      </c>
      <c r="Y106" s="702">
        <f t="shared" si="50"/>
        <v>80.470636287424924</v>
      </c>
      <c r="AA106" s="174">
        <f t="shared" si="51"/>
        <v>1000000000</v>
      </c>
      <c r="AB106" s="174">
        <f t="shared" si="52"/>
        <v>27542553.610000003</v>
      </c>
      <c r="AD106" s="701">
        <f t="shared" si="53"/>
        <v>27.870075210040198</v>
      </c>
      <c r="AE106" s="702">
        <f t="shared" si="54"/>
        <v>-15.687807038319542</v>
      </c>
      <c r="AG106" s="701">
        <f t="shared" si="55"/>
        <v>12.71337410412433</v>
      </c>
      <c r="AH106" s="702">
        <f t="shared" si="56"/>
        <v>-76.28964984401938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5">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1.000260948269615</v>
      </c>
      <c r="N107" s="694">
        <f t="shared" si="41"/>
        <v>-2.2842571538613621E-2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14.958546728502649</v>
      </c>
      <c r="X107" s="699">
        <f t="shared" si="49"/>
        <v>-99.613801836865747</v>
      </c>
      <c r="Y107" s="702">
        <f t="shared" si="50"/>
        <v>80.386198163134253</v>
      </c>
      <c r="AA107" s="174">
        <f t="shared" si="51"/>
        <v>1000000000</v>
      </c>
      <c r="AB107" s="174">
        <f t="shared" si="52"/>
        <v>28840122.090000004</v>
      </c>
      <c r="AD107" s="701">
        <f t="shared" si="53"/>
        <v>27.858186902473484</v>
      </c>
      <c r="AE107" s="702">
        <f t="shared" si="54"/>
        <v>-15.412989617142566</v>
      </c>
      <c r="AG107" s="701">
        <f t="shared" si="55"/>
        <v>12.521319564379036</v>
      </c>
      <c r="AH107" s="702">
        <f t="shared" si="56"/>
        <v>-76.473319925005498</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5">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1.0002670615887335</v>
      </c>
      <c r="N108" s="694">
        <f t="shared" si="41"/>
        <v>-2.3108533807448216E-2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14.855414721417137</v>
      </c>
      <c r="X108" s="699">
        <f t="shared" si="49"/>
        <v>-99.657982577501585</v>
      </c>
      <c r="Y108" s="702">
        <f t="shared" si="50"/>
        <v>80.342017422498415</v>
      </c>
      <c r="AA108" s="174">
        <f t="shared" si="51"/>
        <v>1000000000</v>
      </c>
      <c r="AB108" s="174">
        <f t="shared" si="52"/>
        <v>29515859.122500002</v>
      </c>
      <c r="AD108" s="701">
        <f t="shared" si="53"/>
        <v>27.852393275469272</v>
      </c>
      <c r="AE108" s="702">
        <f t="shared" si="54"/>
        <v>-15.277407232066796</v>
      </c>
      <c r="AG108" s="701">
        <f t="shared" si="55"/>
        <v>12.424591076205264</v>
      </c>
      <c r="AH108" s="702">
        <f t="shared" si="56"/>
        <v>-76.563213703119814</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5">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1.0002732456618035</v>
      </c>
      <c r="N109" s="694">
        <f t="shared" si="41"/>
        <v>-2.3374492806533847E-2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14.753501419778148</v>
      </c>
      <c r="X109" s="699">
        <f t="shared" si="49"/>
        <v>-99.702789644513331</v>
      </c>
      <c r="Y109" s="702">
        <f t="shared" si="50"/>
        <v>80.297210355486669</v>
      </c>
      <c r="AA109" s="174">
        <f t="shared" si="51"/>
        <v>1000000000</v>
      </c>
      <c r="AB109" s="174">
        <f t="shared" si="52"/>
        <v>30199421.159999996</v>
      </c>
      <c r="AD109" s="701">
        <f t="shared" si="53"/>
        <v>27.846785819115741</v>
      </c>
      <c r="AE109" s="702">
        <f t="shared" si="54"/>
        <v>-15.145126155867432</v>
      </c>
      <c r="AG109" s="701">
        <f t="shared" si="55"/>
        <v>12.328902145266138</v>
      </c>
      <c r="AH109" s="702">
        <f t="shared" si="56"/>
        <v>-76.650437204624041</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5">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1.000279646322547</v>
      </c>
      <c r="N110" s="694">
        <f t="shared" si="41"/>
        <v>-2.364661369864076E-2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14.650456778718127</v>
      </c>
      <c r="X110" s="699">
        <f t="shared" si="49"/>
        <v>-99.749265789201885</v>
      </c>
      <c r="Y110" s="702">
        <f t="shared" si="50"/>
        <v>80.250734210798115</v>
      </c>
      <c r="AA110" s="174">
        <f t="shared" si="51"/>
        <v>1000000000</v>
      </c>
      <c r="AB110" s="174">
        <f t="shared" si="52"/>
        <v>30906928.359999996</v>
      </c>
      <c r="AD110" s="701">
        <f t="shared" si="53"/>
        <v>27.841232731703954</v>
      </c>
      <c r="AE110" s="702">
        <f t="shared" si="54"/>
        <v>-15.013087850630567</v>
      </c>
      <c r="AG110" s="701">
        <f t="shared" si="55"/>
        <v>12.232049074009337</v>
      </c>
      <c r="AH110" s="702">
        <f t="shared" si="56"/>
        <v>-76.737008746303545</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5">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1.0002861210528271</v>
      </c>
      <c r="N111" s="694">
        <f t="shared" si="41"/>
        <v>-2.3918731088086877E-2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14.548627671574653</v>
      </c>
      <c r="X111" s="699">
        <f t="shared" si="49"/>
        <v>-99.796361907446638</v>
      </c>
      <c r="Y111" s="702">
        <f t="shared" si="50"/>
        <v>80.203638092553362</v>
      </c>
      <c r="AA111" s="174">
        <f t="shared" si="51"/>
        <v>1000000000</v>
      </c>
      <c r="AB111" s="174">
        <f t="shared" si="52"/>
        <v>31622627.559999995</v>
      </c>
      <c r="AD111" s="701">
        <f t="shared" si="53"/>
        <v>27.835858068307804</v>
      </c>
      <c r="AE111" s="702">
        <f t="shared" si="54"/>
        <v>-14.884291374875332</v>
      </c>
      <c r="AG111" s="701">
        <f t="shared" si="55"/>
        <v>12.136240461509571</v>
      </c>
      <c r="AH111" s="702">
        <f t="shared" si="56"/>
        <v>-76.820963471955523</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5">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1.0002928242269844</v>
      </c>
      <c r="N112" s="694">
        <f t="shared" si="41"/>
        <v>-2.4197222560103034E-2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14.445640399356328</v>
      </c>
      <c r="X112" s="699">
        <f t="shared" si="49"/>
        <v>-99.845185854051564</v>
      </c>
      <c r="Y112" s="702">
        <f t="shared" si="50"/>
        <v>80.154814145948436</v>
      </c>
      <c r="AA112" s="174">
        <f t="shared" si="51"/>
        <v>1000000000</v>
      </c>
      <c r="AB112" s="174">
        <f t="shared" si="52"/>
        <v>32363583.209999997</v>
      </c>
      <c r="AD112" s="701">
        <f t="shared" si="53"/>
        <v>27.830534170431282</v>
      </c>
      <c r="AE112" s="702">
        <f t="shared" si="54"/>
        <v>-14.755726718343322</v>
      </c>
      <c r="AG112" s="701">
        <f t="shared" si="55"/>
        <v>12.039245662741445</v>
      </c>
      <c r="AH112" s="702">
        <f t="shared" si="56"/>
        <v>-76.9042646911726</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5">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1.0002996049803092</v>
      </c>
      <c r="N113" s="694">
        <f t="shared" si="41"/>
        <v>-2.4475710278085008E-2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14.343866174248349</v>
      </c>
      <c r="X113" s="699">
        <f t="shared" si="49"/>
        <v>-99.89462337862625</v>
      </c>
      <c r="Y113" s="702">
        <f t="shared" si="50"/>
        <v>80.10537662137375</v>
      </c>
      <c r="AA113" s="174">
        <f t="shared" si="51"/>
        <v>1000000000</v>
      </c>
      <c r="AB113" s="174">
        <f t="shared" si="52"/>
        <v>33113119.359999996</v>
      </c>
      <c r="AD113" s="701">
        <f t="shared" si="53"/>
        <v>27.825381320452408</v>
      </c>
      <c r="AE113" s="702">
        <f t="shared" si="54"/>
        <v>-14.630346382389121</v>
      </c>
      <c r="AG113" s="701">
        <f t="shared" si="55"/>
        <v>11.943300557336595</v>
      </c>
      <c r="AH113" s="702">
        <f t="shared" si="56"/>
        <v>-76.985000568023949</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5">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1.0003066212808602</v>
      </c>
      <c r="N114" s="694">
        <f t="shared" si="41"/>
        <v>-2.4760571648468142E-2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14.240986251548042</v>
      </c>
      <c r="X114" s="699">
        <f t="shared" si="49"/>
        <v>-99.945809947642857</v>
      </c>
      <c r="Y114" s="702">
        <f t="shared" si="50"/>
        <v>80.054190052357143</v>
      </c>
      <c r="AA114" s="174">
        <f t="shared" si="51"/>
        <v>1000000000</v>
      </c>
      <c r="AB114" s="174">
        <f t="shared" si="52"/>
        <v>33888697.959999993</v>
      </c>
      <c r="AD114" s="701">
        <f t="shared" si="53"/>
        <v>27.820279742473417</v>
      </c>
      <c r="AE114" s="702">
        <f t="shared" si="54"/>
        <v>-14.505284711367718</v>
      </c>
      <c r="AG114" s="701">
        <f t="shared" si="55"/>
        <v>11.846221928176746</v>
      </c>
      <c r="AH114" s="702">
        <f t="shared" si="56"/>
        <v>-77.065017926236294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5">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1.0003137187511502</v>
      </c>
      <c r="N115" s="694">
        <f t="shared" si="41"/>
        <v>-2.504542899964397E-2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14.139315701429336</v>
      </c>
      <c r="X115" s="699">
        <f t="shared" si="49"/>
        <v>-99.997602741563583</v>
      </c>
      <c r="Y115" s="702">
        <f t="shared" si="50"/>
        <v>80.002397258436417</v>
      </c>
      <c r="AA115" s="174">
        <f t="shared" si="51"/>
        <v>1000000000</v>
      </c>
      <c r="AB115" s="174">
        <f t="shared" si="52"/>
        <v>34673254.559999995</v>
      </c>
      <c r="AD115" s="701">
        <f t="shared" si="53"/>
        <v>27.815341935947711</v>
      </c>
      <c r="AE115" s="702">
        <f t="shared" si="54"/>
        <v>-14.383346965659378</v>
      </c>
      <c r="AG115" s="701">
        <f t="shared" si="55"/>
        <v>11.750196947209307</v>
      </c>
      <c r="AH115" s="702">
        <f t="shared" si="56"/>
        <v>-77.142523364224786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5">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1.0003210698119198</v>
      </c>
      <c r="N116" s="694">
        <f t="shared" si="41"/>
        <v>-2.5337084701915719E-2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14.036440295548116</v>
      </c>
      <c r="X116" s="699">
        <f t="shared" si="49"/>
        <v>-100.05124256267375</v>
      </c>
      <c r="Y116" s="702">
        <f t="shared" si="50"/>
        <v>79.94875743732625</v>
      </c>
      <c r="AA116" s="174">
        <f t="shared" si="51"/>
        <v>1000000000</v>
      </c>
      <c r="AB116" s="174">
        <f t="shared" si="52"/>
        <v>35485849</v>
      </c>
      <c r="AD116" s="701">
        <f t="shared" si="53"/>
        <v>27.810448503808711</v>
      </c>
      <c r="AE116" s="702">
        <f t="shared" si="54"/>
        <v>-14.26163094552671</v>
      </c>
      <c r="AG116" s="701">
        <f t="shared" si="55"/>
        <v>11.652947973604576</v>
      </c>
      <c r="AH116" s="702">
        <f t="shared" si="56"/>
        <v>-77.21936224831849</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5">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1.0003285059617946</v>
      </c>
      <c r="N117" s="694">
        <f t="shared" si="41"/>
        <v>-2.5628736092829348E-2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13.93477297242811</v>
      </c>
      <c r="X117" s="699">
        <f t="shared" si="49"/>
        <v>-100.10548211803757</v>
      </c>
      <c r="Y117" s="702">
        <f t="shared" si="50"/>
        <v>79.894517881962429</v>
      </c>
      <c r="AA117" s="174">
        <f t="shared" si="51"/>
        <v>1000000000</v>
      </c>
      <c r="AB117" s="174">
        <f t="shared" si="52"/>
        <v>36307855.360000007</v>
      </c>
      <c r="AD117" s="701">
        <f t="shared" si="53"/>
        <v>27.805712142185783</v>
      </c>
      <c r="AE117" s="702">
        <f t="shared" si="54"/>
        <v>-14.142984841287962</v>
      </c>
      <c r="AG117" s="701">
        <f t="shared" si="55"/>
        <v>11.556758444366706</v>
      </c>
      <c r="AH117" s="702">
        <f t="shared" si="56"/>
        <v>-77.293737149412323</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5">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1.0003362036367145</v>
      </c>
      <c r="N118" s="694">
        <f t="shared" si="41"/>
        <v>-2.5927185333516341E-2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13.831955214971458</v>
      </c>
      <c r="X118" s="699">
        <f t="shared" si="49"/>
        <v>-100.16158970523567</v>
      </c>
      <c r="Y118" s="702">
        <f t="shared" si="50"/>
        <v>79.83841029476433</v>
      </c>
      <c r="AA118" s="174">
        <f t="shared" si="51"/>
        <v>1000000000</v>
      </c>
      <c r="AB118" s="174">
        <f t="shared" si="52"/>
        <v>37158777.640000001</v>
      </c>
      <c r="AD118" s="701">
        <f t="shared" si="53"/>
        <v>27.801020816679216</v>
      </c>
      <c r="AE118" s="702">
        <f t="shared" si="54"/>
        <v>-14.024648114607807</v>
      </c>
      <c r="AG118" s="701">
        <f t="shared" si="55"/>
        <v>11.459399464896478</v>
      </c>
      <c r="AH118" s="702">
        <f t="shared" si="56"/>
        <v>-77.367379568306163</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5">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1.0003439904121543</v>
      </c>
      <c r="N119" s="694">
        <f t="shared" si="41"/>
        <v>-2.6225629954469892E-2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13.730342988957894</v>
      </c>
      <c r="X119" s="699">
        <f t="shared" si="49"/>
        <v>-100.21828959902919</v>
      </c>
      <c r="Y119" s="702">
        <f t="shared" si="50"/>
        <v>79.781710400970809</v>
      </c>
      <c r="AA119" s="174">
        <f t="shared" si="51"/>
        <v>1000000000</v>
      </c>
      <c r="AB119" s="174">
        <f t="shared" si="52"/>
        <v>38019556</v>
      </c>
      <c r="AD119" s="701">
        <f t="shared" si="53"/>
        <v>27.796479935543076</v>
      </c>
      <c r="AE119" s="702">
        <f t="shared" si="54"/>
        <v>-13.909324309949014</v>
      </c>
      <c r="AG119" s="701">
        <f t="shared" si="55"/>
        <v>11.363104398301676</v>
      </c>
      <c r="AH119" s="702">
        <f t="shared" si="56"/>
        <v>-77.438608011874933</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5">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1.0003520468316225</v>
      </c>
      <c r="N120" s="694">
        <f t="shared" si="41"/>
        <v>-2.6530871897852869E-2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13.627632136806223</v>
      </c>
      <c r="X120" s="699">
        <f t="shared" si="49"/>
        <v>-100.27687666530871</v>
      </c>
      <c r="Y120" s="702">
        <f t="shared" si="50"/>
        <v>79.723123334691294</v>
      </c>
      <c r="AA120" s="174">
        <f t="shared" si="51"/>
        <v>1000000000</v>
      </c>
      <c r="AB120" s="174">
        <f t="shared" si="52"/>
        <v>38910148.840000004</v>
      </c>
      <c r="AD120" s="701">
        <f t="shared" si="53"/>
        <v>27.791984372576756</v>
      </c>
      <c r="AE120" s="702">
        <f t="shared" si="54"/>
        <v>-13.794388929212873</v>
      </c>
      <c r="AG120" s="701">
        <f t="shared" si="55"/>
        <v>11.265692207909767</v>
      </c>
      <c r="AH120" s="702">
        <f t="shared" si="56"/>
        <v>-77.509044823548365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5">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1.0003601964550295</v>
      </c>
      <c r="N121" s="694">
        <f t="shared" si="41"/>
        <v>-2.6836108896252837E-2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13.52612309970759</v>
      </c>
      <c r="X121" s="699">
        <f t="shared" si="49"/>
        <v>-100.33604777055746</v>
      </c>
      <c r="Y121" s="702">
        <f t="shared" si="50"/>
        <v>79.663952229442543</v>
      </c>
      <c r="AA121" s="174">
        <f t="shared" si="51"/>
        <v>1000000000</v>
      </c>
      <c r="AB121" s="174">
        <f t="shared" si="52"/>
        <v>39811052.160000004</v>
      </c>
      <c r="AD121" s="701">
        <f t="shared" si="53"/>
        <v>27.787632730715714</v>
      </c>
      <c r="AE121" s="702">
        <f t="shared" si="54"/>
        <v>-13.68240696383663</v>
      </c>
      <c r="AG121" s="701">
        <f t="shared" si="55"/>
        <v>11.169347139526931</v>
      </c>
      <c r="AH121" s="702">
        <f t="shared" si="56"/>
        <v>-77.577119364288649</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5">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1.0003686297998526</v>
      </c>
      <c r="N122" s="694">
        <f t="shared" si="41"/>
        <v>-2.7148355217996314E-2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13.423495285084853</v>
      </c>
      <c r="X122" s="699">
        <f t="shared" si="49"/>
        <v>-100.39716522910751</v>
      </c>
      <c r="Y122" s="702">
        <f t="shared" si="50"/>
        <v>79.602834770892485</v>
      </c>
      <c r="AA122" s="174">
        <f t="shared" si="51"/>
        <v>1000000000</v>
      </c>
      <c r="AB122" s="174">
        <f t="shared" si="52"/>
        <v>40743327.302500002</v>
      </c>
      <c r="AD122" s="701">
        <f t="shared" si="53"/>
        <v>27.783323474810157</v>
      </c>
      <c r="AE122" s="702">
        <f t="shared" si="54"/>
        <v>-13.570809495424088</v>
      </c>
      <c r="AG122" s="701">
        <f t="shared" si="55"/>
        <v>11.071869121450536</v>
      </c>
      <c r="AH122" s="702">
        <f t="shared" si="56"/>
        <v>-77.644394401205403</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5">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1.0003771606767318</v>
      </c>
      <c r="N123" s="694">
        <f t="shared" si="41"/>
        <v>-2.7460596244720862E-2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13.32206610860524</v>
      </c>
      <c r="X123" s="699">
        <f t="shared" si="49"/>
        <v>-100.45885848485058</v>
      </c>
      <c r="Y123" s="702">
        <f t="shared" si="50"/>
        <v>79.54114151514942</v>
      </c>
      <c r="AA123" s="174">
        <f t="shared" si="51"/>
        <v>1000000000</v>
      </c>
      <c r="AB123" s="174">
        <f t="shared" si="52"/>
        <v>41686392.25</v>
      </c>
      <c r="AD123" s="701">
        <f t="shared" si="53"/>
        <v>27.779151926594565</v>
      </c>
      <c r="AE123" s="702">
        <f t="shared" si="54"/>
        <v>-13.462107740226545</v>
      </c>
      <c r="AG123" s="701">
        <f t="shared" si="55"/>
        <v>10.975461685811458</v>
      </c>
      <c r="AH123" s="702">
        <f t="shared" si="56"/>
        <v>-77.709357128134769</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5">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1.0003859958507875</v>
      </c>
      <c r="N124" s="694">
        <f t="shared" si="41"/>
        <v>-2.7780271093208363E-2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13.219432588713175</v>
      </c>
      <c r="X124" s="699">
        <f t="shared" si="49"/>
        <v>-100.52260048724598</v>
      </c>
      <c r="Y124" s="702">
        <f t="shared" si="50"/>
        <v>79.477399512754019</v>
      </c>
      <c r="AA124" s="174">
        <f t="shared" si="51"/>
        <v>1000000000</v>
      </c>
      <c r="AB124" s="174">
        <f t="shared" si="52"/>
        <v>42663104.890000001</v>
      </c>
      <c r="AD124" s="701">
        <f t="shared" si="53"/>
        <v>27.775017385272896</v>
      </c>
      <c r="AE124" s="702">
        <f t="shared" si="54"/>
        <v>-13.353719556681536</v>
      </c>
      <c r="AG124" s="701">
        <f t="shared" si="55"/>
        <v>10.877843153270703</v>
      </c>
      <c r="AH124" s="702">
        <f t="shared" si="56"/>
        <v>-77.773550998586117</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5">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1.0003949332544857</v>
      </c>
      <c r="N125" s="694">
        <f t="shared" si="41"/>
        <v>-2.8099940262492476E-2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13.117996570039889</v>
      </c>
      <c r="X125" s="699">
        <f t="shared" si="49"/>
        <v>-100.58691079579619</v>
      </c>
      <c r="Y125" s="702">
        <f t="shared" si="50"/>
        <v>79.413089204203814</v>
      </c>
      <c r="AA125" s="174">
        <f t="shared" si="51"/>
        <v>1000000000</v>
      </c>
      <c r="AB125" s="174">
        <f t="shared" si="52"/>
        <v>43651127.609999992</v>
      </c>
      <c r="AD125" s="701">
        <f t="shared" si="53"/>
        <v>27.771014795507433</v>
      </c>
      <c r="AE125" s="702">
        <f t="shared" si="54"/>
        <v>-13.248174701181737</v>
      </c>
      <c r="AG125" s="701">
        <f t="shared" si="55"/>
        <v>10.781300282212122</v>
      </c>
      <c r="AH125" s="702">
        <f t="shared" si="56"/>
        <v>-77.835478002358386</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5">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1.0004041844659644</v>
      </c>
      <c r="N126" s="694">
        <f t="shared" si="41"/>
        <v>-2.8427042594453406E-2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13.015410170038944</v>
      </c>
      <c r="X126" s="699">
        <f t="shared" si="49"/>
        <v>-100.65328839725021</v>
      </c>
      <c r="Y126" s="702">
        <f t="shared" si="50"/>
        <v>79.346711602749792</v>
      </c>
      <c r="AA126" s="174">
        <f t="shared" si="51"/>
        <v>1000000000</v>
      </c>
      <c r="AB126" s="174">
        <f t="shared" si="52"/>
        <v>44673850.822500005</v>
      </c>
      <c r="AD126" s="701">
        <f t="shared" si="53"/>
        <v>27.767049633874379</v>
      </c>
      <c r="AE126" s="702">
        <f t="shared" si="54"/>
        <v>-13.143022035868446</v>
      </c>
      <c r="AG126" s="701">
        <f t="shared" si="55"/>
        <v>10.683600790649914</v>
      </c>
      <c r="AH126" s="702">
        <f t="shared" si="56"/>
        <v>-77.896577021054085</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5">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1.0004135427146383</v>
      </c>
      <c r="N127" s="694">
        <f t="shared" si="41"/>
        <v>-2.8754138841732581E-2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12.914018885706355</v>
      </c>
      <c r="X127" s="699">
        <f t="shared" si="49"/>
        <v>-100.72022600950335</v>
      </c>
      <c r="Y127" s="702">
        <f t="shared" si="50"/>
        <v>79.279773990496651</v>
      </c>
      <c r="AA127" s="174">
        <f t="shared" si="51"/>
        <v>1000000000</v>
      </c>
      <c r="AB127" s="174">
        <f t="shared" si="52"/>
        <v>45708416.640000001</v>
      </c>
      <c r="AD127" s="701">
        <f t="shared" si="53"/>
        <v>27.763210742116943</v>
      </c>
      <c r="AE127" s="702">
        <f t="shared" si="54"/>
        <v>-13.040657738062333</v>
      </c>
      <c r="AG127" s="701">
        <f t="shared" si="55"/>
        <v>10.586980726696178</v>
      </c>
      <c r="AH127" s="702">
        <f t="shared" si="56"/>
        <v>-77.955456417499576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5">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1.0004232306887502</v>
      </c>
      <c r="N128" s="694">
        <f t="shared" si="41"/>
        <v>-2.9088880090518864E-2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12.811463872421236</v>
      </c>
      <c r="X128" s="699">
        <f t="shared" si="49"/>
        <v>-100.78929175234641</v>
      </c>
      <c r="Y128" s="702">
        <f t="shared" si="50"/>
        <v>79.210708247653585</v>
      </c>
      <c r="AA128" s="174">
        <f t="shared" si="51"/>
        <v>1000000000</v>
      </c>
      <c r="AB128" s="174">
        <f t="shared" si="52"/>
        <v>46779444.202500001</v>
      </c>
      <c r="AD128" s="701">
        <f t="shared" si="53"/>
        <v>27.759407011779484</v>
      </c>
      <c r="AE128" s="702">
        <f t="shared" si="54"/>
        <v>-12.938692522580867</v>
      </c>
      <c r="AG128" s="701">
        <f t="shared" si="55"/>
        <v>10.489194533950723</v>
      </c>
      <c r="AH128" s="702">
        <f t="shared" si="56"/>
        <v>-78.013491025701398</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5">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1.0004330307598108</v>
      </c>
      <c r="N129" s="694">
        <f t="shared" si="41"/>
        <v>-2.9423614818675961E-2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12.710101931051783</v>
      </c>
      <c r="X129" s="699">
        <f t="shared" si="49"/>
        <v>-100.85890918746425</v>
      </c>
      <c r="Y129" s="702">
        <f t="shared" si="50"/>
        <v>79.141090812535751</v>
      </c>
      <c r="AA129" s="174">
        <f t="shared" si="51"/>
        <v>1000000000</v>
      </c>
      <c r="AB129" s="174">
        <f t="shared" si="52"/>
        <v>47862874.890000001</v>
      </c>
      <c r="AD129" s="701">
        <f t="shared" si="53"/>
        <v>27.755724116855411</v>
      </c>
      <c r="AE129" s="702">
        <f t="shared" si="54"/>
        <v>-12.839461986451575</v>
      </c>
      <c r="AG129" s="701">
        <f t="shared" si="55"/>
        <v>10.392491653673002</v>
      </c>
      <c r="AH129" s="702">
        <f t="shared" si="56"/>
        <v>-78.069352003702477</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5">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1.000443177129289</v>
      </c>
      <c r="N130" s="694">
        <f t="shared" si="41"/>
        <v>-2.9766206326033565E-2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12.607564922649113</v>
      </c>
      <c r="X130" s="699">
        <f t="shared" si="49"/>
        <v>-100.93071601039767</v>
      </c>
      <c r="Y130" s="702">
        <f t="shared" si="50"/>
        <v>79.069283989602326</v>
      </c>
      <c r="AA130" s="174">
        <f t="shared" si="51"/>
        <v>1000000000</v>
      </c>
      <c r="AB130" s="174">
        <f t="shared" si="52"/>
        <v>48984601.209999993</v>
      </c>
      <c r="AD130" s="701">
        <f t="shared" si="53"/>
        <v>27.752074289286995</v>
      </c>
      <c r="AE130" s="702">
        <f t="shared" si="54"/>
        <v>-12.740640285347441</v>
      </c>
      <c r="AG130" s="701">
        <f t="shared" si="55"/>
        <v>10.294615036887675</v>
      </c>
      <c r="AH130" s="702">
        <f t="shared" si="56"/>
        <v>-78.124349036264618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5">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1.0004534409173331</v>
      </c>
      <c r="N131" s="694">
        <f t="shared" si="41"/>
        <v>-3.0108790844213446E-2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12.506219227225079</v>
      </c>
      <c r="X131" s="699">
        <f t="shared" si="49"/>
        <v>-101.00306617108862</v>
      </c>
      <c r="Y131" s="702">
        <f t="shared" si="50"/>
        <v>78.996933828911381</v>
      </c>
      <c r="AA131" s="174">
        <f t="shared" si="51"/>
        <v>1000000000</v>
      </c>
      <c r="AB131" s="174">
        <f t="shared" si="52"/>
        <v>50119320.25</v>
      </c>
      <c r="AD131" s="701">
        <f t="shared" si="53"/>
        <v>27.748540092993039</v>
      </c>
      <c r="AE131" s="702">
        <f t="shared" si="54"/>
        <v>-12.644500706923518</v>
      </c>
      <c r="AG131" s="701">
        <f t="shared" si="55"/>
        <v>10.197825696938366</v>
      </c>
      <c r="AH131" s="702">
        <f t="shared" si="56"/>
        <v>-78.177217309341358</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5">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1.0004640617769669</v>
      </c>
      <c r="N132" s="694">
        <f t="shared" si="41"/>
        <v>-3.0459231339417876E-2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12.403750786825052</v>
      </c>
      <c r="X132" s="699">
        <f t="shared" si="49"/>
        <v>-101.07762195499832</v>
      </c>
      <c r="Y132" s="702">
        <f t="shared" si="50"/>
        <v>78.922378045001679</v>
      </c>
      <c r="AA132" s="174">
        <f t="shared" si="51"/>
        <v>1000000000</v>
      </c>
      <c r="AB132" s="174">
        <f t="shared" si="52"/>
        <v>51293527.802499995</v>
      </c>
      <c r="AD132" s="701">
        <f t="shared" si="53"/>
        <v>27.745039109380095</v>
      </c>
      <c r="AE132" s="702">
        <f t="shared" si="54"/>
        <v>-12.548839429235841</v>
      </c>
      <c r="AG132" s="701">
        <f t="shared" si="55"/>
        <v>10.099915854263781</v>
      </c>
      <c r="AH132" s="702">
        <f t="shared" si="56"/>
        <v>-78.229169553451385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5">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1.0004748054995147</v>
      </c>
      <c r="N133" s="694">
        <f t="shared" si="41"/>
        <v>-3.0809664351160431E-2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12.302470708162712</v>
      </c>
      <c r="X133" s="699">
        <f t="shared" si="49"/>
        <v>-101.15271203709402</v>
      </c>
      <c r="Y133" s="702">
        <f t="shared" si="50"/>
        <v>78.84728796290598</v>
      </c>
      <c r="AA133" s="174">
        <f t="shared" si="51"/>
        <v>1000000000</v>
      </c>
      <c r="AB133" s="174">
        <f t="shared" si="52"/>
        <v>52481331.359999992</v>
      </c>
      <c r="AD133" s="701">
        <f t="shared" si="53"/>
        <v>27.741648637141783</v>
      </c>
      <c r="AE133" s="702">
        <f t="shared" si="54"/>
        <v>-12.455805590903084</v>
      </c>
      <c r="AG133" s="701">
        <f t="shared" si="55"/>
        <v>10.003095987438533</v>
      </c>
      <c r="AH133" s="702">
        <f t="shared" si="56"/>
        <v>-78.279039386598072</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5">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1.0004859239416357</v>
      </c>
      <c r="N134" s="694">
        <f t="shared" si="41"/>
        <v>-3.1168165001958029E-2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12.200057347547627</v>
      </c>
      <c r="X134" s="699">
        <f t="shared" si="49"/>
        <v>-101.2300683825828</v>
      </c>
      <c r="Y134" s="702">
        <f t="shared" si="50"/>
        <v>78.7699316174172</v>
      </c>
      <c r="AA134" s="174">
        <f t="shared" si="51"/>
        <v>1000000000</v>
      </c>
      <c r="AB134" s="174">
        <f t="shared" si="52"/>
        <v>53710576.5625</v>
      </c>
      <c r="AD134" s="701">
        <f t="shared" si="53"/>
        <v>27.7382893082208</v>
      </c>
      <c r="AE134" s="702">
        <f t="shared" si="54"/>
        <v>-12.363258288934896</v>
      </c>
      <c r="AG134" s="701">
        <f t="shared" si="55"/>
        <v>9.9051488902416107</v>
      </c>
      <c r="AH134" s="702">
        <f t="shared" si="56"/>
        <v>-78.327975097729691</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5">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1.0004971709660579</v>
      </c>
      <c r="N135" s="694">
        <f t="shared" si="41"/>
        <v>-3.1526657638705324E-2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12.098829684605994</v>
      </c>
      <c r="X135" s="699">
        <f t="shared" si="49"/>
        <v>-101.30794999995568</v>
      </c>
      <c r="Y135" s="702">
        <f t="shared" si="50"/>
        <v>78.692050000044318</v>
      </c>
      <c r="AA135" s="174">
        <f t="shared" si="51"/>
        <v>1000000000</v>
      </c>
      <c r="AB135" s="174">
        <f t="shared" si="52"/>
        <v>54954051.610000007</v>
      </c>
      <c r="AD135" s="701">
        <f t="shared" si="53"/>
        <v>27.735035595587508</v>
      </c>
      <c r="AE135" s="702">
        <f t="shared" si="54"/>
        <v>-12.273285010978471</v>
      </c>
      <c r="AG135" s="701">
        <f t="shared" si="55"/>
        <v>9.8082945564029771</v>
      </c>
      <c r="AH135" s="702">
        <f t="shared" si="56"/>
        <v>-78.374873542972367</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5">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1.0005088178527177</v>
      </c>
      <c r="N136" s="694">
        <f t="shared" si="41"/>
        <v>-3.189364199999873E-2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11.996400993093392</v>
      </c>
      <c r="X136" s="699">
        <f t="shared" si="49"/>
        <v>-101.3882054599397</v>
      </c>
      <c r="Y136" s="702">
        <f t="shared" si="50"/>
        <v>78.611794540060302</v>
      </c>
      <c r="AA136" s="174">
        <f t="shared" si="51"/>
        <v>1000000000</v>
      </c>
      <c r="AB136" s="174">
        <f t="shared" si="52"/>
        <v>56241750.302499995</v>
      </c>
      <c r="AD136" s="701">
        <f t="shared" si="53"/>
        <v>27.731809259713202</v>
      </c>
      <c r="AE136" s="702">
        <f t="shared" si="54"/>
        <v>-12.183757714892817</v>
      </c>
      <c r="AG136" s="701">
        <f t="shared" si="55"/>
        <v>9.7102514960195236</v>
      </c>
      <c r="AH136" s="702">
        <f t="shared" si="56"/>
        <v>-78.420843916215446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5">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1.0005205994822777</v>
      </c>
      <c r="N137" s="694">
        <f t="shared" si="41"/>
        <v>-3.2260617767866422E-2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11.895156927590806</v>
      </c>
      <c r="X137" s="699">
        <f t="shared" si="49"/>
        <v>-101.4689777562546</v>
      </c>
      <c r="Y137" s="702">
        <f t="shared" si="50"/>
        <v>78.531022243745397</v>
      </c>
      <c r="AA137" s="174">
        <f t="shared" si="51"/>
        <v>1000000000</v>
      </c>
      <c r="AB137" s="174">
        <f t="shared" si="52"/>
        <v>57544361.640000001</v>
      </c>
      <c r="AD137" s="701">
        <f t="shared" si="53"/>
        <v>27.728683969515181</v>
      </c>
      <c r="AE137" s="702">
        <f t="shared" si="54"/>
        <v>-12.096755050576695</v>
      </c>
      <c r="AG137" s="701">
        <f t="shared" si="55"/>
        <v>9.6133052968217321</v>
      </c>
      <c r="AH137" s="702">
        <f t="shared" si="56"/>
        <v>-78.464818805317918</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5">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1.0005327934480202</v>
      </c>
      <c r="N138" s="694">
        <f t="shared" si="41"/>
        <v>-3.2636084266939445E-2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11.792765011721098</v>
      </c>
      <c r="X138" s="699">
        <f t="shared" si="49"/>
        <v>-101.55213907244669</v>
      </c>
      <c r="Y138" s="702">
        <f t="shared" si="50"/>
        <v>78.447860927553307</v>
      </c>
      <c r="AA138" s="174">
        <f t="shared" si="51"/>
        <v>1000000000</v>
      </c>
      <c r="AB138" s="174">
        <f t="shared" si="52"/>
        <v>58892578.222499996</v>
      </c>
      <c r="AD138" s="701">
        <f t="shared" si="53"/>
        <v>27.725586200496068</v>
      </c>
      <c r="AE138" s="702">
        <f t="shared" si="54"/>
        <v>-12.010264864236431</v>
      </c>
      <c r="AG138" s="701">
        <f t="shared" si="55"/>
        <v>9.5152246254063542</v>
      </c>
      <c r="AH138" s="702">
        <f t="shared" si="56"/>
        <v>-78.507815721217142</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5">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1.0005451284605156</v>
      </c>
      <c r="N139" s="694">
        <f t="shared" si="41"/>
        <v>-3.3011541561220256E-2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11.691555421008456</v>
      </c>
      <c r="X139" s="699">
        <f t="shared" si="49"/>
        <v>-101.63580815063895</v>
      </c>
      <c r="Y139" s="702">
        <f t="shared" si="50"/>
        <v>78.364191849361049</v>
      </c>
      <c r="AA139" s="174">
        <f t="shared" si="51"/>
        <v>1000000000</v>
      </c>
      <c r="AB139" s="174">
        <f t="shared" si="52"/>
        <v>60256406.25</v>
      </c>
      <c r="AD139" s="701">
        <f t="shared" si="53"/>
        <v>27.722584976609252</v>
      </c>
      <c r="AE139" s="702">
        <f t="shared" si="54"/>
        <v>-11.926247871301943</v>
      </c>
      <c r="AG139" s="701">
        <f t="shared" si="55"/>
        <v>9.4182436266337906</v>
      </c>
      <c r="AH139" s="702">
        <f t="shared" si="56"/>
        <v>-78.548860386895626</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5">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1.000557895672771</v>
      </c>
      <c r="N140" s="694">
        <f t="shared" si="41"/>
        <v>-3.3395701016934023E-2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11.589192340726001</v>
      </c>
      <c r="X140" s="699">
        <f t="shared" si="49"/>
        <v>-101.72192764782213</v>
      </c>
      <c r="Y140" s="702">
        <f t="shared" si="50"/>
        <v>78.278072352177873</v>
      </c>
      <c r="AA140" s="174">
        <f t="shared" si="51"/>
        <v>1000000000</v>
      </c>
      <c r="AB140" s="174">
        <f t="shared" si="52"/>
        <v>61668038.409999996</v>
      </c>
      <c r="AD140" s="701">
        <f t="shared" si="53"/>
        <v>27.719609567454206</v>
      </c>
      <c r="AE140" s="702">
        <f t="shared" si="54"/>
        <v>-11.842757521691503</v>
      </c>
      <c r="AG140" s="701">
        <f t="shared" si="55"/>
        <v>9.3201261766071894</v>
      </c>
      <c r="AH140" s="702">
        <f t="shared" si="56"/>
        <v>-78.588904144140869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5">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1.0005708105420661</v>
      </c>
      <c r="N141" s="694">
        <f t="shared" ref="N141:N204" si="74">-ATAN(G141/z_RHP)</f>
        <v>-3.3779850612261249E-2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11.488009436130415</v>
      </c>
      <c r="X141" s="699">
        <f t="shared" ref="X141:X204" si="82">((L141+R141+N141+V141)-(J141+P141+T141))*radconv</f>
        <v>-101.80854581835254</v>
      </c>
      <c r="Y141" s="702">
        <f t="shared" ref="Y141:Y204" si="83">IF(X141&gt;0,X141,X141+180)</f>
        <v>78.191454181647458</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9.2231112046376609</v>
      </c>
      <c r="AH141" s="702">
        <f t="shared" ref="AH141:AH204" si="89">(L141+N141-(J141+V141))*radconv</f>
        <v>-78.627037966873701</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5">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1.0005841782609628</v>
      </c>
      <c r="N142" s="694">
        <f t="shared" si="74"/>
        <v>-3.4172913712181965E-2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11.385668836348914</v>
      </c>
      <c r="X142" s="699">
        <f t="shared" si="82"/>
        <v>-101.8976759689773</v>
      </c>
      <c r="Y142" s="702">
        <f t="shared" si="83"/>
        <v>78.102324031022704</v>
      </c>
      <c r="AA142" s="174">
        <f t="shared" si="84"/>
        <v>1000000000</v>
      </c>
      <c r="AB142" s="174">
        <f t="shared" si="85"/>
        <v>64574081.640000001</v>
      </c>
      <c r="AD142" s="701">
        <f t="shared" si="86"/>
        <v>27.713867413960568</v>
      </c>
      <c r="AE142" s="702">
        <f t="shared" si="87"/>
        <v>-11.681164586867085</v>
      </c>
      <c r="AG142" s="701">
        <f t="shared" si="88"/>
        <v>9.1249592166949753</v>
      </c>
      <c r="AH142" s="702">
        <f t="shared" si="89"/>
        <v>-78.664146717667194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5">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1.0005977005645703</v>
      </c>
      <c r="N143" s="694">
        <f t="shared" si="74"/>
        <v>-3.4565966248940157E-2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11.28450637519142</v>
      </c>
      <c r="X143" s="699">
        <f t="shared" si="82"/>
        <v>-101.98729568306823</v>
      </c>
      <c r="Y143" s="702">
        <f t="shared" si="83"/>
        <v>78.012704316931774</v>
      </c>
      <c r="AA143" s="174">
        <f t="shared" si="84"/>
        <v>1000000000</v>
      </c>
      <c r="AB143" s="174">
        <f t="shared" si="85"/>
        <v>66069260.890000001</v>
      </c>
      <c r="AD143" s="701">
        <f t="shared" si="86"/>
        <v>27.711096530871401</v>
      </c>
      <c r="AE143" s="702">
        <f t="shared" si="87"/>
        <v>-11.603012416854828</v>
      </c>
      <c r="AG143" s="701">
        <f t="shared" si="88"/>
        <v>9.0279124788795162</v>
      </c>
      <c r="AH143" s="702">
        <f t="shared" si="89"/>
        <v>-78.699387007244397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5">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1.0006116971798746</v>
      </c>
      <c r="N144" s="694">
        <f t="shared" si="74"/>
        <v>-3.4968143540881312E-2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11.182183349326607</v>
      </c>
      <c r="X144" s="699">
        <f t="shared" si="82"/>
        <v>-102.0794890555605</v>
      </c>
      <c r="Y144" s="702">
        <f t="shared" si="83"/>
        <v>77.920510944439499</v>
      </c>
      <c r="AA144" s="174">
        <f t="shared" si="84"/>
        <v>1000000000</v>
      </c>
      <c r="AB144" s="174">
        <f t="shared" si="85"/>
        <v>67616906.702500015</v>
      </c>
      <c r="AD144" s="701">
        <f t="shared" si="86"/>
        <v>27.708348321867511</v>
      </c>
      <c r="AE144" s="702">
        <f t="shared" si="87"/>
        <v>-11.525419539483751</v>
      </c>
      <c r="AG144" s="701">
        <f t="shared" si="88"/>
        <v>8.9297294917121874</v>
      </c>
      <c r="AH144" s="702">
        <f t="shared" si="89"/>
        <v>-78.733577017623219</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5">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1.0006187561783184</v>
      </c>
      <c r="N145" s="694">
        <f t="shared" si="74"/>
        <v>-3.51692279513596E-2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11.131464645069391</v>
      </c>
      <c r="X145" s="699">
        <f t="shared" si="82"/>
        <v>-102.1257668728433</v>
      </c>
      <c r="Y145" s="702">
        <f t="shared" si="83"/>
        <v>77.8742331271567</v>
      </c>
      <c r="AA145" s="174">
        <f t="shared" si="84"/>
        <v>1000000000</v>
      </c>
      <c r="AB145" s="174">
        <f t="shared" si="85"/>
        <v>68397448.575625017</v>
      </c>
      <c r="AD145" s="701">
        <f t="shared" si="86"/>
        <v>27.707006002818098</v>
      </c>
      <c r="AE145" s="702">
        <f t="shared" si="87"/>
        <v>-11.487499563390196</v>
      </c>
      <c r="AG145" s="701">
        <f t="shared" si="88"/>
        <v>8.8810549860595209</v>
      </c>
      <c r="AH145" s="702">
        <f t="shared" si="89"/>
        <v>-78.749982747673158</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5">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1.00062585563615</v>
      </c>
      <c r="N146" s="694">
        <f t="shared" si="74"/>
        <v>-3.5370309516573745E-2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11.081036501692353</v>
      </c>
      <c r="X146" s="699">
        <f t="shared" si="82"/>
        <v>-102.17216285477831</v>
      </c>
      <c r="Y146" s="702">
        <f t="shared" si="83"/>
        <v>77.827837145221693</v>
      </c>
      <c r="AA146" s="174">
        <f t="shared" si="84"/>
        <v>1000000000</v>
      </c>
      <c r="AB146" s="174">
        <f t="shared" si="85"/>
        <v>69182469.760000005</v>
      </c>
      <c r="AD146" s="701">
        <f t="shared" si="86"/>
        <v>27.70568423202554</v>
      </c>
      <c r="AE146" s="702">
        <f t="shared" si="87"/>
        <v>-11.450151033761774</v>
      </c>
      <c r="AG146" s="701">
        <f t="shared" si="88"/>
        <v>8.8326544683179868</v>
      </c>
      <c r="AH146" s="702">
        <f t="shared" si="89"/>
        <v>-78.76593926368767</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5">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1.0006331657734164</v>
      </c>
      <c r="N147" s="694">
        <f t="shared" si="74"/>
        <v>-3.557616818625247E-2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11.029707037513125</v>
      </c>
      <c r="X147" s="699">
        <f t="shared" si="82"/>
        <v>-102.21978218710233</v>
      </c>
      <c r="Y147" s="702">
        <f t="shared" si="83"/>
        <v>77.780217812897675</v>
      </c>
      <c r="AA147" s="174">
        <f t="shared" si="84"/>
        <v>1000000000</v>
      </c>
      <c r="AB147" s="174">
        <f t="shared" si="85"/>
        <v>69990792.602499992</v>
      </c>
      <c r="AD147" s="701">
        <f t="shared" si="86"/>
        <v>27.704351841715148</v>
      </c>
      <c r="AE147" s="702">
        <f t="shared" si="87"/>
        <v>-11.412496849063368</v>
      </c>
      <c r="AG147" s="701">
        <f t="shared" si="88"/>
        <v>8.7833841459517839</v>
      </c>
      <c r="AH147" s="702">
        <f t="shared" si="89"/>
        <v>-78.781817580697421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5">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1.000640518314686</v>
      </c>
      <c r="N148" s="694">
        <f t="shared" si="74"/>
        <v>-3.5782023839423797E-2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10.978674950447211</v>
      </c>
      <c r="X148" s="699">
        <f t="shared" si="82"/>
        <v>-102.26752139397281</v>
      </c>
      <c r="Y148" s="702">
        <f t="shared" si="83"/>
        <v>77.732478606027186</v>
      </c>
      <c r="AA148" s="174">
        <f t="shared" si="84"/>
        <v>1000000000</v>
      </c>
      <c r="AB148" s="174">
        <f t="shared" si="85"/>
        <v>70803810.25</v>
      </c>
      <c r="AD148" s="701">
        <f t="shared" si="86"/>
        <v>27.70304001580039</v>
      </c>
      <c r="AE148" s="702">
        <f t="shared" si="87"/>
        <v>-11.375421916279153</v>
      </c>
      <c r="AG148" s="701">
        <f t="shared" si="88"/>
        <v>8.7343948009338472</v>
      </c>
      <c r="AH148" s="702">
        <f t="shared" si="89"/>
        <v>-78.797240831763872</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5">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1.0006479132590247</v>
      </c>
      <c r="N149" s="694">
        <f t="shared" si="74"/>
        <v>-3.5987876458707498E-2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10.927936712864298</v>
      </c>
      <c r="X149" s="699">
        <f t="shared" si="82"/>
        <v>-102.3153785253232</v>
      </c>
      <c r="Y149" s="702">
        <f t="shared" si="83"/>
        <v>77.684621474676803</v>
      </c>
      <c r="AA149" s="174">
        <f t="shared" si="84"/>
        <v>1000000000</v>
      </c>
      <c r="AB149" s="174">
        <f t="shared" si="85"/>
        <v>71621522.702500015</v>
      </c>
      <c r="AD149" s="701">
        <f t="shared" si="86"/>
        <v>27.701748282677595</v>
      </c>
      <c r="AE149" s="702">
        <f t="shared" si="87"/>
        <v>-11.338916601306835</v>
      </c>
      <c r="AG149" s="701">
        <f t="shared" si="88"/>
        <v>8.6856833762668515</v>
      </c>
      <c r="AH149" s="702">
        <f t="shared" si="89"/>
        <v>-78.812216725162088</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5">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1.0006553506054916</v>
      </c>
      <c r="N150" s="694">
        <f t="shared" si="74"/>
        <v>-3.6193726026724889E-2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10.877488859418239</v>
      </c>
      <c r="X150" s="699">
        <f t="shared" si="82"/>
        <v>-102.3633516705942</v>
      </c>
      <c r="Y150" s="702">
        <f t="shared" si="83"/>
        <v>77.636648329405801</v>
      </c>
      <c r="AA150" s="174">
        <f t="shared" si="84"/>
        <v>1000000000</v>
      </c>
      <c r="AB150" s="174">
        <f t="shared" si="85"/>
        <v>72443929.959999993</v>
      </c>
      <c r="AD150" s="701">
        <f t="shared" si="86"/>
        <v>27.700476183810419</v>
      </c>
      <c r="AE150" s="702">
        <f t="shared" si="87"/>
        <v>-11.302971480571923</v>
      </c>
      <c r="AG150" s="701">
        <f t="shared" si="88"/>
        <v>8.6372468641652151</v>
      </c>
      <c r="AH150" s="702">
        <f t="shared" si="89"/>
        <v>-78.82675279813148</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5">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1.000663000664229</v>
      </c>
      <c r="N151" s="694">
        <f t="shared" si="74"/>
        <v>-3.6404245991870761E-2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10.826192447650227</v>
      </c>
      <c r="X151" s="699">
        <f t="shared" si="82"/>
        <v>-102.41253203350951</v>
      </c>
      <c r="Y151" s="702">
        <f t="shared" si="83"/>
        <v>77.587467966490493</v>
      </c>
      <c r="AA151" s="174">
        <f t="shared" si="84"/>
        <v>1000000000</v>
      </c>
      <c r="AB151" s="174">
        <f t="shared" si="85"/>
        <v>73289864.902500018</v>
      </c>
      <c r="AD151" s="701">
        <f t="shared" si="86"/>
        <v>27.699195046799154</v>
      </c>
      <c r="AE151" s="702">
        <f t="shared" si="87"/>
        <v>-11.266780078764606</v>
      </c>
      <c r="AG151" s="701">
        <f t="shared" si="88"/>
        <v>8.5879919200100581</v>
      </c>
      <c r="AH151" s="702">
        <f t="shared" si="89"/>
        <v>-78.841171663836292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5">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1.0006706950703264</v>
      </c>
      <c r="N152" s="694">
        <f t="shared" si="74"/>
        <v>-3.6614762728865477E-2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10.775192617256085</v>
      </c>
      <c r="X152" s="699">
        <f t="shared" si="82"/>
        <v>-102.46182981842796</v>
      </c>
      <c r="Y152" s="702">
        <f t="shared" si="83"/>
        <v>77.538170181572042</v>
      </c>
      <c r="AA152" s="174">
        <f t="shared" si="84"/>
        <v>1000000000</v>
      </c>
      <c r="AB152" s="174">
        <f t="shared" si="85"/>
        <v>74140710.25</v>
      </c>
      <c r="AD152" s="701">
        <f t="shared" si="86"/>
        <v>27.69793351563489</v>
      </c>
      <c r="AE152" s="702">
        <f t="shared" si="87"/>
        <v>-11.231155310406276</v>
      </c>
      <c r="AG152" s="701">
        <f t="shared" si="88"/>
        <v>8.539018303147504</v>
      </c>
      <c r="AH152" s="702">
        <f t="shared" si="89"/>
        <v>-78.855145929415258</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5">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1.0006784338227603</v>
      </c>
      <c r="N153" s="694">
        <f t="shared" si="74"/>
        <v>-3.6825276219124667E-2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10.724485854208181</v>
      </c>
      <c r="X153" s="699">
        <f t="shared" si="82"/>
        <v>-102.51124310365365</v>
      </c>
      <c r="Y153" s="702">
        <f t="shared" si="83"/>
        <v>77.488756896346345</v>
      </c>
      <c r="AA153" s="174">
        <f t="shared" si="84"/>
        <v>1000000000</v>
      </c>
      <c r="AB153" s="174">
        <f t="shared" si="85"/>
        <v>74996466.002499983</v>
      </c>
      <c r="AD153" s="701">
        <f t="shared" si="86"/>
        <v>27.69669113949675</v>
      </c>
      <c r="AE153" s="702">
        <f t="shared" si="87"/>
        <v>-11.196087742276855</v>
      </c>
      <c r="AG153" s="701">
        <f t="shared" si="88"/>
        <v>8.4903229493096166</v>
      </c>
      <c r="AH153" s="702">
        <f t="shared" si="89"/>
        <v>-78.868683132267535</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5">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1.0006862169205024</v>
      </c>
      <c r="N154" s="694">
        <f t="shared" si="74"/>
        <v>-3.7035786444065681E-2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10.674068706425535</v>
      </c>
      <c r="X154" s="699">
        <f t="shared" si="82"/>
        <v>-102.56077000659306</v>
      </c>
      <c r="Y154" s="702">
        <f t="shared" si="83"/>
        <v>77.43922999340694</v>
      </c>
      <c r="AA154" s="174">
        <f t="shared" si="84"/>
        <v>1000000000</v>
      </c>
      <c r="AB154" s="174">
        <f t="shared" si="85"/>
        <v>75857132.160000011</v>
      </c>
      <c r="AD154" s="701">
        <f t="shared" si="86"/>
        <v>27.69546748006168</v>
      </c>
      <c r="AE154" s="702">
        <f t="shared" si="87"/>
        <v>-11.161568147553679</v>
      </c>
      <c r="AG154" s="701">
        <f t="shared" si="88"/>
        <v>8.4419028436715244</v>
      </c>
      <c r="AH154" s="702">
        <f t="shared" si="89"/>
        <v>-78.881790642481121</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5">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1.0006942305161806</v>
      </c>
      <c r="N155" s="694">
        <f t="shared" si="74"/>
        <v>-3.7251285184767433E-2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10.622752453368545</v>
      </c>
      <c r="X155" s="699">
        <f t="shared" si="82"/>
        <v>-102.61158712742056</v>
      </c>
      <c r="Y155" s="702">
        <f t="shared" si="83"/>
        <v>77.388412872579437</v>
      </c>
      <c r="AA155" s="174">
        <f t="shared" si="84"/>
        <v>1000000000</v>
      </c>
      <c r="AB155" s="174">
        <f t="shared" si="85"/>
        <v>76743294.105625018</v>
      </c>
      <c r="AD155" s="701">
        <f t="shared" si="86"/>
        <v>27.694233746261183</v>
      </c>
      <c r="AE155" s="702">
        <f t="shared" si="87"/>
        <v>-11.126788171841484</v>
      </c>
      <c r="AG155" s="701">
        <f t="shared" si="88"/>
        <v>8.3926165511315585</v>
      </c>
      <c r="AH155" s="702">
        <f t="shared" si="89"/>
        <v>-78.894771402725539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5">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1.0007022905830603</v>
      </c>
      <c r="N156" s="694">
        <f t="shared" si="74"/>
        <v>-3.7466780464046001E-2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10.571732585365446</v>
      </c>
      <c r="X156" s="699">
        <f t="shared" si="82"/>
        <v>-102.66251944711408</v>
      </c>
      <c r="Y156" s="702">
        <f t="shared" si="83"/>
        <v>77.337480552885921</v>
      </c>
      <c r="AA156" s="174">
        <f t="shared" si="84"/>
        <v>1000000000</v>
      </c>
      <c r="AB156" s="174">
        <f t="shared" si="85"/>
        <v>77634602.102499992</v>
      </c>
      <c r="AD156" s="701">
        <f t="shared" si="86"/>
        <v>27.693018736120329</v>
      </c>
      <c r="AE156" s="702">
        <f t="shared" si="87"/>
        <v>-11.092563536633934</v>
      </c>
      <c r="AG156" s="701">
        <f t="shared" si="88"/>
        <v>8.3436124760771619</v>
      </c>
      <c r="AH156" s="702">
        <f t="shared" si="89"/>
        <v>-78.907316962958916</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5">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1.0007103971200184</v>
      </c>
      <c r="N157" s="694">
        <f t="shared" si="74"/>
        <v>-3.7682272261970857E-2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10.521005591261039</v>
      </c>
      <c r="X157" s="699">
        <f t="shared" si="82"/>
        <v>-102.71356506704672</v>
      </c>
      <c r="Y157" s="702">
        <f t="shared" si="83"/>
        <v>77.286434932953284</v>
      </c>
      <c r="AA157" s="174">
        <f t="shared" si="84"/>
        <v>1000000000</v>
      </c>
      <c r="AB157" s="174">
        <f t="shared" si="85"/>
        <v>78531056.15062499</v>
      </c>
      <c r="AD157" s="701">
        <f t="shared" si="86"/>
        <v>27.691822017449997</v>
      </c>
      <c r="AE157" s="702">
        <f t="shared" si="87"/>
        <v>-11.058884979345324</v>
      </c>
      <c r="AG157" s="701">
        <f t="shared" si="88"/>
        <v>8.2948875383787541</v>
      </c>
      <c r="AH157" s="702">
        <f t="shared" si="89"/>
        <v>-78.919434714836356</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5">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1.0007185501259261</v>
      </c>
      <c r="N158" s="694">
        <f t="shared" si="74"/>
        <v>-3.789776055861338E-2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10.47056802176095</v>
      </c>
      <c r="X158" s="699">
        <f t="shared" si="82"/>
        <v>-102.76472212741525</v>
      </c>
      <c r="Y158" s="702">
        <f t="shared" si="83"/>
        <v>77.235277872584746</v>
      </c>
      <c r="AA158" s="174">
        <f t="shared" si="84"/>
        <v>1000000000</v>
      </c>
      <c r="AB158" s="174">
        <f t="shared" si="85"/>
        <v>79432656.25</v>
      </c>
      <c r="AD158" s="701">
        <f t="shared" si="86"/>
        <v>27.690643170059587</v>
      </c>
      <c r="AE158" s="702">
        <f t="shared" si="87"/>
        <v>-11.025743440490219</v>
      </c>
      <c r="AG158" s="701">
        <f t="shared" si="88"/>
        <v>8.2464387077625148</v>
      </c>
      <c r="AH158" s="702">
        <f t="shared" si="89"/>
        <v>-78.931131885721797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5">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1.0007269400838936</v>
      </c>
      <c r="N159" s="694">
        <f t="shared" si="74"/>
        <v>-3.8118236807411658E-2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10.4192581347207</v>
      </c>
      <c r="X159" s="699">
        <f t="shared" si="82"/>
        <v>-102.8171776384672</v>
      </c>
      <c r="Y159" s="702">
        <f t="shared" si="83"/>
        <v>77.1828223615328</v>
      </c>
      <c r="AA159" s="174">
        <f t="shared" si="84"/>
        <v>1000000000</v>
      </c>
      <c r="AB159" s="174">
        <f t="shared" si="85"/>
        <v>80360467.359999999</v>
      </c>
      <c r="AD159" s="701">
        <f t="shared" si="86"/>
        <v>27.689455086648017</v>
      </c>
      <c r="AE159" s="702">
        <f t="shared" si="87"/>
        <v>-10.992380787064137</v>
      </c>
      <c r="AG159" s="701">
        <f t="shared" si="88"/>
        <v>8.197150268029354</v>
      </c>
      <c r="AH159" s="702">
        <f t="shared" si="89"/>
        <v>-78.942672074473805</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5">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1.0007353786861564</v>
      </c>
      <c r="N160" s="694">
        <f t="shared" si="74"/>
        <v>-3.8338709348638506E-2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10.368244122688461</v>
      </c>
      <c r="X160" s="699">
        <f t="shared" si="82"/>
        <v>-102.86974599388195</v>
      </c>
      <c r="Y160" s="702">
        <f t="shared" si="83"/>
        <v>77.130254006118051</v>
      </c>
      <c r="AA160" s="174">
        <f t="shared" si="84"/>
        <v>1000000000</v>
      </c>
      <c r="AB160" s="174">
        <f t="shared" si="85"/>
        <v>81293665.689999983</v>
      </c>
      <c r="AD160" s="701">
        <f t="shared" si="86"/>
        <v>27.688284858869451</v>
      </c>
      <c r="AE160" s="702">
        <f t="shared" si="87"/>
        <v>-10.959561759131644</v>
      </c>
      <c r="AG160" s="701">
        <f t="shared" si="88"/>
        <v>8.1481446123415076</v>
      </c>
      <c r="AH160" s="702">
        <f t="shared" si="89"/>
        <v>-78.95378677186207</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5">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1.0007438659314845</v>
      </c>
      <c r="N161" s="694">
        <f t="shared" si="74"/>
        <v>-3.8559178160954492E-2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10.317522482831453</v>
      </c>
      <c r="X161" s="699">
        <f t="shared" si="82"/>
        <v>-102.92242532156446</v>
      </c>
      <c r="Y161" s="702">
        <f t="shared" si="83"/>
        <v>77.077574678435539</v>
      </c>
      <c r="AA161" s="174">
        <f t="shared" si="84"/>
        <v>1000000000</v>
      </c>
      <c r="AB161" s="174">
        <f t="shared" si="85"/>
        <v>82232251.24000001</v>
      </c>
      <c r="AD161" s="701">
        <f t="shared" si="86"/>
        <v>27.687132073120708</v>
      </c>
      <c r="AE161" s="702">
        <f t="shared" si="87"/>
        <v>-10.927277277848349</v>
      </c>
      <c r="AG161" s="701">
        <f t="shared" si="88"/>
        <v>8.0994186501954459</v>
      </c>
      <c r="AH161" s="702">
        <f t="shared" si="89"/>
        <v>-78.964483214234818</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5">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1.00075240181864</v>
      </c>
      <c r="N162" s="694">
        <f t="shared" si="74"/>
        <v>-3.8779643223022291E-2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10.267089773964106</v>
      </c>
      <c r="X162" s="699">
        <f t="shared" si="82"/>
        <v>-102.97521378785842</v>
      </c>
      <c r="Y162" s="702">
        <f t="shared" si="83"/>
        <v>77.024786212141578</v>
      </c>
      <c r="AA162" s="174">
        <f t="shared" si="84"/>
        <v>1000000000</v>
      </c>
      <c r="AB162" s="174">
        <f t="shared" si="85"/>
        <v>83176224.010000005</v>
      </c>
      <c r="AD162" s="701">
        <f t="shared" si="86"/>
        <v>27.685996327291058</v>
      </c>
      <c r="AE162" s="702">
        <f t="shared" si="87"/>
        <v>-10.895518463747203</v>
      </c>
      <c r="AG162" s="701">
        <f t="shared" si="88"/>
        <v>8.0509693412355805</v>
      </c>
      <c r="AH162" s="702">
        <f t="shared" si="89"/>
        <v>-78.974768476983172</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5">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1.0007611854078793</v>
      </c>
      <c r="N163" s="694">
        <f t="shared" si="74"/>
        <v>-3.9005201839604653E-2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10.215786494095614</v>
      </c>
      <c r="X163" s="699">
        <f t="shared" si="82"/>
        <v>-103.02933387659843</v>
      </c>
      <c r="Y163" s="702">
        <f t="shared" si="83"/>
        <v>76.970666123401571</v>
      </c>
      <c r="AA163" s="174">
        <f t="shared" si="84"/>
        <v>1000000000</v>
      </c>
      <c r="AB163" s="174">
        <f t="shared" si="85"/>
        <v>84147598.24000001</v>
      </c>
      <c r="AD163" s="701">
        <f t="shared" si="86"/>
        <v>27.684851549179221</v>
      </c>
      <c r="AE163" s="702">
        <f t="shared" si="87"/>
        <v>-10.863560323547439</v>
      </c>
      <c r="AG163" s="701">
        <f t="shared" si="88"/>
        <v>8.0016830197004722</v>
      </c>
      <c r="AH163" s="702">
        <f t="shared" si="89"/>
        <v>-78.984873214127887</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5">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1.0007700199116394</v>
      </c>
      <c r="N164" s="694">
        <f t="shared" si="74"/>
        <v>-3.9230756485331891E-2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10.16477856447991</v>
      </c>
      <c r="X164" s="699">
        <f t="shared" si="82"/>
        <v>-103.08356444500555</v>
      </c>
      <c r="Y164" s="702">
        <f t="shared" si="83"/>
        <v>76.91643555499445</v>
      </c>
      <c r="AA164" s="174">
        <f t="shared" si="84"/>
        <v>1000000000</v>
      </c>
      <c r="AB164" s="174">
        <f t="shared" si="85"/>
        <v>85124611.689999983</v>
      </c>
      <c r="AD164" s="701">
        <f t="shared" si="86"/>
        <v>27.683723791713003</v>
      </c>
      <c r="AE164" s="702">
        <f t="shared" si="87"/>
        <v>-10.83213425127056</v>
      </c>
      <c r="AG164" s="701">
        <f t="shared" si="88"/>
        <v>7.9526800099126662</v>
      </c>
      <c r="AH164" s="702">
        <f t="shared" si="89"/>
        <v>-78.994562024761109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5">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1.0007789053285718</v>
      </c>
      <c r="N165" s="694">
        <f t="shared" si="74"/>
        <v>-3.9456307137359356E-2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10.114062490751973</v>
      </c>
      <c r="X165" s="699">
        <f t="shared" si="82"/>
        <v>-103.13790364798659</v>
      </c>
      <c r="Y165" s="702">
        <f t="shared" si="83"/>
        <v>76.86209635201341</v>
      </c>
      <c r="AA165" s="174">
        <f t="shared" si="84"/>
        <v>1000000000</v>
      </c>
      <c r="AB165" s="174">
        <f t="shared" si="85"/>
        <v>86107264.359999999</v>
      </c>
      <c r="AD165" s="701">
        <f t="shared" si="86"/>
        <v>27.682612659163194</v>
      </c>
      <c r="AE165" s="702">
        <f t="shared" si="87"/>
        <v>-10.801231350475557</v>
      </c>
      <c r="AG165" s="701">
        <f t="shared" si="88"/>
        <v>7.9039572118420249</v>
      </c>
      <c r="AH165" s="702">
        <f t="shared" si="89"/>
        <v>-79.003841991855083</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5">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1.0007878416573208</v>
      </c>
      <c r="N166" s="694">
        <f t="shared" si="74"/>
        <v>-3.9681853772844791E-2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10.063634839977556</v>
      </c>
      <c r="X166" s="699">
        <f t="shared" si="82"/>
        <v>-103.19234967847339</v>
      </c>
      <c r="Y166" s="702">
        <f t="shared" si="83"/>
        <v>76.807650321526609</v>
      </c>
      <c r="AA166" s="174">
        <f t="shared" si="84"/>
        <v>1000000000</v>
      </c>
      <c r="AB166" s="174">
        <f t="shared" si="85"/>
        <v>87095556.25</v>
      </c>
      <c r="AD166" s="701">
        <f t="shared" si="86"/>
        <v>27.681517766805015</v>
      </c>
      <c r="AE166" s="702">
        <f t="shared" si="87"/>
        <v>-10.770842920370754</v>
      </c>
      <c r="AG166" s="701">
        <f t="shared" si="88"/>
        <v>7.8555115758771841</v>
      </c>
      <c r="AH166" s="702">
        <f t="shared" si="89"/>
        <v>-79.012720040737221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5">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1.0007970410738574</v>
      </c>
      <c r="N167" s="694">
        <f t="shared" si="74"/>
        <v>-3.9912705703246537E-2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10.01231526488546</v>
      </c>
      <c r="X167" s="699">
        <f t="shared" si="82"/>
        <v>-103.24818617728602</v>
      </c>
      <c r="Y167" s="702">
        <f t="shared" si="83"/>
        <v>76.751813822713984</v>
      </c>
      <c r="AA167" s="174">
        <f t="shared" si="84"/>
        <v>1000000000</v>
      </c>
      <c r="AB167" s="174">
        <f t="shared" si="85"/>
        <v>88112952.922499999</v>
      </c>
      <c r="AD167" s="701">
        <f t="shared" si="86"/>
        <v>27.680413527915817</v>
      </c>
      <c r="AE167" s="702">
        <f t="shared" si="87"/>
        <v>-10.740263029981616</v>
      </c>
      <c r="AG167" s="701">
        <f t="shared" si="88"/>
        <v>7.8062094004994362</v>
      </c>
      <c r="AH167" s="702">
        <f t="shared" si="89"/>
        <v>-79.021397928780999</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5">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1.0008062938245017</v>
      </c>
      <c r="N168" s="694">
        <f t="shared" si="74"/>
        <v>-4.0143553377361613E-2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9.961290765213322</v>
      </c>
      <c r="X168" s="699">
        <f t="shared" si="82"/>
        <v>-103.30413087939692</v>
      </c>
      <c r="Y168" s="702">
        <f t="shared" si="83"/>
        <v>76.695869120603078</v>
      </c>
      <c r="AA168" s="174">
        <f t="shared" si="84"/>
        <v>1000000000</v>
      </c>
      <c r="AB168" s="174">
        <f t="shared" si="85"/>
        <v>89136257.440000013</v>
      </c>
      <c r="AD168" s="701">
        <f t="shared" si="86"/>
        <v>27.679325520991537</v>
      </c>
      <c r="AE168" s="702">
        <f t="shared" si="87"/>
        <v>-10.710204277203562</v>
      </c>
      <c r="AG168" s="701">
        <f t="shared" si="88"/>
        <v>7.7571912821162474</v>
      </c>
      <c r="AH168" s="702">
        <f t="shared" si="89"/>
        <v>-79.02966894712857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5">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1.0008155999077748</v>
      </c>
      <c r="N169" s="694">
        <f t="shared" si="74"/>
        <v>-4.0374396770704361E-2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9.9105578505242402</v>
      </c>
      <c r="X169" s="699">
        <f t="shared" si="82"/>
        <v>-103.36018196466438</v>
      </c>
      <c r="Y169" s="702">
        <f t="shared" si="83"/>
        <v>76.639818035335622</v>
      </c>
      <c r="AA169" s="174">
        <f t="shared" si="84"/>
        <v>1000000000</v>
      </c>
      <c r="AB169" s="174">
        <f t="shared" si="85"/>
        <v>90165469.80249998</v>
      </c>
      <c r="AD169" s="701">
        <f t="shared" si="86"/>
        <v>27.678253366979035</v>
      </c>
      <c r="AE169" s="702">
        <f t="shared" si="87"/>
        <v>-10.680657934829782</v>
      </c>
      <c r="AG169" s="701">
        <f t="shared" si="88"/>
        <v>7.7084541078158875</v>
      </c>
      <c r="AH169" s="702">
        <f t="shared" si="89"/>
        <v>-79.037540036667309</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5">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1.000824959322189</v>
      </c>
      <c r="N170" s="694">
        <f t="shared" si="74"/>
        <v>-4.0605235858791874E-2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9.8601130917020345</v>
      </c>
      <c r="X170" s="699">
        <f t="shared" si="82"/>
        <v>-103.4163376505975</v>
      </c>
      <c r="Y170" s="702">
        <f t="shared" si="83"/>
        <v>76.583662349402502</v>
      </c>
      <c r="AA170" s="174">
        <f t="shared" si="84"/>
        <v>1000000000</v>
      </c>
      <c r="AB170" s="174">
        <f t="shared" si="85"/>
        <v>91200590.00999999</v>
      </c>
      <c r="AD170" s="701">
        <f t="shared" si="86"/>
        <v>27.677196697378026</v>
      </c>
      <c r="AE170" s="702">
        <f t="shared" si="87"/>
        <v>-10.651615467917171</v>
      </c>
      <c r="AG170" s="701">
        <f t="shared" si="88"/>
        <v>7.6599948154462849</v>
      </c>
      <c r="AH170" s="702">
        <f t="shared" si="89"/>
        <v>-79.045017983653736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5">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1.0008345935205851</v>
      </c>
      <c r="N171" s="694">
        <f t="shared" si="74"/>
        <v>-4.084148573179288E-2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9.808779805495206</v>
      </c>
      <c r="X171" s="699">
        <f t="shared" si="82"/>
        <v>-103.47391718480544</v>
      </c>
      <c r="Y171" s="702">
        <f t="shared" si="83"/>
        <v>76.526082815194556</v>
      </c>
      <c r="AA171" s="174">
        <f t="shared" si="84"/>
        <v>1000000000</v>
      </c>
      <c r="AB171" s="174">
        <f t="shared" si="85"/>
        <v>92266110.52562499</v>
      </c>
      <c r="AD171" s="701">
        <f t="shared" si="86"/>
        <v>27.676130899002796</v>
      </c>
      <c r="AE171" s="702">
        <f t="shared" si="87"/>
        <v>-10.622404726328242</v>
      </c>
      <c r="AG171" s="701">
        <f t="shared" si="88"/>
        <v>7.6106833068156368</v>
      </c>
      <c r="AH171" s="702">
        <f t="shared" si="89"/>
        <v>-79.052271195456129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5">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1.0008442835784883</v>
      </c>
      <c r="N172" s="694">
        <f t="shared" si="74"/>
        <v>-4.1077731043291925E-2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9.757741276029666</v>
      </c>
      <c r="X172" s="699">
        <f t="shared" si="82"/>
        <v>-103.53160262361403</v>
      </c>
      <c r="Y172" s="702">
        <f t="shared" si="83"/>
        <v>76.468397376385965</v>
      </c>
      <c r="AA172" s="174">
        <f t="shared" si="84"/>
        <v>1000000000</v>
      </c>
      <c r="AB172" s="174">
        <f t="shared" si="85"/>
        <v>93337819.32249999</v>
      </c>
      <c r="AD172" s="701">
        <f t="shared" si="86"/>
        <v>27.675080571385415</v>
      </c>
      <c r="AE172" s="702">
        <f t="shared" si="87"/>
        <v>-10.593704282969103</v>
      </c>
      <c r="AG172" s="701">
        <f t="shared" si="88"/>
        <v>7.5616565386946153</v>
      </c>
      <c r="AH172" s="702">
        <f t="shared" si="89"/>
        <v>-79.059126508532898</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5">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1.0008540294942763</v>
      </c>
      <c r="N173" s="694">
        <f t="shared" si="74"/>
        <v>-4.1313971767051275E-2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9.7069940174520486</v>
      </c>
      <c r="X173" s="699">
        <f t="shared" si="82"/>
        <v>-103.58939217247416</v>
      </c>
      <c r="Y173" s="702">
        <f t="shared" si="83"/>
        <v>76.410607827525837</v>
      </c>
      <c r="AA173" s="174">
        <f t="shared" si="84"/>
        <v>1000000000</v>
      </c>
      <c r="AB173" s="174">
        <f t="shared" si="85"/>
        <v>94415716.40062499</v>
      </c>
      <c r="AD173" s="701">
        <f t="shared" si="86"/>
        <v>27.67404535157867</v>
      </c>
      <c r="AE173" s="702">
        <f t="shared" si="87"/>
        <v>-10.565505579995357</v>
      </c>
      <c r="AG173" s="701">
        <f t="shared" si="88"/>
        <v>7.5129113865033004</v>
      </c>
      <c r="AH173" s="702">
        <f t="shared" si="89"/>
        <v>-79.065590722342975</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5">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1.0008638312663174</v>
      </c>
      <c r="N174" s="694">
        <f t="shared" si="74"/>
        <v>-4.1550207876836324E-2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9.6565346051047012</v>
      </c>
      <c r="X174" s="699">
        <f t="shared" si="82"/>
        <v>-103.64728407408533</v>
      </c>
      <c r="Y174" s="702">
        <f t="shared" si="83"/>
        <v>76.352715925914666</v>
      </c>
      <c r="AA174" s="174">
        <f t="shared" si="84"/>
        <v>1000000000</v>
      </c>
      <c r="AB174" s="174">
        <f t="shared" si="85"/>
        <v>95499801.75999999</v>
      </c>
      <c r="AD174" s="701">
        <f t="shared" si="86"/>
        <v>27.673024886750209</v>
      </c>
      <c r="AE174" s="702">
        <f t="shared" si="87"/>
        <v>-10.537800248396527</v>
      </c>
      <c r="AG174" s="701">
        <f t="shared" si="88"/>
        <v>7.4644447767336173</v>
      </c>
      <c r="AH174" s="702">
        <f t="shared" si="89"/>
        <v>-79.071670484737837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5">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1.0008739154978556</v>
      </c>
      <c r="N175" s="694">
        <f t="shared" si="74"/>
        <v>-4.1791854035606417E-2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9.6052129058570088</v>
      </c>
      <c r="X175" s="699">
        <f t="shared" si="82"/>
        <v>-103.70660704085267</v>
      </c>
      <c r="Y175" s="702">
        <f t="shared" si="83"/>
        <v>76.293392959147326</v>
      </c>
      <c r="AA175" s="174">
        <f t="shared" si="84"/>
        <v>1000000000</v>
      </c>
      <c r="AB175" s="174">
        <f t="shared" si="85"/>
        <v>96615138.48999998</v>
      </c>
      <c r="AD175" s="701">
        <f t="shared" si="86"/>
        <v>27.671995940059517</v>
      </c>
      <c r="AE175" s="702">
        <f t="shared" si="87"/>
        <v>-10.50996180479231</v>
      </c>
      <c r="AG175" s="701">
        <f t="shared" si="88"/>
        <v>7.4151522874779001</v>
      </c>
      <c r="AH175" s="702">
        <f t="shared" si="89"/>
        <v>-79.077498609028154</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5">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1.0008840581721106</v>
      </c>
      <c r="N176" s="694">
        <f t="shared" si="74"/>
        <v>-4.2033495310939577E-2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9.5541853406092745</v>
      </c>
      <c r="X176" s="699">
        <f t="shared" si="82"/>
        <v>-103.76603350181897</v>
      </c>
      <c r="Y176" s="702">
        <f t="shared" si="83"/>
        <v>76.233966498181033</v>
      </c>
      <c r="AA176" s="174">
        <f t="shared" si="84"/>
        <v>1000000000</v>
      </c>
      <c r="AB176" s="174">
        <f t="shared" si="85"/>
        <v>97736950.440000013</v>
      </c>
      <c r="AD176" s="701">
        <f t="shared" si="86"/>
        <v>27.670981716633172</v>
      </c>
      <c r="AE176" s="702">
        <f t="shared" si="87"/>
        <v>-10.482622477335614</v>
      </c>
      <c r="AG176" s="701">
        <f t="shared" si="88"/>
        <v>7.3661449092967253</v>
      </c>
      <c r="AH176" s="702">
        <f t="shared" si="89"/>
        <v>-79.0829380595071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5">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1.0008942592873058</v>
      </c>
      <c r="N177" s="694">
        <f t="shared" si="74"/>
        <v>-4.227513167476557E-2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9.5034484333429834</v>
      </c>
      <c r="X177" s="699">
        <f t="shared" si="82"/>
        <v>-103.82556169091666</v>
      </c>
      <c r="Y177" s="702">
        <f t="shared" si="83"/>
        <v>76.174438309083342</v>
      </c>
      <c r="AA177" s="174">
        <f t="shared" si="84"/>
        <v>1000000000</v>
      </c>
      <c r="AB177" s="174">
        <f t="shared" si="85"/>
        <v>98865237.610000014</v>
      </c>
      <c r="AD177" s="701">
        <f t="shared" si="86"/>
        <v>27.669981869525728</v>
      </c>
      <c r="AE177" s="702">
        <f t="shared" si="87"/>
        <v>-10.455773888516783</v>
      </c>
      <c r="AG177" s="701">
        <f t="shared" si="88"/>
        <v>7.3174195112863449</v>
      </c>
      <c r="AH177" s="702">
        <f t="shared" si="89"/>
        <v>-79.087995486218773</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5">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1.0009045188416543</v>
      </c>
      <c r="N178" s="694">
        <f t="shared" si="74"/>
        <v>-4.2516763099017606E-2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9.4529987689881771</v>
      </c>
      <c r="X178" s="699">
        <f t="shared" si="82"/>
        <v>-103.8851898788312</v>
      </c>
      <c r="Y178" s="702">
        <f t="shared" si="83"/>
        <v>76.114810121168802</v>
      </c>
      <c r="AA178" s="174">
        <f t="shared" si="84"/>
        <v>1000000000</v>
      </c>
      <c r="AB178" s="174">
        <f t="shared" si="85"/>
        <v>100000000</v>
      </c>
      <c r="AD178" s="701">
        <f t="shared" si="86"/>
        <v>27.668996061465304</v>
      </c>
      <c r="AE178" s="702">
        <f t="shared" si="87"/>
        <v>-10.429407845867878</v>
      </c>
      <c r="AG178" s="701">
        <f t="shared" si="88"/>
        <v>7.2689730138084325</v>
      </c>
      <c r="AH178" s="702">
        <f t="shared" si="89"/>
        <v>-79.092677390890927</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5">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1.0009150823459958</v>
      </c>
      <c r="N179" s="694">
        <f t="shared" si="74"/>
        <v>-4.2764122284466077E-2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9.4016461875725383</v>
      </c>
      <c r="X179" s="699">
        <f t="shared" si="82"/>
        <v>-103.94633461316745</v>
      </c>
      <c r="Y179" s="702">
        <f t="shared" si="83"/>
        <v>76.053665386832549</v>
      </c>
      <c r="AA179" s="174">
        <f t="shared" si="84"/>
        <v>1000000000</v>
      </c>
      <c r="AB179" s="174">
        <f t="shared" si="85"/>
        <v>101168393.0625</v>
      </c>
      <c r="AD179" s="701">
        <f t="shared" si="86"/>
        <v>27.668001064604553</v>
      </c>
      <c r="AE179" s="702">
        <f t="shared" si="87"/>
        <v>-10.402907737611438</v>
      </c>
      <c r="AG179" s="701">
        <f t="shared" si="88"/>
        <v>7.2196628248338754</v>
      </c>
      <c r="AH179" s="702">
        <f t="shared" si="89"/>
        <v>-79.097088022340898</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5">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1.0009257070916</v>
      </c>
      <c r="N180" s="694">
        <f t="shared" si="74"/>
        <v>-4.3011476233653444E-2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9.3505875875207494</v>
      </c>
      <c r="X180" s="699">
        <f t="shared" si="82"/>
        <v>-104.00758059399044</v>
      </c>
      <c r="Y180" s="702">
        <f t="shared" si="83"/>
        <v>75.99241940600956</v>
      </c>
      <c r="AA180" s="174">
        <f t="shared" si="84"/>
        <v>1000000000</v>
      </c>
      <c r="AB180" s="174">
        <f t="shared" si="85"/>
        <v>102343572.25</v>
      </c>
      <c r="AD180" s="701">
        <f t="shared" si="86"/>
        <v>27.667020095240446</v>
      </c>
      <c r="AE180" s="702">
        <f t="shared" si="87"/>
        <v>-10.376896541925834</v>
      </c>
      <c r="AG180" s="701">
        <f t="shared" si="88"/>
        <v>7.1706385559826602</v>
      </c>
      <c r="AH180" s="702">
        <f t="shared" si="89"/>
        <v>-79.101118432061767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5">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1.0009363930765165</v>
      </c>
      <c r="N181" s="694">
        <f t="shared" si="74"/>
        <v>-4.3258824916478728E-2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9.2998194942098991</v>
      </c>
      <c r="X181" s="699">
        <f t="shared" si="82"/>
        <v>-104.06892607956577</v>
      </c>
      <c r="Y181" s="702">
        <f t="shared" si="83"/>
        <v>75.93107392043423</v>
      </c>
      <c r="AA181" s="174">
        <f t="shared" si="84"/>
        <v>1000000000</v>
      </c>
      <c r="AB181" s="174">
        <f t="shared" si="85"/>
        <v>103525537.5625</v>
      </c>
      <c r="AD181" s="701">
        <f t="shared" si="86"/>
        <v>27.666052820969774</v>
      </c>
      <c r="AE181" s="702">
        <f t="shared" si="87"/>
        <v>-10.351366039422345</v>
      </c>
      <c r="AG181" s="701">
        <f t="shared" si="88"/>
        <v>7.1218970630283129</v>
      </c>
      <c r="AH181" s="702">
        <f t="shared" si="89"/>
        <v>-79.104775139004886</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5">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1.000947140298784</v>
      </c>
      <c r="N182" s="694">
        <f t="shared" si="74"/>
        <v>-4.350616830284483E-2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9.2493384939159533</v>
      </c>
      <c r="X182" s="699">
        <f t="shared" si="82"/>
        <v>-104.13036936451782</v>
      </c>
      <c r="Y182" s="702">
        <f t="shared" si="83"/>
        <v>75.869630635482181</v>
      </c>
      <c r="AA182" s="174">
        <f t="shared" si="84"/>
        <v>1000000000</v>
      </c>
      <c r="AB182" s="174">
        <f t="shared" si="85"/>
        <v>104714289</v>
      </c>
      <c r="AD182" s="701">
        <f t="shared" si="86"/>
        <v>27.665098918668782</v>
      </c>
      <c r="AE182" s="702">
        <f t="shared" si="87"/>
        <v>-10.326308192574253</v>
      </c>
      <c r="AG182" s="701">
        <f t="shared" si="88"/>
        <v>7.0734352533532476</v>
      </c>
      <c r="AH182" s="702">
        <f t="shared" si="89"/>
        <v>-79.108064516585131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5">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1.0009581813686976</v>
      </c>
      <c r="N183" s="694">
        <f t="shared" si="74"/>
        <v>-4.3758813987745018E-2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9.1980671232343738</v>
      </c>
      <c r="X183" s="699">
        <f t="shared" si="82"/>
        <v>-104.19323040860581</v>
      </c>
      <c r="Y183" s="702">
        <f t="shared" si="83"/>
        <v>75.806769591394186</v>
      </c>
      <c r="AA183" s="174">
        <f t="shared" si="84"/>
        <v>1000000000</v>
      </c>
      <c r="AB183" s="174">
        <f t="shared" si="85"/>
        <v>105935556.25</v>
      </c>
      <c r="AD183" s="701">
        <f t="shared" si="86"/>
        <v>27.664138025229764</v>
      </c>
      <c r="AE183" s="702">
        <f t="shared" si="87"/>
        <v>-10.301192429852707</v>
      </c>
      <c r="AG183" s="701">
        <f t="shared" si="88"/>
        <v>7.0242190781060856</v>
      </c>
      <c r="AH183" s="702">
        <f t="shared" si="89"/>
        <v>-79.111051723020296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5">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1.0009692863282023</v>
      </c>
      <c r="N184" s="694">
        <f t="shared" si="74"/>
        <v>-4.4011454082964307E-2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9.1470882875588639</v>
      </c>
      <c r="X184" s="699">
        <f t="shared" si="82"/>
        <v>-104.25619000960889</v>
      </c>
      <c r="Y184" s="702">
        <f t="shared" si="83"/>
        <v>75.743809990391114</v>
      </c>
      <c r="AA184" s="174">
        <f t="shared" si="84"/>
        <v>1000000000</v>
      </c>
      <c r="AB184" s="174">
        <f t="shared" si="85"/>
        <v>107163904</v>
      </c>
      <c r="AD184" s="701">
        <f t="shared" si="86"/>
        <v>27.66319043060237</v>
      </c>
      <c r="AE184" s="702">
        <f t="shared" si="87"/>
        <v>-10.276553432795181</v>
      </c>
      <c r="AG184" s="701">
        <f t="shared" si="88"/>
        <v>6.9752883556312959</v>
      </c>
      <c r="AH184" s="702">
        <f t="shared" si="89"/>
        <v>-79.11366866106718</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5">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1.0009804551751713</v>
      </c>
      <c r="N185" s="694">
        <f t="shared" si="74"/>
        <v>-4.4264088556438763E-2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9.0963985363774533</v>
      </c>
      <c r="X185" s="699">
        <f t="shared" si="82"/>
        <v>-104.31924646148489</v>
      </c>
      <c r="Y185" s="702">
        <f t="shared" si="83"/>
        <v>75.680753538515106</v>
      </c>
      <c r="AA185" s="174">
        <f t="shared" si="84"/>
        <v>1000000000</v>
      </c>
      <c r="AB185" s="174">
        <f t="shared" si="85"/>
        <v>108399332.25</v>
      </c>
      <c r="AD185" s="701">
        <f t="shared" si="86"/>
        <v>27.66225581844099</v>
      </c>
      <c r="AE185" s="702">
        <f t="shared" si="87"/>
        <v>-10.252383191228965</v>
      </c>
      <c r="AG185" s="701">
        <f t="shared" si="88"/>
        <v>6.9266399495778108</v>
      </c>
      <c r="AH185" s="702">
        <f t="shared" si="89"/>
        <v>-79.115921678733912</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5">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1.0009916879074663</v>
      </c>
      <c r="N186" s="694">
        <f t="shared" si="74"/>
        <v>-4.4516717376108718E-2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9.0459944794995923</v>
      </c>
      <c r="X186" s="699">
        <f t="shared" si="82"/>
        <v>-104.38239809382453</v>
      </c>
      <c r="Y186" s="702">
        <f t="shared" si="83"/>
        <v>75.617601906175466</v>
      </c>
      <c r="AA186" s="174">
        <f t="shared" si="84"/>
        <v>1000000000</v>
      </c>
      <c r="AB186" s="174">
        <f t="shared" si="85"/>
        <v>109641841</v>
      </c>
      <c r="AD186" s="701">
        <f t="shared" si="86"/>
        <v>27.661333881222575</v>
      </c>
      <c r="AE186" s="702">
        <f t="shared" si="87"/>
        <v>-10.228673872122551</v>
      </c>
      <c r="AG186" s="701">
        <f t="shared" si="88"/>
        <v>6.8782707750814334</v>
      </c>
      <c r="AH186" s="702">
        <f t="shared" si="89"/>
        <v>-79.117816982486829</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5">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1.0010032701370934</v>
      </c>
      <c r="N187" s="694">
        <f t="shared" si="74"/>
        <v>-4.4775709086594111E-2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8.9946128337860394</v>
      </c>
      <c r="X187" s="699">
        <f t="shared" si="82"/>
        <v>-104.44723888197503</v>
      </c>
      <c r="Y187" s="702">
        <f t="shared" si="83"/>
        <v>75.552761118024975</v>
      </c>
      <c r="AA187" s="174">
        <f t="shared" si="84"/>
        <v>1000000000</v>
      </c>
      <c r="AB187" s="174">
        <f t="shared" si="85"/>
        <v>110923024</v>
      </c>
      <c r="AD187" s="701">
        <f t="shared" si="86"/>
        <v>27.660401547216395</v>
      </c>
      <c r="AE187" s="702">
        <f t="shared" si="87"/>
        <v>-10.204837319278994</v>
      </c>
      <c r="AG187" s="701">
        <f t="shared" si="88"/>
        <v>6.8289689127519848</v>
      </c>
      <c r="AH187" s="702">
        <f t="shared" si="89"/>
        <v>-79.119395064747948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5">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1.0010149195091662</v>
      </c>
      <c r="N188" s="694">
        <f t="shared" si="74"/>
        <v>-4.5034694786387469E-2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8.9435244407736256</v>
      </c>
      <c r="X188" s="699">
        <f t="shared" si="82"/>
        <v>-104.51217626536985</v>
      </c>
      <c r="Y188" s="702">
        <f t="shared" si="83"/>
        <v>75.487823734630155</v>
      </c>
      <c r="AA188" s="174">
        <f t="shared" si="84"/>
        <v>1000000000</v>
      </c>
      <c r="AB188" s="174">
        <f t="shared" si="85"/>
        <v>112211649</v>
      </c>
      <c r="AD188" s="701">
        <f t="shared" si="86"/>
        <v>27.659481907874973</v>
      </c>
      <c r="AE188" s="702">
        <f t="shared" si="87"/>
        <v>-10.181469098485682</v>
      </c>
      <c r="AG188" s="701">
        <f t="shared" si="88"/>
        <v>6.7799541331103459</v>
      </c>
      <c r="AH188" s="702">
        <f t="shared" si="89"/>
        <v>-79.120609941380494</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5">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1.0010266360213407</v>
      </c>
      <c r="N189" s="694">
        <f t="shared" si="74"/>
        <v>-4.5293674440957055E-2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8.8927258357159715</v>
      </c>
      <c r="X189" s="699">
        <f t="shared" si="82"/>
        <v>-104.57720855471678</v>
      </c>
      <c r="Y189" s="702">
        <f t="shared" si="83"/>
        <v>75.422791445283224</v>
      </c>
      <c r="AA189" s="174">
        <f t="shared" si="84"/>
        <v>1000000000</v>
      </c>
      <c r="AB189" s="174">
        <f t="shared" si="85"/>
        <v>113507716</v>
      </c>
      <c r="AD189" s="701">
        <f t="shared" si="86"/>
        <v>27.658574658819091</v>
      </c>
      <c r="AE189" s="702">
        <f t="shared" si="87"/>
        <v>-10.158561317743132</v>
      </c>
      <c r="AG189" s="701">
        <f t="shared" si="88"/>
        <v>6.7312232733842228</v>
      </c>
      <c r="AH189" s="702">
        <f t="shared" si="89"/>
        <v>-79.121467862222175</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5">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1.0010384196712594</v>
      </c>
      <c r="N190" s="694">
        <f t="shared" si="74"/>
        <v>-4.5552648015775972E-2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8.8422136145027892</v>
      </c>
      <c r="X190" s="699">
        <f t="shared" si="82"/>
        <v>-104.64233409614552</v>
      </c>
      <c r="Y190" s="702">
        <f t="shared" si="83"/>
        <v>75.357665903854482</v>
      </c>
      <c r="AA190" s="174">
        <f t="shared" si="84"/>
        <v>1000000000</v>
      </c>
      <c r="AB190" s="174">
        <f t="shared" si="85"/>
        <v>114811225</v>
      </c>
      <c r="AD190" s="701">
        <f t="shared" si="86"/>
        <v>27.657679504180528</v>
      </c>
      <c r="AE190" s="702">
        <f t="shared" si="87"/>
        <v>-10.136106260111969</v>
      </c>
      <c r="AG190" s="701">
        <f t="shared" si="88"/>
        <v>6.6827732229137462</v>
      </c>
      <c r="AH190" s="702">
        <f t="shared" si="89"/>
        <v>-79.121974937434416</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5">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1.0010505627150168</v>
      </c>
      <c r="N191" s="694">
        <f t="shared" si="74"/>
        <v>-4.5817983451313209E-2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8.7907528259212757</v>
      </c>
      <c r="X191" s="699">
        <f t="shared" si="82"/>
        <v>-104.7091561120745</v>
      </c>
      <c r="Y191" s="702">
        <f t="shared" si="83"/>
        <v>75.290843887925504</v>
      </c>
      <c r="AA191" s="174">
        <f t="shared" si="84"/>
        <v>1000000000</v>
      </c>
      <c r="AB191" s="174">
        <f t="shared" si="85"/>
        <v>116154506.25</v>
      </c>
      <c r="AD191" s="701">
        <f t="shared" si="86"/>
        <v>27.656774580991183</v>
      </c>
      <c r="AE191" s="702">
        <f t="shared" si="87"/>
        <v>-10.113560697308673</v>
      </c>
      <c r="AG191" s="701">
        <f t="shared" si="88"/>
        <v>6.6334198304860958</v>
      </c>
      <c r="AH191" s="702">
        <f t="shared" si="89"/>
        <v>-79.122136835453261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5">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1.0010627762339173</v>
      </c>
      <c r="N192" s="694">
        <f t="shared" si="74"/>
        <v>-4.6083312431052209E-2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8.7395856328684811</v>
      </c>
      <c r="X192" s="699">
        <f t="shared" si="82"/>
        <v>-104.77607261757771</v>
      </c>
      <c r="Y192" s="702">
        <f t="shared" si="83"/>
        <v>75.223927382422289</v>
      </c>
      <c r="AA192" s="174">
        <f t="shared" si="84"/>
        <v>1000000000</v>
      </c>
      <c r="AB192" s="174">
        <f t="shared" si="85"/>
        <v>117505600</v>
      </c>
      <c r="AD192" s="701">
        <f t="shared" si="86"/>
        <v>27.655881751686668</v>
      </c>
      <c r="AE192" s="702">
        <f t="shared" si="87"/>
        <v>-10.09147453781631</v>
      </c>
      <c r="AG192" s="701">
        <f t="shared" si="88"/>
        <v>6.5843547789402779</v>
      </c>
      <c r="AH192" s="702">
        <f t="shared" si="89"/>
        <v>-79.121942974515505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5">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1.0010750602253817</v>
      </c>
      <c r="N193" s="694">
        <f t="shared" si="74"/>
        <v>-4.6348634917871903E-2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8.688708562824619</v>
      </c>
      <c r="X193" s="699">
        <f t="shared" si="82"/>
        <v>-104.84308194349286</v>
      </c>
      <c r="Y193" s="702">
        <f t="shared" si="83"/>
        <v>75.156918056507138</v>
      </c>
      <c r="AA193" s="174">
        <f t="shared" si="84"/>
        <v>1000000000</v>
      </c>
      <c r="AB193" s="174">
        <f t="shared" si="85"/>
        <v>118864506.25</v>
      </c>
      <c r="AD193" s="701">
        <f t="shared" si="86"/>
        <v>27.655000724011774</v>
      </c>
      <c r="AE193" s="702">
        <f t="shared" si="87"/>
        <v>-10.069840022121074</v>
      </c>
      <c r="AG193" s="701">
        <f t="shared" si="88"/>
        <v>6.5355748853689004</v>
      </c>
      <c r="AH193" s="702">
        <f t="shared" si="89"/>
        <v>-79.121399495496249</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5">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1.0010874146868158</v>
      </c>
      <c r="N194" s="694">
        <f t="shared" si="74"/>
        <v>-4.6613950874656709E-2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8.6381182040711124</v>
      </c>
      <c r="X194" s="699">
        <f t="shared" si="82"/>
        <v>-104.91018245576269</v>
      </c>
      <c r="Y194" s="702">
        <f t="shared" si="83"/>
        <v>75.089817544237306</v>
      </c>
      <c r="AA194" s="174">
        <f t="shared" si="84"/>
        <v>1000000000</v>
      </c>
      <c r="AB194" s="174">
        <f t="shared" si="85"/>
        <v>120231225</v>
      </c>
      <c r="AD194" s="701">
        <f t="shared" si="86"/>
        <v>27.654131213899259</v>
      </c>
      <c r="AE194" s="702">
        <f t="shared" si="87"/>
        <v>-10.048649563236371</v>
      </c>
      <c r="AG194" s="701">
        <f t="shared" si="88"/>
        <v>6.4870770194642002</v>
      </c>
      <c r="AH194" s="702">
        <f t="shared" si="89"/>
        <v>-79.120512401805982</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5">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1.0011000888329356</v>
      </c>
      <c r="N195" s="694">
        <f t="shared" si="74"/>
        <v>-4.6884566384849613E-2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8.5868079318199371</v>
      </c>
      <c r="X195" s="699">
        <f t="shared" si="82"/>
        <v>-104.97871725945792</v>
      </c>
      <c r="Y195" s="702">
        <f t="shared" si="83"/>
        <v>75.021282740542077</v>
      </c>
      <c r="AA195" s="174">
        <f t="shared" si="84"/>
        <v>1000000000</v>
      </c>
      <c r="AB195" s="174">
        <f t="shared" si="85"/>
        <v>121633326.5625</v>
      </c>
      <c r="AD195" s="701">
        <f t="shared" si="86"/>
        <v>27.653255892628511</v>
      </c>
      <c r="AE195" s="702">
        <f t="shared" si="87"/>
        <v>-10.027485069129687</v>
      </c>
      <c r="AG195" s="701">
        <f t="shared" si="88"/>
        <v>6.4378965484285313</v>
      </c>
      <c r="AH195" s="702">
        <f t="shared" si="89"/>
        <v>-79.119259661083575</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5">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1.0011128362905126</v>
      </c>
      <c r="N196" s="694">
        <f t="shared" si="74"/>
        <v>-4.715517502320931E-2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8.5357889710755117</v>
      </c>
      <c r="X196" s="699">
        <f t="shared" si="82"/>
        <v>-105.04734360692623</v>
      </c>
      <c r="Y196" s="702">
        <f t="shared" si="83"/>
        <v>74.952656393073767</v>
      </c>
      <c r="AA196" s="174">
        <f t="shared" si="84"/>
        <v>1000000000</v>
      </c>
      <c r="AB196" s="174">
        <f t="shared" si="85"/>
        <v>123043556.25</v>
      </c>
      <c r="AD196" s="701">
        <f t="shared" si="86"/>
        <v>27.65239198209207</v>
      </c>
      <c r="AE196" s="702">
        <f t="shared" si="87"/>
        <v>-10.006767154898537</v>
      </c>
      <c r="AG196" s="701">
        <f t="shared" si="88"/>
        <v>6.3890030825672381</v>
      </c>
      <c r="AH196" s="702">
        <f t="shared" si="89"/>
        <v>-79.117661619930814</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5">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1.0011256570567468</v>
      </c>
      <c r="N197" s="694">
        <f t="shared" si="74"/>
        <v>-4.7425776750366258E-2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8.4850578878033289</v>
      </c>
      <c r="X197" s="699">
        <f t="shared" si="82"/>
        <v>-105.11605987113282</v>
      </c>
      <c r="Y197" s="702">
        <f t="shared" si="83"/>
        <v>74.883940128867181</v>
      </c>
      <c r="AA197" s="174">
        <f t="shared" si="84"/>
        <v>1000000000</v>
      </c>
      <c r="AB197" s="174">
        <f t="shared" si="85"/>
        <v>124461914.0625</v>
      </c>
      <c r="AD197" s="701">
        <f t="shared" si="86"/>
        <v>27.651539205439256</v>
      </c>
      <c r="AE197" s="702">
        <f t="shared" si="87"/>
        <v>-9.986488293821921</v>
      </c>
      <c r="AG197" s="701">
        <f t="shared" si="88"/>
        <v>6.3403934618319973</v>
      </c>
      <c r="AH197" s="702">
        <f t="shared" si="89"/>
        <v>-79.115724231464114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5">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1.0011385511288216</v>
      </c>
      <c r="N198" s="694">
        <f t="shared" si="74"/>
        <v>-4.7696371526956959E-2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8.4346113078612071</v>
      </c>
      <c r="X198" s="699">
        <f t="shared" si="82"/>
        <v>-105.18486445920463</v>
      </c>
      <c r="Y198" s="702">
        <f t="shared" si="83"/>
        <v>74.815135540795367</v>
      </c>
      <c r="AA198" s="174">
        <f t="shared" si="84"/>
        <v>1000000000</v>
      </c>
      <c r="AB198" s="174">
        <f t="shared" si="85"/>
        <v>125888400</v>
      </c>
      <c r="AD198" s="701">
        <f t="shared" si="86"/>
        <v>27.650697293556576</v>
      </c>
      <c r="AE198" s="702">
        <f t="shared" si="87"/>
        <v>-9.9666411261759524</v>
      </c>
      <c r="AG198" s="701">
        <f t="shared" si="88"/>
        <v>6.2920645783147213</v>
      </c>
      <c r="AH198" s="702">
        <f t="shared" si="89"/>
        <v>-79.113453315916047</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5">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1.0011518755047752</v>
      </c>
      <c r="N199" s="694">
        <f t="shared" si="74"/>
        <v>-4.7974387114701318E-2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8.383072760610851</v>
      </c>
      <c r="X199" s="699">
        <f t="shared" si="82"/>
        <v>-105.25564815564027</v>
      </c>
      <c r="Y199" s="702">
        <f t="shared" si="83"/>
        <v>74.744351844359727</v>
      </c>
      <c r="AA199" s="174">
        <f t="shared" si="84"/>
        <v>1000000000</v>
      </c>
      <c r="AB199" s="174">
        <f t="shared" si="85"/>
        <v>127362510.25</v>
      </c>
      <c r="AD199" s="701">
        <f t="shared" si="86"/>
        <v>27.649843311657616</v>
      </c>
      <c r="AE199" s="702">
        <f t="shared" si="87"/>
        <v>-9.9466912021816647</v>
      </c>
      <c r="AG199" s="701">
        <f t="shared" si="88"/>
        <v>6.2426982096296637</v>
      </c>
      <c r="AH199" s="702">
        <f t="shared" si="89"/>
        <v>-79.110778656142983</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5">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1.0011652772603643</v>
      </c>
      <c r="N200" s="694">
        <f t="shared" si="74"/>
        <v>-4.8252395280812564E-2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8.3318275175489642</v>
      </c>
      <c r="X200" s="699">
        <f t="shared" si="82"/>
        <v>-105.32652178940813</v>
      </c>
      <c r="Y200" s="702">
        <f t="shared" si="83"/>
        <v>74.673478210591867</v>
      </c>
      <c r="AA200" s="174">
        <f t="shared" si="84"/>
        <v>1000000000</v>
      </c>
      <c r="AB200" s="174">
        <f t="shared" si="85"/>
        <v>128845201</v>
      </c>
      <c r="AD200" s="701">
        <f t="shared" si="86"/>
        <v>27.649000247225469</v>
      </c>
      <c r="AE200" s="702">
        <f t="shared" si="87"/>
        <v>-9.9271817678076815</v>
      </c>
      <c r="AG200" s="701">
        <f t="shared" si="88"/>
        <v>6.1936217151916795</v>
      </c>
      <c r="AH200" s="702">
        <f t="shared" si="89"/>
        <v>-79.107763948450724</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5">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1.0011787563924812</v>
      </c>
      <c r="N201" s="694">
        <f t="shared" si="74"/>
        <v>-4.8530395982615937E-2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8.2808721074424945</v>
      </c>
      <c r="X201" s="699">
        <f t="shared" si="82"/>
        <v>-105.39748373965648</v>
      </c>
      <c r="Y201" s="702">
        <f t="shared" si="83"/>
        <v>74.602516260343521</v>
      </c>
      <c r="AA201" s="174">
        <f t="shared" si="84"/>
        <v>1000000000</v>
      </c>
      <c r="AB201" s="174">
        <f t="shared" si="85"/>
        <v>130336472.25</v>
      </c>
      <c r="AD201" s="701">
        <f t="shared" si="86"/>
        <v>27.648167832219677</v>
      </c>
      <c r="AE201" s="702">
        <f t="shared" si="87"/>
        <v>-9.9081053613689356</v>
      </c>
      <c r="AG201" s="701">
        <f t="shared" si="88"/>
        <v>6.1448318886352284</v>
      </c>
      <c r="AH201" s="702">
        <f t="shared" si="89"/>
        <v>-79.104415091412648</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5">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1.0011923128980009</v>
      </c>
      <c r="N202" s="694">
        <f t="shared" si="74"/>
        <v>-4.880838917744354E-2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8.2302031198006418</v>
      </c>
      <c r="X202" s="699">
        <f t="shared" si="82"/>
        <v>-105.46853241974286</v>
      </c>
      <c r="Y202" s="702">
        <f t="shared" si="83"/>
        <v>74.531467580257143</v>
      </c>
      <c r="AA202" s="174">
        <f t="shared" si="84"/>
        <v>1000000000</v>
      </c>
      <c r="AB202" s="174">
        <f t="shared" si="85"/>
        <v>131836324</v>
      </c>
      <c r="AD202" s="701">
        <f t="shared" si="86"/>
        <v>27.647345806125788</v>
      </c>
      <c r="AE202" s="702">
        <f t="shared" si="87"/>
        <v>-9.8894546875667544</v>
      </c>
      <c r="AG202" s="701">
        <f t="shared" si="88"/>
        <v>6.0963255767940483</v>
      </c>
      <c r="AH202" s="702">
        <f t="shared" si="89"/>
        <v>-79.100737851370866</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5">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1.0012062077145838</v>
      </c>
      <c r="N203" s="694">
        <f t="shared" si="74"/>
        <v>-4.9091679818506692E-2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8.1788583711382632</v>
      </c>
      <c r="X203" s="699">
        <f t="shared" si="82"/>
        <v>-105.54102461093694</v>
      </c>
      <c r="Y203" s="702">
        <f t="shared" si="83"/>
        <v>74.458975389063056</v>
      </c>
      <c r="AA203" s="174">
        <f t="shared" si="84"/>
        <v>1000000000</v>
      </c>
      <c r="AB203" s="174">
        <f t="shared" si="85"/>
        <v>133373626.5625</v>
      </c>
      <c r="AD203" s="701">
        <f t="shared" si="86"/>
        <v>27.646518518549648</v>
      </c>
      <c r="AE203" s="702">
        <f t="shared" si="87"/>
        <v>-9.8708786971276954</v>
      </c>
      <c r="AG203" s="701">
        <f t="shared" si="88"/>
        <v>6.0471820436928523</v>
      </c>
      <c r="AH203" s="702">
        <f t="shared" si="89"/>
        <v>-79.096658428403842</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5">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1.0012201828793224</v>
      </c>
      <c r="N204" s="694">
        <f t="shared" si="74"/>
        <v>-4.9374962573886731E-2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8.1278041165207267</v>
      </c>
      <c r="X204" s="699">
        <f t="shared" si="82"/>
        <v>-105.61360365143969</v>
      </c>
      <c r="Y204" s="702">
        <f t="shared" si="83"/>
        <v>74.386396348560311</v>
      </c>
      <c r="AA204" s="174">
        <f t="shared" si="84"/>
        <v>1000000000</v>
      </c>
      <c r="AB204" s="174">
        <f t="shared" si="85"/>
        <v>134919840.25</v>
      </c>
      <c r="AD204" s="701">
        <f t="shared" si="86"/>
        <v>27.645701496713123</v>
      </c>
      <c r="AE204" s="702">
        <f t="shared" si="87"/>
        <v>-9.8527300541836134</v>
      </c>
      <c r="AG204" s="701">
        <f t="shared" si="88"/>
        <v>5.9983265015831009</v>
      </c>
      <c r="AH204" s="702">
        <f t="shared" si="89"/>
        <v>-79.092249657034174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5">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1.0012342383888526</v>
      </c>
      <c r="N205" s="694">
        <f t="shared" ref="N205:N268" si="110">-ATAN(G205/z_RHP)</f>
        <v>-4.9658237398448435E-2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8.0770369322015618</v>
      </c>
      <c r="X205" s="699">
        <f t="shared" ref="X205:X268" si="116">((L205+R205+N205+V205)-(J205+P205+T205))*radconv</f>
        <v>-105.68626796596301</v>
      </c>
      <c r="Y205" s="702">
        <f t="shared" ref="Y205:Y268" si="117">IF(X205&gt;0,X205,X205+180)</f>
        <v>74.313732034036988</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5.9497557764636699</v>
      </c>
      <c r="AH205" s="702">
        <f t="shared" ref="AH205:AH268" si="123">(L205+N205-(J205+V205))*radconv</f>
        <v>-79.087517239539736</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5">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1.0012483742397904</v>
      </c>
      <c r="N206" s="694">
        <f t="shared" si="110"/>
        <v>-4.99415042470642E-2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8.0265534540608279</v>
      </c>
      <c r="X206" s="699">
        <f t="shared" si="116"/>
        <v>-105.75901601236218</v>
      </c>
      <c r="Y206" s="702">
        <f t="shared" si="117"/>
        <v>74.240983987637819</v>
      </c>
      <c r="AA206" s="174">
        <f t="shared" si="118"/>
        <v>1000000000</v>
      </c>
      <c r="AB206" s="174">
        <f t="shared" si="119"/>
        <v>138039001</v>
      </c>
      <c r="AD206" s="701">
        <f t="shared" si="120"/>
        <v>27.644097244643</v>
      </c>
      <c r="AE206" s="702">
        <f t="shared" si="121"/>
        <v>-9.8176861044377244</v>
      </c>
      <c r="AG206" s="701">
        <f t="shared" si="122"/>
        <v>5.9014667468577873</v>
      </c>
      <c r="AH206" s="702">
        <f t="shared" si="123"/>
        <v>-79.082466750859183</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5">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1.0012629642185051</v>
      </c>
      <c r="N207" s="694">
        <f t="shared" si="110"/>
        <v>-5.023218922769896E-2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7.9750379330459911</v>
      </c>
      <c r="X207" s="699">
        <f t="shared" si="116"/>
        <v>-105.83375678111838</v>
      </c>
      <c r="Y207" s="702">
        <f t="shared" si="117"/>
        <v>74.166243218881618</v>
      </c>
      <c r="AA207" s="174">
        <f t="shared" si="118"/>
        <v>1000000000</v>
      </c>
      <c r="AB207" s="174">
        <f t="shared" si="119"/>
        <v>139653306.25</v>
      </c>
      <c r="AD207" s="701">
        <f t="shared" si="120"/>
        <v>27.643289003392859</v>
      </c>
      <c r="AE207" s="702">
        <f t="shared" si="121"/>
        <v>-9.8003389294098735</v>
      </c>
      <c r="AG207" s="701">
        <f t="shared" si="122"/>
        <v>5.852201363535424</v>
      </c>
      <c r="AH207" s="702">
        <f t="shared" si="123"/>
        <v>-79.076958879528959</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5">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1.0012776387992262</v>
      </c>
      <c r="N208" s="694">
        <f t="shared" si="110"/>
        <v>-5.052286571242029E-2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7.9238141974977152</v>
      </c>
      <c r="X208" s="699">
        <f t="shared" si="116"/>
        <v>-105.90858254241915</v>
      </c>
      <c r="Y208" s="702">
        <f t="shared" si="117"/>
        <v>74.091417457580846</v>
      </c>
      <c r="AA208" s="174">
        <f t="shared" si="118"/>
        <v>1000000000</v>
      </c>
      <c r="AB208" s="174">
        <f t="shared" si="119"/>
        <v>141276996</v>
      </c>
      <c r="AD208" s="701">
        <f t="shared" si="120"/>
        <v>27.642490544199458</v>
      </c>
      <c r="AE208" s="702">
        <f t="shared" si="121"/>
        <v>-9.7834122148084859</v>
      </c>
      <c r="AG208" s="701">
        <f t="shared" si="122"/>
        <v>5.8032261440198427</v>
      </c>
      <c r="AH208" s="702">
        <f t="shared" si="123"/>
        <v>-79.071127540125502</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5">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1.0012923979782329</v>
      </c>
      <c r="N209" s="694">
        <f t="shared" si="110"/>
        <v>-5.081353365248268E-2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7.8728787985759707</v>
      </c>
      <c r="X209" s="699">
        <f t="shared" si="116"/>
        <v>-105.98349173279722</v>
      </c>
      <c r="Y209" s="702">
        <f t="shared" si="117"/>
        <v>74.016508267202781</v>
      </c>
      <c r="AA209" s="174">
        <f t="shared" si="118"/>
        <v>1000000000</v>
      </c>
      <c r="AB209" s="174">
        <f t="shared" si="119"/>
        <v>142910070.25</v>
      </c>
      <c r="AD209" s="701">
        <f t="shared" si="120"/>
        <v>27.641701622849023</v>
      </c>
      <c r="AE209" s="702">
        <f t="shared" si="121"/>
        <v>-9.7668988329557944</v>
      </c>
      <c r="AG209" s="701">
        <f t="shared" si="122"/>
        <v>5.7545378799001492</v>
      </c>
      <c r="AH209" s="702">
        <f t="shared" si="123"/>
        <v>-79.064978362383812</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5">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1.001307241751785</v>
      </c>
      <c r="N210" s="694">
        <f t="shared" si="110"/>
        <v>-5.1104192999149221E-2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7.8222283476364662</v>
      </c>
      <c r="X210" s="699">
        <f t="shared" si="116"/>
        <v>-106.05848282179318</v>
      </c>
      <c r="Y210" s="702">
        <f t="shared" si="117"/>
        <v>73.941517178206823</v>
      </c>
      <c r="AA210" s="174">
        <f t="shared" si="118"/>
        <v>1000000000</v>
      </c>
      <c r="AB210" s="174">
        <f t="shared" si="119"/>
        <v>144552529</v>
      </c>
      <c r="AD210" s="701">
        <f t="shared" si="120"/>
        <v>27.640922001985196</v>
      </c>
      <c r="AE210" s="702">
        <f t="shared" si="121"/>
        <v>-9.7507918152108228</v>
      </c>
      <c r="AG210" s="701">
        <f t="shared" si="122"/>
        <v>5.7061334160839339</v>
      </c>
      <c r="AH210" s="702">
        <f t="shared" si="123"/>
        <v>-79.058516849943558</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5">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1.0013224979610387</v>
      </c>
      <c r="N211" s="694">
        <f t="shared" si="110"/>
        <v>-5.140120822059862E-2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7.7707596738426119</v>
      </c>
      <c r="X211" s="699">
        <f t="shared" si="116"/>
        <v>-106.13519910075814</v>
      </c>
      <c r="Y211" s="702">
        <f t="shared" si="117"/>
        <v>73.864800899241857</v>
      </c>
      <c r="AA211" s="174">
        <f t="shared" si="118"/>
        <v>1000000000</v>
      </c>
      <c r="AB211" s="174">
        <f t="shared" si="119"/>
        <v>146240649</v>
      </c>
      <c r="AD211" s="701">
        <f t="shared" si="120"/>
        <v>27.640134677273327</v>
      </c>
      <c r="AE211" s="702">
        <f t="shared" si="121"/>
        <v>-9.7347448083383608</v>
      </c>
      <c r="AG211" s="701">
        <f t="shared" si="122"/>
        <v>5.6569589620471108</v>
      </c>
      <c r="AH211" s="702">
        <f t="shared" si="123"/>
        <v>-79.051596774774936</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5">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1.0013378425023058</v>
      </c>
      <c r="N212" s="694">
        <f t="shared" si="110"/>
        <v>-5.1698214365302309E-2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7.7195815956277496</v>
      </c>
      <c r="X212" s="699">
        <f t="shared" si="116"/>
        <v>-106.21199777468013</v>
      </c>
      <c r="Y212" s="702">
        <f t="shared" si="117"/>
        <v>73.788002225319872</v>
      </c>
      <c r="AA212" s="174">
        <f t="shared" si="118"/>
        <v>1000000000</v>
      </c>
      <c r="AB212" s="174">
        <f t="shared" si="119"/>
        <v>147938569</v>
      </c>
      <c r="AD212" s="701">
        <f t="shared" si="120"/>
        <v>27.639356584600215</v>
      </c>
      <c r="AE212" s="702">
        <f t="shared" si="121"/>
        <v>-9.7191079329757706</v>
      </c>
      <c r="AG212" s="701">
        <f t="shared" si="122"/>
        <v>5.6080743772289754</v>
      </c>
      <c r="AH212" s="702">
        <f t="shared" si="123"/>
        <v>-79.044361768925782</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5">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1.001353275371526</v>
      </c>
      <c r="N213" s="694">
        <f t="shared" si="110"/>
        <v>-5.1995211381279376E-2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7.6686906827083279</v>
      </c>
      <c r="X213" s="699">
        <f t="shared" si="116"/>
        <v>-106.28887731156921</v>
      </c>
      <c r="Y213" s="702">
        <f t="shared" si="117"/>
        <v>73.711122688430791</v>
      </c>
      <c r="AA213" s="174">
        <f t="shared" si="118"/>
        <v>1000000000</v>
      </c>
      <c r="AB213" s="174">
        <f t="shared" si="119"/>
        <v>149646289</v>
      </c>
      <c r="AD213" s="701">
        <f t="shared" si="120"/>
        <v>27.638587491408735</v>
      </c>
      <c r="AE213" s="702">
        <f t="shared" si="121"/>
        <v>-9.7038742392327819</v>
      </c>
      <c r="AG213" s="701">
        <f t="shared" si="122"/>
        <v>5.5594764597791455</v>
      </c>
      <c r="AH213" s="702">
        <f t="shared" si="123"/>
        <v>-79.036817319926683</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5">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1.0013687965646154</v>
      </c>
      <c r="N214" s="694">
        <f t="shared" si="110"/>
        <v>-5.2292199216558546E-2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7.6180835645543947</v>
      </c>
      <c r="X214" s="699">
        <f t="shared" si="116"/>
        <v>-106.36583621174671</v>
      </c>
      <c r="Y214" s="702">
        <f t="shared" si="117"/>
        <v>73.634163788253289</v>
      </c>
      <c r="AA214" s="174">
        <f t="shared" si="118"/>
        <v>1000000000</v>
      </c>
      <c r="AB214" s="174">
        <f t="shared" si="119"/>
        <v>151363809</v>
      </c>
      <c r="AD214" s="701">
        <f t="shared" si="120"/>
        <v>27.637827171667141</v>
      </c>
      <c r="AE214" s="702">
        <f t="shared" si="121"/>
        <v>-9.6890369322121863</v>
      </c>
      <c r="AG214" s="701">
        <f t="shared" si="122"/>
        <v>5.5111620610543257</v>
      </c>
      <c r="AH214" s="702">
        <f t="shared" si="123"/>
        <v>-79.028968792551154</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5">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1.0013847415335582</v>
      </c>
      <c r="N215" s="694">
        <f t="shared" si="110"/>
        <v>-5.2595541544953009E-2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7.5666815465649648</v>
      </c>
      <c r="X215" s="699">
        <f t="shared" si="116"/>
        <v>-106.44452463727472</v>
      </c>
      <c r="Y215" s="702">
        <f t="shared" si="117"/>
        <v>73.555475362725275</v>
      </c>
      <c r="AA215" s="174">
        <f t="shared" si="118"/>
        <v>1000000000</v>
      </c>
      <c r="AB215" s="174">
        <f t="shared" si="119"/>
        <v>153128250.25</v>
      </c>
      <c r="AD215" s="701">
        <f t="shared" si="120"/>
        <v>27.637059388404218</v>
      </c>
      <c r="AE215" s="702">
        <f t="shared" si="121"/>
        <v>-9.6742839941802021</v>
      </c>
      <c r="AG215" s="701">
        <f t="shared" si="122"/>
        <v>5.4621018313103615</v>
      </c>
      <c r="AH215" s="702">
        <f t="shared" si="123"/>
        <v>-79.020643613585179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5">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1.0014007786435488</v>
      </c>
      <c r="N216" s="694">
        <f t="shared" si="110"/>
        <v>-5.2898874185399541E-2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7.5155686926046563</v>
      </c>
      <c r="X216" s="699">
        <f t="shared" si="116"/>
        <v>-106.52329280043023</v>
      </c>
      <c r="Y216" s="702">
        <f t="shared" si="117"/>
        <v>73.476707199569773</v>
      </c>
      <c r="AA216" s="174">
        <f t="shared" si="118"/>
        <v>1000000000</v>
      </c>
      <c r="AB216" s="174">
        <f t="shared" si="119"/>
        <v>154902916</v>
      </c>
      <c r="AD216" s="701">
        <f t="shared" si="120"/>
        <v>27.636300301817336</v>
      </c>
      <c r="AE216" s="702">
        <f t="shared" si="121"/>
        <v>-9.6599307587404049</v>
      </c>
      <c r="AG216" s="701">
        <f t="shared" si="122"/>
        <v>5.4133309255947895</v>
      </c>
      <c r="AH216" s="702">
        <f t="shared" si="123"/>
        <v>-79.012012121891246</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5">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1.0014169078901611</v>
      </c>
      <c r="N217" s="694">
        <f t="shared" si="110"/>
        <v>-5.3202197082545269E-2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7.4647415950315201</v>
      </c>
      <c r="X217" s="699">
        <f t="shared" si="116"/>
        <v>-106.60213920196924</v>
      </c>
      <c r="Y217" s="702">
        <f t="shared" si="117"/>
        <v>73.397860798030763</v>
      </c>
      <c r="AA217" s="174">
        <f t="shared" si="118"/>
        <v>1000000000</v>
      </c>
      <c r="AB217" s="174">
        <f t="shared" si="119"/>
        <v>156687806.25</v>
      </c>
      <c r="AD217" s="701">
        <f t="shared" si="120"/>
        <v>27.635549690731942</v>
      </c>
      <c r="AE217" s="702">
        <f t="shared" si="121"/>
        <v>-9.6459704582711971</v>
      </c>
      <c r="AG217" s="701">
        <f t="shared" si="122"/>
        <v>5.3648461529536249</v>
      </c>
      <c r="AH217" s="702">
        <f t="shared" si="123"/>
        <v>-79.003079659722786</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5">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1.0014331292689425</v>
      </c>
      <c r="N218" s="694">
        <f t="shared" si="110"/>
        <v>-5.3505510181047995E-2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7.4141969054227896</v>
      </c>
      <c r="X218" s="699">
        <f t="shared" si="116"/>
        <v>-106.68106237421391</v>
      </c>
      <c r="Y218" s="702">
        <f t="shared" si="117"/>
        <v>73.318937625786091</v>
      </c>
      <c r="AA218" s="174">
        <f t="shared" si="118"/>
        <v>1000000000</v>
      </c>
      <c r="AB218" s="174">
        <f t="shared" si="119"/>
        <v>158482921</v>
      </c>
      <c r="AD218" s="701">
        <f t="shared" si="120"/>
        <v>27.634807340172308</v>
      </c>
      <c r="AE218" s="702">
        <f t="shared" si="121"/>
        <v>-9.6323964759341543</v>
      </c>
      <c r="AG218" s="701">
        <f t="shared" si="122"/>
        <v>5.3166443754300907</v>
      </c>
      <c r="AH218" s="702">
        <f t="shared" si="123"/>
        <v>-78.993851450032849</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5">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1.0014498432120367</v>
      </c>
      <c r="N219" s="694">
        <f t="shared" si="110"/>
        <v>-5.381623680755112E-2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7.3627045288636586</v>
      </c>
      <c r="X219" s="699">
        <f t="shared" si="116"/>
        <v>-106.76199534259629</v>
      </c>
      <c r="Y219" s="702">
        <f t="shared" si="117"/>
        <v>73.238004657403707</v>
      </c>
      <c r="AA219" s="174">
        <f t="shared" si="118"/>
        <v>1000000000</v>
      </c>
      <c r="AB219" s="174">
        <f t="shared" si="119"/>
        <v>160332575.0625</v>
      </c>
      <c r="AD219" s="701">
        <f t="shared" si="120"/>
        <v>27.63405516801495</v>
      </c>
      <c r="AE219" s="702">
        <f t="shared" si="121"/>
        <v>-9.6188841165890668</v>
      </c>
      <c r="AG219" s="701">
        <f t="shared" si="122"/>
        <v>5.2675530775541688</v>
      </c>
      <c r="AH219" s="702">
        <f t="shared" si="123"/>
        <v>-78.98409601958214</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5">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1.0014666538429182</v>
      </c>
      <c r="N220" s="694">
        <f t="shared" si="110"/>
        <v>-5.4126953032331851E-2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7.3115016235953583</v>
      </c>
      <c r="X220" s="699">
        <f t="shared" si="116"/>
        <v>-106.84300586513803</v>
      </c>
      <c r="Y220" s="702">
        <f t="shared" si="117"/>
        <v>73.156994134861975</v>
      </c>
      <c r="AA220" s="174">
        <f t="shared" si="118"/>
        <v>1000000000</v>
      </c>
      <c r="AB220" s="174">
        <f t="shared" si="119"/>
        <v>162192960.25</v>
      </c>
      <c r="AD220" s="701">
        <f t="shared" si="120"/>
        <v>27.633311227975188</v>
      </c>
      <c r="AE220" s="702">
        <f t="shared" si="121"/>
        <v>-9.6057636253954737</v>
      </c>
      <c r="AG220" s="701">
        <f t="shared" si="122"/>
        <v>5.2187522952772731</v>
      </c>
      <c r="AH220" s="702">
        <f t="shared" si="123"/>
        <v>-78.974040915352091</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5">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1.0014835611567183</v>
      </c>
      <c r="N221" s="694">
        <f t="shared" si="110"/>
        <v>-5.4437658795919594E-2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7.2605847737858209</v>
      </c>
      <c r="X221" s="699">
        <f t="shared" si="116"/>
        <v>-106.92409246138119</v>
      </c>
      <c r="Y221" s="702">
        <f t="shared" si="117"/>
        <v>73.075907538618807</v>
      </c>
      <c r="AA221" s="174">
        <f t="shared" si="118"/>
        <v>1000000000</v>
      </c>
      <c r="AB221" s="174">
        <f t="shared" si="119"/>
        <v>164064076.5625</v>
      </c>
      <c r="AD221" s="701">
        <f t="shared" si="120"/>
        <v>27.632575307814822</v>
      </c>
      <c r="AE221" s="702">
        <f t="shared" si="121"/>
        <v>-9.593028353152361</v>
      </c>
      <c r="AG221" s="701">
        <f t="shared" si="122"/>
        <v>5.1702388200811731</v>
      </c>
      <c r="AH221" s="702">
        <f t="shared" si="123"/>
        <v>-78.963691385152018</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5">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1.0015005651485402</v>
      </c>
      <c r="N222" s="694">
        <f t="shared" si="110"/>
        <v>-5.4748354038855807E-2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7.2099506230016353</v>
      </c>
      <c r="X222" s="699">
        <f t="shared" si="116"/>
        <v>-107.00525368206705</v>
      </c>
      <c r="Y222" s="702">
        <f t="shared" si="117"/>
        <v>72.99474631793295</v>
      </c>
      <c r="AA222" s="174">
        <f t="shared" si="118"/>
        <v>1000000000</v>
      </c>
      <c r="AB222" s="174">
        <f t="shared" si="119"/>
        <v>165945924</v>
      </c>
      <c r="AD222" s="701">
        <f t="shared" si="120"/>
        <v>27.631847201254644</v>
      </c>
      <c r="AE222" s="702">
        <f t="shared" si="121"/>
        <v>-9.5806717990917836</v>
      </c>
      <c r="AG222" s="701">
        <f t="shared" si="122"/>
        <v>5.1220094968619989</v>
      </c>
      <c r="AH222" s="702">
        <f t="shared" si="123"/>
        <v>-78.953052559464979</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5">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1.0015181340815695</v>
      </c>
      <c r="N223" s="694">
        <f t="shared" si="110"/>
        <v>-5.5067521410437331E-2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7.158224886748938</v>
      </c>
      <c r="X223" s="699">
        <f t="shared" si="116"/>
        <v>-107.08870712656137</v>
      </c>
      <c r="Y223" s="702">
        <f t="shared" si="117"/>
        <v>72.911292873438626</v>
      </c>
      <c r="AA223" s="174">
        <f t="shared" si="118"/>
        <v>1000000000</v>
      </c>
      <c r="AB223" s="174">
        <f t="shared" si="119"/>
        <v>167890327.5625</v>
      </c>
      <c r="AD223" s="701">
        <f t="shared" si="120"/>
        <v>27.631107140508824</v>
      </c>
      <c r="AE223" s="702">
        <f t="shared" si="121"/>
        <v>-9.5683655563324876</v>
      </c>
      <c r="AG223" s="701">
        <f t="shared" si="122"/>
        <v>5.0727559674335954</v>
      </c>
      <c r="AH223" s="702">
        <f t="shared" si="123"/>
        <v>-78.941827272788089</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5">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1.0015358050334735</v>
      </c>
      <c r="N224" s="694">
        <f t="shared" si="110"/>
        <v>-5.5386677551844385E-2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7.1067905033145609</v>
      </c>
      <c r="X224" s="699">
        <f t="shared" si="116"/>
        <v>-107.1722363230527</v>
      </c>
      <c r="Y224" s="702">
        <f t="shared" si="117"/>
        <v>72.827763676947299</v>
      </c>
      <c r="AA224" s="174">
        <f t="shared" si="118"/>
        <v>1000000000</v>
      </c>
      <c r="AB224" s="174">
        <f t="shared" si="119"/>
        <v>169846056.25</v>
      </c>
      <c r="AD224" s="701">
        <f t="shared" si="120"/>
        <v>27.630374902998057</v>
      </c>
      <c r="AE224" s="702">
        <f t="shared" si="121"/>
        <v>-9.5564455500710785</v>
      </c>
      <c r="AG224" s="701">
        <f t="shared" si="122"/>
        <v>5.0237957363997925</v>
      </c>
      <c r="AH224" s="702">
        <f t="shared" si="123"/>
        <v>-78.930307287647793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5">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1.0015535779988523</v>
      </c>
      <c r="N225" s="694">
        <f t="shared" si="110"/>
        <v>-5.5705822398654216E-2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7.0556440206240714</v>
      </c>
      <c r="X225" s="699">
        <f t="shared" si="116"/>
        <v>-107.25583979772387</v>
      </c>
      <c r="Y225" s="702">
        <f t="shared" si="117"/>
        <v>72.744160202276134</v>
      </c>
      <c r="AA225" s="174">
        <f t="shared" si="118"/>
        <v>1000000000</v>
      </c>
      <c r="AB225" s="174">
        <f t="shared" si="119"/>
        <v>171813110.0625</v>
      </c>
      <c r="AD225" s="701">
        <f t="shared" si="120"/>
        <v>27.629650283434227</v>
      </c>
      <c r="AE225" s="702">
        <f t="shared" si="121"/>
        <v>-9.5449051949696653</v>
      </c>
      <c r="AG225" s="701">
        <f t="shared" si="122"/>
        <v>4.9751255515247221</v>
      </c>
      <c r="AH225" s="702">
        <f t="shared" si="123"/>
        <v>-78.918497800872416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5">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1.001571452972275</v>
      </c>
      <c r="N226" s="694">
        <f t="shared" si="110"/>
        <v>-5.6024955886457839E-2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7.0047820468319397</v>
      </c>
      <c r="X226" s="699">
        <f t="shared" si="116"/>
        <v>-107.33951610792109</v>
      </c>
      <c r="Y226" s="702">
        <f t="shared" si="117"/>
        <v>72.660483892078915</v>
      </c>
      <c r="AA226" s="174">
        <f t="shared" si="118"/>
        <v>1000000000</v>
      </c>
      <c r="AB226" s="174">
        <f t="shared" si="119"/>
        <v>173791489</v>
      </c>
      <c r="AD226" s="701">
        <f t="shared" si="120"/>
        <v>27.628933082318689</v>
      </c>
      <c r="AE226" s="702">
        <f t="shared" si="121"/>
        <v>-9.533738053370918</v>
      </c>
      <c r="AG226" s="701">
        <f t="shared" si="122"/>
        <v>4.9267422149840563</v>
      </c>
      <c r="AH226" s="702">
        <f t="shared" si="123"/>
        <v>-78.906403892664187</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5">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1.0015897893301815</v>
      </c>
      <c r="N227" s="694">
        <f t="shared" si="110"/>
        <v>-5.6350439071459563E-2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6.9531958295839846</v>
      </c>
      <c r="X227" s="699">
        <f t="shared" si="116"/>
        <v>-107.42493394788418</v>
      </c>
      <c r="Y227" s="702">
        <f t="shared" si="117"/>
        <v>72.575066052115815</v>
      </c>
      <c r="AA227" s="174">
        <f t="shared" si="118"/>
        <v>1000000000</v>
      </c>
      <c r="AB227" s="174">
        <f t="shared" si="119"/>
        <v>175820970.0625</v>
      </c>
      <c r="AD227" s="701">
        <f t="shared" si="120"/>
        <v>27.628209025532875</v>
      </c>
      <c r="AE227" s="702">
        <f t="shared" si="121"/>
        <v>-9.5227262319179253</v>
      </c>
      <c r="AG227" s="701">
        <f t="shared" si="122"/>
        <v>4.8776866482196626</v>
      </c>
      <c r="AH227" s="702">
        <f t="shared" si="123"/>
        <v>-78.893781077404867</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5">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1.0016082317919217</v>
      </c>
      <c r="N228" s="694">
        <f t="shared" si="110"/>
        <v>-5.6675910304794547E-2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6.9018986350692888</v>
      </c>
      <c r="X228" s="699">
        <f t="shared" si="116"/>
        <v>-107.51042462009819</v>
      </c>
      <c r="Y228" s="702">
        <f t="shared" si="117"/>
        <v>72.489575379901808</v>
      </c>
      <c r="AA228" s="174">
        <f t="shared" si="118"/>
        <v>1000000000</v>
      </c>
      <c r="AB228" s="174">
        <f t="shared" si="119"/>
        <v>177862232.25</v>
      </c>
      <c r="AD228" s="701">
        <f t="shared" si="120"/>
        <v>27.627492284265283</v>
      </c>
      <c r="AE228" s="702">
        <f t="shared" si="121"/>
        <v>-9.5120895757121193</v>
      </c>
      <c r="AG228" s="701">
        <f t="shared" si="122"/>
        <v>4.8289229278524326</v>
      </c>
      <c r="AH228" s="702">
        <f t="shared" si="123"/>
        <v>-78.880872706859591</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5">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1.0016267803516339</v>
      </c>
      <c r="N229" s="694">
        <f t="shared" si="110"/>
        <v>-5.7001369518169573E-2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6.8508870492889384</v>
      </c>
      <c r="X229" s="699">
        <f t="shared" si="116"/>
        <v>-107.59598668876902</v>
      </c>
      <c r="Y229" s="702">
        <f t="shared" si="117"/>
        <v>72.404013311230983</v>
      </c>
      <c r="AA229" s="174">
        <f t="shared" si="118"/>
        <v>1000000000</v>
      </c>
      <c r="AB229" s="174">
        <f t="shared" si="119"/>
        <v>179915275.5625</v>
      </c>
      <c r="AD229" s="701">
        <f t="shared" si="120"/>
        <v>27.626782664232799</v>
      </c>
      <c r="AE229" s="702">
        <f t="shared" si="121"/>
        <v>-9.50182170311923</v>
      </c>
      <c r="AG229" s="701">
        <f t="shared" si="122"/>
        <v>4.7804478282653404</v>
      </c>
      <c r="AH229" s="702">
        <f t="shared" si="123"/>
        <v>-78.867683816919765</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5">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1.0016454350034245</v>
      </c>
      <c r="N230" s="694">
        <f t="shared" si="110"/>
        <v>-5.7326816643306633E-2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6.8001577175835415</v>
      </c>
      <c r="X230" s="699">
        <f t="shared" si="116"/>
        <v>-107.6816187483368</v>
      </c>
      <c r="Y230" s="702">
        <f t="shared" si="117"/>
        <v>72.318381251663197</v>
      </c>
      <c r="AA230" s="174">
        <f t="shared" si="118"/>
        <v>1000000000</v>
      </c>
      <c r="AB230" s="174">
        <f t="shared" si="119"/>
        <v>181980100</v>
      </c>
      <c r="AD230" s="701">
        <f t="shared" si="120"/>
        <v>27.626079976616897</v>
      </c>
      <c r="AE230" s="702">
        <f t="shared" si="121"/>
        <v>-9.4919163752460882</v>
      </c>
      <c r="AG230" s="701">
        <f t="shared" si="122"/>
        <v>4.7322581776863686</v>
      </c>
      <c r="AH230" s="702">
        <f t="shared" si="123"/>
        <v>-78.854219330849205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5">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1.0016646247476162</v>
      </c>
      <c r="N231" s="694">
        <f t="shared" si="110"/>
        <v>-5.7659671810958726E-2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6.7485602362254626</v>
      </c>
      <c r="X231" s="699">
        <f t="shared" si="116"/>
        <v>-107.76927429913863</v>
      </c>
      <c r="Y231" s="702">
        <f t="shared" si="117"/>
        <v>72.23072570086137</v>
      </c>
      <c r="AA231" s="174">
        <f t="shared" si="118"/>
        <v>1000000000</v>
      </c>
      <c r="AB231" s="174">
        <f t="shared" si="119"/>
        <v>184104192.25</v>
      </c>
      <c r="AD231" s="701">
        <f t="shared" si="120"/>
        <v>27.625368246854258</v>
      </c>
      <c r="AE231" s="702">
        <f t="shared" si="121"/>
        <v>-9.4821538742043163</v>
      </c>
      <c r="AG231" s="701">
        <f t="shared" si="122"/>
        <v>4.6832617755909043</v>
      </c>
      <c r="AH231" s="702">
        <f t="shared" si="123"/>
        <v>-78.840167760144581</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5">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1.0016839254645395</v>
      </c>
      <c r="N232" s="694">
        <f t="shared" si="110"/>
        <v>-5.7992514188399222E-2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6.6972511125977086</v>
      </c>
      <c r="X232" s="699">
        <f t="shared" si="116"/>
        <v>-107.85700018803965</v>
      </c>
      <c r="Y232" s="702">
        <f t="shared" si="117"/>
        <v>72.142999811960351</v>
      </c>
      <c r="AA232" s="174">
        <f t="shared" si="118"/>
        <v>1000000000</v>
      </c>
      <c r="AB232" s="174">
        <f t="shared" si="119"/>
        <v>186240609</v>
      </c>
      <c r="AD232" s="701">
        <f t="shared" si="120"/>
        <v>27.624663386410564</v>
      </c>
      <c r="AE232" s="702">
        <f t="shared" si="121"/>
        <v>-9.4727578774577808</v>
      </c>
      <c r="AG232" s="701">
        <f t="shared" si="122"/>
        <v>4.6345574437086787</v>
      </c>
      <c r="AH232" s="702">
        <f t="shared" si="123"/>
        <v>-78.825837952992046</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5">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1.0017033371477797</v>
      </c>
      <c r="N233" s="694">
        <f t="shared" si="110"/>
        <v>-5.8325343702622323E-2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6.6462269411445192</v>
      </c>
      <c r="X233" s="699">
        <f t="shared" si="116"/>
        <v>-107.94479500406759</v>
      </c>
      <c r="Y233" s="702">
        <f t="shared" si="117"/>
        <v>72.055204995932414</v>
      </c>
      <c r="AA233" s="174">
        <f t="shared" si="118"/>
        <v>1000000000</v>
      </c>
      <c r="AB233" s="174">
        <f t="shared" si="119"/>
        <v>188389350.25</v>
      </c>
      <c r="AD233" s="701">
        <f t="shared" si="120"/>
        <v>27.623965209828029</v>
      </c>
      <c r="AE233" s="702">
        <f t="shared" si="121"/>
        <v>-9.463722147578423</v>
      </c>
      <c r="AG233" s="701">
        <f t="shared" si="122"/>
        <v>4.5861419554984471</v>
      </c>
      <c r="AH233" s="702">
        <f t="shared" si="123"/>
        <v>-78.811234831685965</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5">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1.0017228597908856</v>
      </c>
      <c r="N234" s="694">
        <f t="shared" si="110"/>
        <v>-5.8658160280639304E-2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6.5954843754479233</v>
      </c>
      <c r="X234" s="699">
        <f t="shared" si="116"/>
        <v>-108.03265736591199</v>
      </c>
      <c r="Y234" s="702">
        <f t="shared" si="117"/>
        <v>71.967342634088013</v>
      </c>
      <c r="AA234" s="174">
        <f t="shared" si="118"/>
        <v>1000000000</v>
      </c>
      <c r="AB234" s="174">
        <f t="shared" si="119"/>
        <v>190550416</v>
      </c>
      <c r="AD234" s="701">
        <f t="shared" si="120"/>
        <v>27.623273536865959</v>
      </c>
      <c r="AE234" s="702">
        <f t="shared" si="121"/>
        <v>-9.4550405866784732</v>
      </c>
      <c r="AG234" s="701">
        <f t="shared" si="122"/>
        <v>4.5380121383071801</v>
      </c>
      <c r="AH234" s="702">
        <f t="shared" si="123"/>
        <v>-78.796363208509419</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5">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1.0017429323432732</v>
      </c>
      <c r="N235" s="694">
        <f t="shared" si="110"/>
        <v>-5.8998382888519087E-2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6.5438982741800968</v>
      </c>
      <c r="X235" s="699">
        <f t="shared" si="116"/>
        <v>-108.12254685589372</v>
      </c>
      <c r="Y235" s="702">
        <f t="shared" si="117"/>
        <v>71.877453144106283</v>
      </c>
      <c r="AA235" s="174">
        <f t="shared" si="118"/>
        <v>1000000000</v>
      </c>
      <c r="AB235" s="174">
        <f t="shared" si="119"/>
        <v>192772398.0625</v>
      </c>
      <c r="AD235" s="701">
        <f t="shared" si="120"/>
        <v>27.622572984739698</v>
      </c>
      <c r="AE235" s="702">
        <f t="shared" si="121"/>
        <v>-9.4465253799101276</v>
      </c>
      <c r="AG235" s="701">
        <f t="shared" si="122"/>
        <v>4.4891014093832675</v>
      </c>
      <c r="AH235" s="702">
        <f t="shared" si="123"/>
        <v>-78.780887404573676</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5">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1.001763120844176</v>
      </c>
      <c r="N236" s="694">
        <f t="shared" si="110"/>
        <v>-5.933859182278603E-2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6.4925995850526093</v>
      </c>
      <c r="X236" s="699">
        <f t="shared" si="116"/>
        <v>-108.21250410895556</v>
      </c>
      <c r="Y236" s="702">
        <f t="shared" si="117"/>
        <v>71.787495891044443</v>
      </c>
      <c r="AA236" s="174">
        <f t="shared" si="118"/>
        <v>1000000000</v>
      </c>
      <c r="AB236" s="174">
        <f t="shared" si="119"/>
        <v>195007260.25</v>
      </c>
      <c r="AD236" s="701">
        <f t="shared" si="120"/>
        <v>27.6218788644446</v>
      </c>
      <c r="AE236" s="702">
        <f t="shared" si="121"/>
        <v>-9.4383678511611198</v>
      </c>
      <c r="AG236" s="701">
        <f t="shared" si="122"/>
        <v>4.440482692337925</v>
      </c>
      <c r="AH236" s="702">
        <f t="shared" si="123"/>
        <v>-78.765140825801751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5">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1.0017834252865843</v>
      </c>
      <c r="N237" s="694">
        <f t="shared" si="110"/>
        <v>-5.9678787005516189E-2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6.4415849157308429</v>
      </c>
      <c r="X237" s="699">
        <f t="shared" si="116"/>
        <v>-108.30252774035095</v>
      </c>
      <c r="Y237" s="702">
        <f t="shared" si="117"/>
        <v>71.697472259649047</v>
      </c>
      <c r="AA237" s="174">
        <f t="shared" si="118"/>
        <v>1000000000</v>
      </c>
      <c r="AB237" s="174">
        <f t="shared" si="119"/>
        <v>197255002.5625</v>
      </c>
      <c r="AD237" s="701">
        <f t="shared" si="120"/>
        <v>27.621190999210476</v>
      </c>
      <c r="AE237" s="702">
        <f t="shared" si="121"/>
        <v>-9.4305619130254001</v>
      </c>
      <c r="AG237" s="701">
        <f t="shared" si="122"/>
        <v>4.3921527645832743</v>
      </c>
      <c r="AH237" s="702">
        <f t="shared" si="123"/>
        <v>-78.749128276674483</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5">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1.0018038456634479</v>
      </c>
      <c r="N238" s="694">
        <f t="shared" si="110"/>
        <v>-6.0018968358804659E-2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6.3908509327075071</v>
      </c>
      <c r="X238" s="699">
        <f t="shared" si="116"/>
        <v>-108.39261639437208</v>
      </c>
      <c r="Y238" s="702">
        <f t="shared" si="117"/>
        <v>71.607383605627916</v>
      </c>
      <c r="AA238" s="174">
        <f t="shared" si="118"/>
        <v>1000000000</v>
      </c>
      <c r="AB238" s="174">
        <f t="shared" si="119"/>
        <v>199515625</v>
      </c>
      <c r="AD238" s="701">
        <f t="shared" si="120"/>
        <v>27.620509217238258</v>
      </c>
      <c r="AE238" s="702">
        <f t="shared" si="121"/>
        <v>-9.4231016142346711</v>
      </c>
      <c r="AG238" s="701">
        <f t="shared" si="122"/>
        <v>4.3441084573522097</v>
      </c>
      <c r="AH238" s="702">
        <f t="shared" si="123"/>
        <v>-78.732854454426317</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5">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1.0018248952564013</v>
      </c>
      <c r="N239" s="694">
        <f t="shared" si="110"/>
        <v>-6.0367613319832626E-2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6.3391403903734469</v>
      </c>
      <c r="X239" s="699">
        <f t="shared" si="116"/>
        <v>-108.48501633331328</v>
      </c>
      <c r="Y239" s="702">
        <f t="shared" si="117"/>
        <v>71.514983666686717</v>
      </c>
      <c r="AA239" s="174">
        <f t="shared" si="118"/>
        <v>1000000000</v>
      </c>
      <c r="AB239" s="174">
        <f t="shared" si="119"/>
        <v>201845952.5625</v>
      </c>
      <c r="AD239" s="701">
        <f t="shared" si="120"/>
        <v>27.619816581679789</v>
      </c>
      <c r="AE239" s="702">
        <f t="shared" si="121"/>
        <v>-9.41580796921372</v>
      </c>
      <c r="AG239" s="701">
        <f t="shared" si="122"/>
        <v>4.2951599107187182</v>
      </c>
      <c r="AH239" s="702">
        <f t="shared" si="123"/>
        <v>-78.715908737613603</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5">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1.0018460666193598</v>
      </c>
      <c r="N240" s="694">
        <f t="shared" si="110"/>
        <v>-6.0716243587860722E-2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6.2877177922314234</v>
      </c>
      <c r="X240" s="699">
        <f t="shared" si="116"/>
        <v>-108.57748178272118</v>
      </c>
      <c r="Y240" s="702">
        <f t="shared" si="117"/>
        <v>71.422518217278821</v>
      </c>
      <c r="AA240" s="174">
        <f t="shared" si="118"/>
        <v>1000000000</v>
      </c>
      <c r="AB240" s="174">
        <f t="shared" si="119"/>
        <v>204189810.25</v>
      </c>
      <c r="AD240" s="701">
        <f t="shared" si="120"/>
        <v>27.619129986243696</v>
      </c>
      <c r="AE240" s="702">
        <f t="shared" si="121"/>
        <v>-9.4088651697058427</v>
      </c>
      <c r="AG240" s="701">
        <f t="shared" si="122"/>
        <v>4.2465048265155172</v>
      </c>
      <c r="AH240" s="702">
        <f t="shared" si="123"/>
        <v>-78.69869822133191</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5">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1.0018673597446037</v>
      </c>
      <c r="N241" s="694">
        <f t="shared" si="110"/>
        <v>-6.1064859079075946E-2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6.236579732881439</v>
      </c>
      <c r="X241" s="699">
        <f t="shared" si="116"/>
        <v>-108.67001137288446</v>
      </c>
      <c r="Y241" s="702">
        <f t="shared" si="117"/>
        <v>71.32998862711554</v>
      </c>
      <c r="AA241" s="174">
        <f t="shared" si="118"/>
        <v>1000000000</v>
      </c>
      <c r="AB241" s="174">
        <f t="shared" si="119"/>
        <v>206547198.0625</v>
      </c>
      <c r="AD241" s="701">
        <f t="shared" si="120"/>
        <v>27.618449261149681</v>
      </c>
      <c r="AE241" s="702">
        <f t="shared" si="121"/>
        <v>-9.402267229094468</v>
      </c>
      <c r="AG241" s="701">
        <f t="shared" si="122"/>
        <v>4.1981399614083212</v>
      </c>
      <c r="AH241" s="702">
        <f t="shared" si="123"/>
        <v>-78.68122763147025</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5">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1.0018887746243696</v>
      </c>
      <c r="N242" s="694">
        <f t="shared" si="110"/>
        <v>-6.141345970968675E-2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6.1857228660475485</v>
      </c>
      <c r="X242" s="699">
        <f t="shared" si="116"/>
        <v>-108.76260376280659</v>
      </c>
      <c r="Y242" s="702">
        <f t="shared" si="117"/>
        <v>71.237396237193408</v>
      </c>
      <c r="AA242" s="174">
        <f t="shared" si="118"/>
        <v>1000000000</v>
      </c>
      <c r="AB242" s="174">
        <f t="shared" si="119"/>
        <v>208918116</v>
      </c>
      <c r="AD242" s="701">
        <f t="shared" si="120"/>
        <v>27.617774241402557</v>
      </c>
      <c r="AE242" s="702">
        <f t="shared" si="121"/>
        <v>-9.3960082949349211</v>
      </c>
      <c r="AG242" s="701">
        <f t="shared" si="122"/>
        <v>4.1500621263637445</v>
      </c>
      <c r="AH242" s="702">
        <f t="shared" si="123"/>
        <v>-78.663501588296569</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5">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1.001933026014598</v>
      </c>
      <c r="N243" s="694">
        <f t="shared" si="110"/>
        <v>-6.2127567433910472E-2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6.0824001512533696</v>
      </c>
      <c r="X243" s="699">
        <f t="shared" si="116"/>
        <v>-108.95248212119748</v>
      </c>
      <c r="Y243" s="702">
        <f t="shared" si="117"/>
        <v>71.047517878802523</v>
      </c>
      <c r="AA243" s="174">
        <f t="shared" si="118"/>
        <v>1000000000</v>
      </c>
      <c r="AB243" s="174">
        <f t="shared" si="119"/>
        <v>213817506.25</v>
      </c>
      <c r="AD243" s="701">
        <f t="shared" si="120"/>
        <v>27.616408519734406</v>
      </c>
      <c r="AE243" s="702">
        <f t="shared" si="121"/>
        <v>-9.3842207034030842</v>
      </c>
      <c r="AG243" s="701">
        <f t="shared" si="122"/>
        <v>4.0524514929401239</v>
      </c>
      <c r="AH243" s="702">
        <f t="shared" si="123"/>
        <v>-78.626408653280308</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5">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1.0019553432978385</v>
      </c>
      <c r="N244" s="694">
        <f t="shared" si="110"/>
        <v>-6.2484597551046003E-2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6.031167547751469</v>
      </c>
      <c r="X244" s="699">
        <f t="shared" si="116"/>
        <v>-109.04751464555945</v>
      </c>
      <c r="Y244" s="702">
        <f t="shared" si="117"/>
        <v>70.952485354440554</v>
      </c>
      <c r="AA244" s="174">
        <f t="shared" si="118"/>
        <v>1000000000</v>
      </c>
      <c r="AB244" s="174">
        <f t="shared" si="119"/>
        <v>216288495.5625</v>
      </c>
      <c r="AD244" s="701">
        <f t="shared" si="120"/>
        <v>27.615733971826138</v>
      </c>
      <c r="AE244" s="702">
        <f t="shared" si="121"/>
        <v>-9.3788365496408108</v>
      </c>
      <c r="AG244" s="701">
        <f t="shared" si="122"/>
        <v>4.0040847504675323</v>
      </c>
      <c r="AH244" s="702">
        <f t="shared" si="123"/>
        <v>-78.607479013639235</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5">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1.0019777882951328</v>
      </c>
      <c r="N245" s="694">
        <f t="shared" si="110"/>
        <v>-6.2841611718244206E-2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5.9802162898294364</v>
      </c>
      <c r="X245" s="699">
        <f t="shared" si="116"/>
        <v>-109.1426076250022</v>
      </c>
      <c r="Y245" s="702">
        <f t="shared" si="117"/>
        <v>70.857392374997801</v>
      </c>
      <c r="AA245" s="174">
        <f t="shared" si="118"/>
        <v>1000000000</v>
      </c>
      <c r="AB245" s="174">
        <f t="shared" si="119"/>
        <v>218773681</v>
      </c>
      <c r="AD245" s="701">
        <f t="shared" si="120"/>
        <v>27.615064753475597</v>
      </c>
      <c r="AE245" s="702">
        <f t="shared" si="121"/>
        <v>-9.3737844543939879</v>
      </c>
      <c r="AG245" s="701">
        <f t="shared" si="122"/>
        <v>3.9560061015454941</v>
      </c>
      <c r="AH245" s="702">
        <f t="shared" si="123"/>
        <v>-78.588300008728922</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5">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1.0020008984001143</v>
      </c>
      <c r="N246" s="694">
        <f t="shared" si="110"/>
        <v>-6.3207084382922676E-2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5.9283435096448986</v>
      </c>
      <c r="X246" s="699">
        <f t="shared" si="116"/>
        <v>-109.24001927573065</v>
      </c>
      <c r="Y246" s="702">
        <f t="shared" si="117"/>
        <v>70.759980724269354</v>
      </c>
      <c r="AA246" s="174">
        <f t="shared" si="118"/>
        <v>1000000000</v>
      </c>
      <c r="AB246" s="174">
        <f t="shared" si="119"/>
        <v>221332567.5625</v>
      </c>
      <c r="AD246" s="701">
        <f t="shared" si="120"/>
        <v>27.614385009016193</v>
      </c>
      <c r="AE246" s="702">
        <f t="shared" si="121"/>
        <v>-9.3689505414841072</v>
      </c>
      <c r="AG246" s="701">
        <f t="shared" si="122"/>
        <v>3.9070812645533803</v>
      </c>
      <c r="AH246" s="702">
        <f t="shared" si="123"/>
        <v>-78.56841203111631</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5">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1.0020241423364411</v>
      </c>
      <c r="N247" s="694">
        <f t="shared" si="110"/>
        <v>-6.3572540140687417E-2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5.8767586642627183</v>
      </c>
      <c r="X247" s="699">
        <f t="shared" si="116"/>
        <v>-109.33749156496424</v>
      </c>
      <c r="Y247" s="702">
        <f t="shared" si="117"/>
        <v>70.662508435035761</v>
      </c>
      <c r="AA247" s="174">
        <f t="shared" si="118"/>
        <v>1000000000</v>
      </c>
      <c r="AB247" s="174">
        <f t="shared" si="119"/>
        <v>223906332.25</v>
      </c>
      <c r="AD247" s="701">
        <f t="shared" si="120"/>
        <v>27.613710528824011</v>
      </c>
      <c r="AE247" s="702">
        <f t="shared" si="121"/>
        <v>-9.3644528642590483</v>
      </c>
      <c r="AG247" s="701">
        <f t="shared" si="122"/>
        <v>3.8584517376842524</v>
      </c>
      <c r="AH247" s="702">
        <f t="shared" si="123"/>
        <v>-78.548272008753244</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5">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1.0020475200947996</v>
      </c>
      <c r="N248" s="694">
        <f t="shared" si="110"/>
        <v>-6.3937978895099334E-2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5.8254583404996261</v>
      </c>
      <c r="X248" s="699">
        <f t="shared" si="116"/>
        <v>-109.43502315924896</v>
      </c>
      <c r="Y248" s="702">
        <f t="shared" si="117"/>
        <v>70.564976840751044</v>
      </c>
      <c r="AA248" s="174">
        <f t="shared" si="118"/>
        <v>1000000000</v>
      </c>
      <c r="AB248" s="174">
        <f t="shared" si="119"/>
        <v>226494975.0625</v>
      </c>
      <c r="AD248" s="701">
        <f t="shared" si="120"/>
        <v>27.613041157196122</v>
      </c>
      <c r="AE248" s="702">
        <f t="shared" si="121"/>
        <v>-9.3602856656398412</v>
      </c>
      <c r="AG248" s="701">
        <f t="shared" si="122"/>
        <v>3.8101142542032478</v>
      </c>
      <c r="AH248" s="702">
        <f t="shared" si="123"/>
        <v>-78.527884489358186</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5">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1.0020710316658243</v>
      </c>
      <c r="N249" s="694">
        <f t="shared" si="110"/>
        <v>-6.4303400549746523E-2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5.7744391844716381</v>
      </c>
      <c r="X249" s="699">
        <f t="shared" si="116"/>
        <v>-109.53261275298934</v>
      </c>
      <c r="Y249" s="702">
        <f t="shared" si="117"/>
        <v>70.467387247010663</v>
      </c>
      <c r="AA249" s="174">
        <f t="shared" si="118"/>
        <v>1000000000</v>
      </c>
      <c r="AB249" s="174">
        <f t="shared" si="119"/>
        <v>229098496</v>
      </c>
      <c r="AD249" s="701">
        <f t="shared" si="120"/>
        <v>27.612376742829756</v>
      </c>
      <c r="AE249" s="702">
        <f t="shared" si="121"/>
        <v>-9.3564433178828121</v>
      </c>
      <c r="AG249" s="701">
        <f t="shared" si="122"/>
        <v>3.7620656022288728</v>
      </c>
      <c r="AH249" s="702">
        <f t="shared" si="123"/>
        <v>-78.507253918967706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5">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1.0020951581862136</v>
      </c>
      <c r="N250" s="694">
        <f t="shared" si="110"/>
        <v>-6.4676218833085053E-2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5.7226712204351857</v>
      </c>
      <c r="X250" s="699">
        <f t="shared" si="116"/>
        <v>-109.63224087560064</v>
      </c>
      <c r="Y250" s="702">
        <f t="shared" si="117"/>
        <v>70.367759124399356</v>
      </c>
      <c r="AA250" s="174">
        <f t="shared" si="118"/>
        <v>1000000000</v>
      </c>
      <c r="AB250" s="174">
        <f t="shared" si="119"/>
        <v>231770176</v>
      </c>
      <c r="AD250" s="701">
        <f t="shared" si="120"/>
        <v>27.611703804187968</v>
      </c>
      <c r="AE250" s="702">
        <f t="shared" si="121"/>
        <v>-9.3528521056348612</v>
      </c>
      <c r="AG250" s="701">
        <f t="shared" si="122"/>
        <v>3.7133364547990415</v>
      </c>
      <c r="AH250" s="702">
        <f t="shared" si="123"/>
        <v>-78.485958769264585</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5">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1.0021194239845708</v>
      </c>
      <c r="N251" s="694">
        <f t="shared" si="110"/>
        <v>-6.5049019113038356E-2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5.6711890787806274</v>
      </c>
      <c r="X251" s="699">
        <f t="shared" si="116"/>
        <v>-109.7319267147243</v>
      </c>
      <c r="Y251" s="702">
        <f t="shared" si="117"/>
        <v>70.268073285275705</v>
      </c>
      <c r="AA251" s="174">
        <f t="shared" si="118"/>
        <v>1000000000</v>
      </c>
      <c r="AB251" s="174">
        <f t="shared" si="119"/>
        <v>234457344</v>
      </c>
      <c r="AD251" s="701">
        <f t="shared" si="120"/>
        <v>27.611035721173558</v>
      </c>
      <c r="AE251" s="702">
        <f t="shared" si="121"/>
        <v>-9.3495876205699471</v>
      </c>
      <c r="AG251" s="701">
        <f t="shared" si="122"/>
        <v>3.6649013928071255</v>
      </c>
      <c r="AH251" s="702">
        <f t="shared" si="123"/>
        <v>-78.464419644802447</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5">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1.0021438290507783</v>
      </c>
      <c r="N252" s="694">
        <f t="shared" si="110"/>
        <v>-6.5421801287294412E-2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5.6199893794721687</v>
      </c>
      <c r="X252" s="699">
        <f t="shared" si="116"/>
        <v>-109.83166896853939</v>
      </c>
      <c r="Y252" s="702">
        <f t="shared" si="117"/>
        <v>70.16833103146061</v>
      </c>
      <c r="AA252" s="174">
        <f t="shared" si="118"/>
        <v>1000000000</v>
      </c>
      <c r="AB252" s="174">
        <f t="shared" si="119"/>
        <v>237160000</v>
      </c>
      <c r="AD252" s="701">
        <f t="shared" si="120"/>
        <v>27.610372346314279</v>
      </c>
      <c r="AE252" s="702">
        <f t="shared" si="121"/>
        <v>-9.3466442787772728</v>
      </c>
      <c r="AG252" s="701">
        <f t="shared" si="122"/>
        <v>3.6167571736658615</v>
      </c>
      <c r="AH252" s="702">
        <f t="shared" si="123"/>
        <v>-78.442640958584434</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5">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1.0021683733746616</v>
      </c>
      <c r="N253" s="694">
        <f t="shared" si="110"/>
        <v>-6.5794565253571247E-2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5.5690688010083385</v>
      </c>
      <c r="X253" s="699">
        <f t="shared" si="116"/>
        <v>-109.93146636226449</v>
      </c>
      <c r="Y253" s="702">
        <f t="shared" si="117"/>
        <v>70.068533637735513</v>
      </c>
      <c r="AA253" s="174">
        <f t="shared" si="118"/>
        <v>1000000000</v>
      </c>
      <c r="AB253" s="174">
        <f t="shared" si="119"/>
        <v>239878144</v>
      </c>
      <c r="AD253" s="701">
        <f t="shared" si="120"/>
        <v>27.609713536296326</v>
      </c>
      <c r="AE253" s="702">
        <f t="shared" si="121"/>
        <v>-9.3440166214824245</v>
      </c>
      <c r="AG253" s="701">
        <f t="shared" si="122"/>
        <v>3.568900609115385</v>
      </c>
      <c r="AH253" s="702">
        <f t="shared" si="123"/>
        <v>-78.420627025288113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5">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1.002193689885605</v>
      </c>
      <c r="N254" s="694">
        <f t="shared" si="110"/>
        <v>-6.6176841097353251E-2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5.5171327738421976</v>
      </c>
      <c r="X254" s="699">
        <f t="shared" si="116"/>
        <v>-110.0338713589266</v>
      </c>
      <c r="Y254" s="702">
        <f t="shared" si="117"/>
        <v>69.966128641073396</v>
      </c>
      <c r="AA254" s="174">
        <f t="shared" si="118"/>
        <v>1000000000</v>
      </c>
      <c r="AB254" s="174">
        <f t="shared" si="119"/>
        <v>242681873.0625</v>
      </c>
      <c r="AD254" s="701">
        <f t="shared" si="120"/>
        <v>27.609042477220083</v>
      </c>
      <c r="AE254" s="702">
        <f t="shared" si="121"/>
        <v>-9.3416440846643045</v>
      </c>
      <c r="AG254" s="701">
        <f t="shared" si="122"/>
        <v>3.5201159362385019</v>
      </c>
      <c r="AH254" s="702">
        <f t="shared" si="123"/>
        <v>-78.397810308527156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5">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1.0022191528445323</v>
      </c>
      <c r="N255" s="694">
        <f t="shared" si="110"/>
        <v>-6.65590975723519E-2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5.4654834299809743</v>
      </c>
      <c r="X255" s="699">
        <f t="shared" si="116"/>
        <v>-110.13633171942895</v>
      </c>
      <c r="Y255" s="702">
        <f t="shared" si="117"/>
        <v>69.863668280571048</v>
      </c>
      <c r="AA255" s="174">
        <f t="shared" si="118"/>
        <v>1000000000</v>
      </c>
      <c r="AB255" s="174">
        <f t="shared" si="119"/>
        <v>245501892.25</v>
      </c>
      <c r="AD255" s="701">
        <f t="shared" si="120"/>
        <v>27.608375926895476</v>
      </c>
      <c r="AE255" s="702">
        <f t="shared" si="121"/>
        <v>-9.3395923407996921</v>
      </c>
      <c r="AG255" s="701">
        <f t="shared" si="122"/>
        <v>3.4716271932638723</v>
      </c>
      <c r="AH255" s="702">
        <f t="shared" si="123"/>
        <v>-78.374755048004999</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5">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1.0022447622402813</v>
      </c>
      <c r="N256" s="694">
        <f t="shared" si="110"/>
        <v>-6.6941334568337077E-2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5.4141173696917786</v>
      </c>
      <c r="X256" s="699">
        <f t="shared" si="116"/>
        <v>-110.23884615255838</v>
      </c>
      <c r="Y256" s="702">
        <f t="shared" si="117"/>
        <v>69.761153847441619</v>
      </c>
      <c r="AA256" s="174">
        <f t="shared" si="118"/>
        <v>1000000000</v>
      </c>
      <c r="AB256" s="174">
        <f t="shared" si="119"/>
        <v>248338201.5625</v>
      </c>
      <c r="AD256" s="701">
        <f t="shared" si="120"/>
        <v>27.607713743462568</v>
      </c>
      <c r="AE256" s="702">
        <f t="shared" si="121"/>
        <v>-9.3378558891710473</v>
      </c>
      <c r="AG256" s="701">
        <f t="shared" si="122"/>
        <v>3.4234311112948919</v>
      </c>
      <c r="AH256" s="702">
        <f t="shared" si="123"/>
        <v>-78.351465593441006</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5">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1.0022705180616269</v>
      </c>
      <c r="N257" s="694">
        <f t="shared" si="110"/>
        <v>-6.732355197511268E-2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5.3630312522314361</v>
      </c>
      <c r="X257" s="699">
        <f t="shared" si="116"/>
        <v>-110.34141339388954</v>
      </c>
      <c r="Y257" s="702">
        <f t="shared" si="117"/>
        <v>69.658586606110461</v>
      </c>
      <c r="AA257" s="174">
        <f t="shared" si="118"/>
        <v>1000000000</v>
      </c>
      <c r="AB257" s="174">
        <f t="shared" si="119"/>
        <v>251190801</v>
      </c>
      <c r="AD257" s="701">
        <f t="shared" si="120"/>
        <v>27.607055789073303</v>
      </c>
      <c r="AE257" s="702">
        <f t="shared" si="121"/>
        <v>-9.3364293526545836</v>
      </c>
      <c r="AG257" s="701">
        <f t="shared" si="122"/>
        <v>3.375524476359224</v>
      </c>
      <c r="AH257" s="702">
        <f t="shared" si="123"/>
        <v>-78.327946197491855</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5">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1.002296995966228</v>
      </c>
      <c r="N258" s="694">
        <f t="shared" si="110"/>
        <v>-6.7714219213851998E-2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5.3110989318040751</v>
      </c>
      <c r="X258" s="699">
        <f t="shared" si="116"/>
        <v>-110.44630688090123</v>
      </c>
      <c r="Y258" s="702">
        <f t="shared" si="117"/>
        <v>69.553693119098767</v>
      </c>
      <c r="AA258" s="174">
        <f t="shared" si="118"/>
        <v>1000000000</v>
      </c>
      <c r="AB258" s="174">
        <f t="shared" si="119"/>
        <v>254123451.5625</v>
      </c>
      <c r="AD258" s="701">
        <f t="shared" si="120"/>
        <v>27.606387485178942</v>
      </c>
      <c r="AE258" s="702">
        <f t="shared" si="121"/>
        <v>-9.3352860237654092</v>
      </c>
      <c r="AG258" s="701">
        <f t="shared" si="122"/>
        <v>3.3268520482406494</v>
      </c>
      <c r="AH258" s="702">
        <f t="shared" si="123"/>
        <v>-78.303672283541417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5">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1.0023236268341948</v>
      </c>
      <c r="N259" s="694">
        <f t="shared" si="110"/>
        <v>-6.8104865752831228E-2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5.2594522236518637</v>
      </c>
      <c r="X259" s="699">
        <f t="shared" si="116"/>
        <v>-110.55125295365407</v>
      </c>
      <c r="Y259" s="702">
        <f t="shared" si="117"/>
        <v>69.448747046345929</v>
      </c>
      <c r="AA259" s="174">
        <f t="shared" si="118"/>
        <v>1000000000</v>
      </c>
      <c r="AB259" s="174">
        <f t="shared" si="119"/>
        <v>257073122.25</v>
      </c>
      <c r="AD259" s="701">
        <f t="shared" si="120"/>
        <v>27.60572332085097</v>
      </c>
      <c r="AE259" s="702">
        <f t="shared" si="121"/>
        <v>-9.3344555177484914</v>
      </c>
      <c r="AG259" s="701">
        <f t="shared" si="122"/>
        <v>3.2784754179262405</v>
      </c>
      <c r="AH259" s="702">
        <f t="shared" si="123"/>
        <v>-78.279166810216111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5">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1.0023504106533347</v>
      </c>
      <c r="N260" s="694">
        <f t="shared" si="110"/>
        <v>-6.8495491474476033E-2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5.2080877423673133</v>
      </c>
      <c r="X260" s="699">
        <f t="shared" si="116"/>
        <v>-110.65625034390405</v>
      </c>
      <c r="Y260" s="702">
        <f t="shared" si="117"/>
        <v>69.343749656095952</v>
      </c>
      <c r="AA260" s="174">
        <f t="shared" si="118"/>
        <v>1000000000</v>
      </c>
      <c r="AB260" s="174">
        <f t="shared" si="119"/>
        <v>260039813.0625</v>
      </c>
      <c r="AD260" s="701">
        <f t="shared" si="120"/>
        <v>27.605063161010534</v>
      </c>
      <c r="AE260" s="702">
        <f t="shared" si="121"/>
        <v>-9.3339324703343021</v>
      </c>
      <c r="AG260" s="701">
        <f t="shared" si="122"/>
        <v>3.2303913230858194</v>
      </c>
      <c r="AH260" s="702">
        <f t="shared" si="123"/>
        <v>-78.254434022174749</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5">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1.0023773474113875</v>
      </c>
      <c r="N261" s="694">
        <f t="shared" si="110"/>
        <v>-6.8886096261250002E-2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5.1570021612049199</v>
      </c>
      <c r="X261" s="699">
        <f t="shared" si="116"/>
        <v>-110.76129780958969</v>
      </c>
      <c r="Y261" s="702">
        <f t="shared" si="117"/>
        <v>69.238702190410308</v>
      </c>
      <c r="AA261" s="174">
        <f t="shared" si="118"/>
        <v>1000000000</v>
      </c>
      <c r="AB261" s="174">
        <f t="shared" si="119"/>
        <v>263023524</v>
      </c>
      <c r="AD261" s="701">
        <f t="shared" si="120"/>
        <v>27.6044068743977</v>
      </c>
      <c r="AE261" s="702">
        <f t="shared" si="121"/>
        <v>-9.3337116376926659</v>
      </c>
      <c r="AG261" s="701">
        <f t="shared" si="122"/>
        <v>3.1825965561751128</v>
      </c>
      <c r="AH261" s="702">
        <f t="shared" si="123"/>
        <v>-78.229478069535503</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5">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1.0024050997303799</v>
      </c>
      <c r="N262" s="694">
        <f t="shared" si="110"/>
        <v>-6.9286206164213007E-2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5.104956359781708</v>
      </c>
      <c r="X262" s="699">
        <f t="shared" si="116"/>
        <v>-110.86895805938552</v>
      </c>
      <c r="Y262" s="702">
        <f t="shared" si="117"/>
        <v>69.13104194061448</v>
      </c>
      <c r="AA262" s="174">
        <f t="shared" si="118"/>
        <v>1000000000</v>
      </c>
      <c r="AB262" s="174">
        <f t="shared" si="119"/>
        <v>266097656.25</v>
      </c>
      <c r="AD262" s="701">
        <f t="shared" si="120"/>
        <v>27.603738463550613</v>
      </c>
      <c r="AE262" s="702">
        <f t="shared" si="121"/>
        <v>-9.3337934218623211</v>
      </c>
      <c r="AG262" s="701">
        <f t="shared" si="122"/>
        <v>3.1339327658413612</v>
      </c>
      <c r="AH262" s="702">
        <f t="shared" si="123"/>
        <v>-78.203686281131041</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5">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1.002433012513434</v>
      </c>
      <c r="N263" s="694">
        <f t="shared" si="110"/>
        <v>-6.9686293849073169E-2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5.0531963450453112</v>
      </c>
      <c r="X263" s="699">
        <f t="shared" si="116"/>
        <v>-110.97666829971885</v>
      </c>
      <c r="Y263" s="702">
        <f t="shared" si="117"/>
        <v>69.023331700281148</v>
      </c>
      <c r="AA263" s="174">
        <f t="shared" si="118"/>
        <v>1000000000</v>
      </c>
      <c r="AB263" s="174">
        <f t="shared" si="119"/>
        <v>269189649</v>
      </c>
      <c r="AD263" s="701">
        <f t="shared" si="120"/>
        <v>27.603073850067823</v>
      </c>
      <c r="AE263" s="702">
        <f t="shared" si="121"/>
        <v>-9.3341815760882767</v>
      </c>
      <c r="AG263" s="701">
        <f t="shared" si="122"/>
        <v>3.0855659461828338</v>
      </c>
      <c r="AH263" s="702">
        <f t="shared" si="123"/>
        <v>-78.177668832808408</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5">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1.0024610857471454</v>
      </c>
      <c r="N264" s="694">
        <f t="shared" si="110"/>
        <v>-7.0086359189607594E-2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5.0017187236223428</v>
      </c>
      <c r="X264" s="699">
        <f t="shared" si="116"/>
        <v>-111.08442727629073</v>
      </c>
      <c r="Y264" s="702">
        <f t="shared" si="117"/>
        <v>68.915572723709275</v>
      </c>
      <c r="AA264" s="174">
        <f t="shared" si="118"/>
        <v>1000000000</v>
      </c>
      <c r="AB264" s="174">
        <f t="shared" si="119"/>
        <v>272299502.25</v>
      </c>
      <c r="AD264" s="701">
        <f t="shared" si="120"/>
        <v>27.602412904491658</v>
      </c>
      <c r="AE264" s="702">
        <f t="shared" si="121"/>
        <v>-9.3348708348898839</v>
      </c>
      <c r="AG264" s="701">
        <f t="shared" si="122"/>
        <v>3.0374928201346596</v>
      </c>
      <c r="AH264" s="702">
        <f t="shared" si="123"/>
        <v>-78.151429894282103</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5">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1.0024893194180351</v>
      </c>
      <c r="N265" s="694">
        <f t="shared" si="110"/>
        <v>-7.0486402059636119E-2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4.950520160989579</v>
      </c>
      <c r="X265" s="699">
        <f t="shared" si="116"/>
        <v>-111.19223376061561</v>
      </c>
      <c r="Y265" s="702">
        <f t="shared" si="117"/>
        <v>68.807766239384392</v>
      </c>
      <c r="AA265" s="174">
        <f t="shared" si="118"/>
        <v>1000000000</v>
      </c>
      <c r="AB265" s="174">
        <f t="shared" si="119"/>
        <v>275427216</v>
      </c>
      <c r="AD265" s="701">
        <f t="shared" si="120"/>
        <v>27.601755501031331</v>
      </c>
      <c r="AE265" s="702">
        <f t="shared" si="121"/>
        <v>-9.335856051171211</v>
      </c>
      <c r="AG265" s="701">
        <f t="shared" si="122"/>
        <v>2.9897101657527796</v>
      </c>
      <c r="AH265" s="702">
        <f t="shared" si="123"/>
        <v>-78.124973542377688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5">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1.0025183161791982</v>
      </c>
      <c r="N266" s="694">
        <f t="shared" si="110"/>
        <v>-7.0894888125456815E-2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4.8985226058522198</v>
      </c>
      <c r="X266" s="699">
        <f t="shared" si="116"/>
        <v>-111.30236963976084</v>
      </c>
      <c r="Y266" s="702">
        <f t="shared" si="117"/>
        <v>68.69763036023916</v>
      </c>
      <c r="AA266" s="174">
        <f t="shared" si="118"/>
        <v>1000000000</v>
      </c>
      <c r="AB266" s="174">
        <f t="shared" si="119"/>
        <v>278639556.25</v>
      </c>
      <c r="AD266" s="701">
        <f t="shared" si="120"/>
        <v>27.601087712601124</v>
      </c>
      <c r="AE266" s="702">
        <f t="shared" si="121"/>
        <v>-9.3371623089191029</v>
      </c>
      <c r="AG266" s="701">
        <f t="shared" si="122"/>
        <v>2.9412127041977039</v>
      </c>
      <c r="AH266" s="702">
        <f t="shared" si="123"/>
        <v>-78.097737046127179</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5">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1.0025474802117427</v>
      </c>
      <c r="N267" s="694">
        <f t="shared" si="110"/>
        <v>-7.1303350493771303E-2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4.8468092004414416</v>
      </c>
      <c r="X267" s="699">
        <f t="shared" si="116"/>
        <v>-111.41255254896733</v>
      </c>
      <c r="Y267" s="702">
        <f t="shared" si="117"/>
        <v>68.587447451032673</v>
      </c>
      <c r="AA267" s="174">
        <f t="shared" si="118"/>
        <v>1000000000</v>
      </c>
      <c r="AB267" s="174">
        <f t="shared" si="119"/>
        <v>281870521</v>
      </c>
      <c r="AD267" s="701">
        <f t="shared" si="120"/>
        <v>27.600423363850929</v>
      </c>
      <c r="AE267" s="702">
        <f t="shared" si="121"/>
        <v>-9.3387666991936147</v>
      </c>
      <c r="AG267" s="701">
        <f t="shared" si="122"/>
        <v>2.8930115193521559</v>
      </c>
      <c r="AH267" s="702">
        <f t="shared" si="123"/>
        <v>-78.070282143803482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5">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1.0025768115010716</v>
      </c>
      <c r="N268" s="694">
        <f t="shared" si="110"/>
        <v>-7.1711789030356618E-2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4.7953765753596258</v>
      </c>
      <c r="X268" s="699">
        <f t="shared" si="116"/>
        <v>-111.52278125894908</v>
      </c>
      <c r="Y268" s="702">
        <f t="shared" si="117"/>
        <v>68.477218741050919</v>
      </c>
      <c r="AA268" s="174">
        <f t="shared" si="118"/>
        <v>1000000000</v>
      </c>
      <c r="AB268" s="174">
        <f t="shared" si="119"/>
        <v>285120110.25</v>
      </c>
      <c r="AD268" s="701">
        <f t="shared" si="120"/>
        <v>27.599762331889387</v>
      </c>
      <c r="AE268" s="702">
        <f t="shared" si="121"/>
        <v>-9.340664102252358</v>
      </c>
      <c r="AG268" s="701">
        <f t="shared" si="122"/>
        <v>2.845103350441418</v>
      </c>
      <c r="AH268" s="702">
        <f t="shared" si="123"/>
        <v>-78.042612893298013</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5">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1.0026063100325053</v>
      </c>
      <c r="N269" s="694">
        <f t="shared" ref="N269:N332" si="142">-ATAN(G269/z_RHP)</f>
        <v>-7.2120203601037283E-2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4.7442214195132184</v>
      </c>
      <c r="X269" s="699">
        <f t="shared" ref="X269:X332" si="148">((L269+R269+N269+V269)-(J269+P269+T269))*radconv</f>
        <v>-111.63305456555072</v>
      </c>
      <c r="Y269" s="702">
        <f t="shared" ref="Y269:Y332" si="149">IF(X269&gt;0,X269,X269+180)</f>
        <v>68.366945434449278</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2.7974849914512152</v>
      </c>
      <c r="AH269" s="702">
        <f t="shared" ref="AH269:AH332" si="155">(L269+N269-(J269+V269))*radconv</f>
        <v>-78.014733262375998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5">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1.0026367465563986</v>
      </c>
      <c r="N270" s="694">
        <f t="shared" si="142"/>
        <v>-7.2539173814224547E-2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4.6920259348978766</v>
      </c>
      <c r="X270" s="699">
        <f t="shared" si="148"/>
        <v>-111.74622980180975</v>
      </c>
      <c r="Y270" s="702">
        <f t="shared" si="149"/>
        <v>68.253770198190253</v>
      </c>
      <c r="AA270" s="174">
        <f t="shared" si="150"/>
        <v>1000000000</v>
      </c>
      <c r="AB270" s="174">
        <f t="shared" si="151"/>
        <v>291760561</v>
      </c>
      <c r="AD270" s="701">
        <f t="shared" si="152"/>
        <v>27.598432821443012</v>
      </c>
      <c r="AE270" s="702">
        <f t="shared" si="153"/>
        <v>-9.3453857096443027</v>
      </c>
      <c r="AG270" s="701">
        <f t="shared" si="154"/>
        <v>2.748930861466409</v>
      </c>
      <c r="AH270" s="702">
        <f t="shared" si="155"/>
        <v>-77.985916801288056</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5">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1.0026673590684723</v>
      </c>
      <c r="N271" s="694">
        <f t="shared" si="142"/>
        <v>-7.2958118517726198E-2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4.6401156049542545</v>
      </c>
      <c r="X271" s="699">
        <f t="shared" si="148"/>
        <v>-111.85944948602845</v>
      </c>
      <c r="Y271" s="702">
        <f t="shared" si="149"/>
        <v>68.140550513971547</v>
      </c>
      <c r="AA271" s="174">
        <f t="shared" si="150"/>
        <v>1000000000</v>
      </c>
      <c r="AB271" s="174">
        <f t="shared" si="151"/>
        <v>295152400</v>
      </c>
      <c r="AD271" s="701">
        <f t="shared" si="152"/>
        <v>27.597764266882329</v>
      </c>
      <c r="AE271" s="702">
        <f t="shared" si="153"/>
        <v>-9.348214715877404</v>
      </c>
      <c r="AG271" s="701">
        <f t="shared" si="154"/>
        <v>2.7006750876422396</v>
      </c>
      <c r="AH271" s="702">
        <f t="shared" si="155"/>
        <v>-77.956887097953242</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5">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1.0026981475526078</v>
      </c>
      <c r="N272" s="694">
        <f t="shared" si="142"/>
        <v>-7.3377037566823552E-2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4.5884870371447244</v>
      </c>
      <c r="X272" s="699">
        <f t="shared" si="148"/>
        <v>-111.97271239604706</v>
      </c>
      <c r="Y272" s="702">
        <f t="shared" si="149"/>
        <v>68.027287603952942</v>
      </c>
      <c r="AA272" s="174">
        <f t="shared" si="150"/>
        <v>1000000000</v>
      </c>
      <c r="AB272" s="174">
        <f t="shared" si="151"/>
        <v>298563841</v>
      </c>
      <c r="AD272" s="701">
        <f t="shared" si="152"/>
        <v>27.597098715337186</v>
      </c>
      <c r="AE272" s="702">
        <f t="shared" si="153"/>
        <v>-9.351331484213393</v>
      </c>
      <c r="AG272" s="701">
        <f t="shared" si="154"/>
        <v>2.6527143800274455</v>
      </c>
      <c r="AH272" s="702">
        <f t="shared" si="155"/>
        <v>-77.927648157198007</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5">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1.0027291119925952</v>
      </c>
      <c r="N273" s="694">
        <f t="shared" si="142"/>
        <v>-7.3795930816851679E-2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4.537136897776886</v>
      </c>
      <c r="X273" s="699">
        <f t="shared" si="148"/>
        <v>-112.08601733462807</v>
      </c>
      <c r="Y273" s="702">
        <f t="shared" si="149"/>
        <v>67.913982665371933</v>
      </c>
      <c r="AA273" s="174">
        <f t="shared" si="150"/>
        <v>1000000000</v>
      </c>
      <c r="AB273" s="174">
        <f t="shared" si="151"/>
        <v>301994884</v>
      </c>
      <c r="AD273" s="701">
        <f t="shared" si="152"/>
        <v>27.596436051882968</v>
      </c>
      <c r="AE273" s="702">
        <f t="shared" si="153"/>
        <v>-9.3547310805116304</v>
      </c>
      <c r="AG273" s="701">
        <f t="shared" si="154"/>
        <v>2.6050455040847273</v>
      </c>
      <c r="AH273" s="702">
        <f t="shared" si="155"/>
        <v>-77.898203894769352</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5">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1.0027609621526572</v>
      </c>
      <c r="N274" s="694">
        <f t="shared" si="142"/>
        <v>-7.4224317532059908E-2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4.484904287944846</v>
      </c>
      <c r="X274" s="699">
        <f t="shared" si="148"/>
        <v>-112.20193963532034</v>
      </c>
      <c r="Y274" s="702">
        <f t="shared" si="149"/>
        <v>67.798060364679657</v>
      </c>
      <c r="AA274" s="174">
        <f t="shared" si="150"/>
        <v>1000000000</v>
      </c>
      <c r="AB274" s="174">
        <f t="shared" si="151"/>
        <v>305524180.5625</v>
      </c>
      <c r="AD274" s="701">
        <f t="shared" si="152"/>
        <v>27.595761198818266</v>
      </c>
      <c r="AE274" s="702">
        <f t="shared" si="153"/>
        <v>-9.3584954566635297</v>
      </c>
      <c r="AG274" s="701">
        <f t="shared" si="154"/>
        <v>2.5565917862368637</v>
      </c>
      <c r="AH274" s="702">
        <f t="shared" si="155"/>
        <v>-77.867882060455557</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5">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1.0027929963228661</v>
      </c>
      <c r="N275" s="694">
        <f t="shared" si="142"/>
        <v>-7.4652676956291644E-2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4.4329560357030759</v>
      </c>
      <c r="X275" s="699">
        <f t="shared" si="148"/>
        <v>-112.31790344055344</v>
      </c>
      <c r="Y275" s="702">
        <f t="shared" si="149"/>
        <v>67.682096559446563</v>
      </c>
      <c r="AA275" s="174">
        <f t="shared" si="150"/>
        <v>1000000000</v>
      </c>
      <c r="AB275" s="174">
        <f t="shared" si="151"/>
        <v>309073980.25</v>
      </c>
      <c r="AD275" s="701">
        <f t="shared" si="152"/>
        <v>27.595089133736334</v>
      </c>
      <c r="AE275" s="702">
        <f t="shared" si="153"/>
        <v>-9.3625455736097827</v>
      </c>
      <c r="AG275" s="701">
        <f t="shared" si="154"/>
        <v>2.5084366446512001</v>
      </c>
      <c r="AH275" s="702">
        <f t="shared" si="155"/>
        <v>-77.83735347566946</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5">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1.0028252144855878</v>
      </c>
      <c r="N276" s="694">
        <f t="shared" si="142"/>
        <v>-7.508100893496894E-2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4.3812887571695454</v>
      </c>
      <c r="X276" s="699">
        <f t="shared" si="148"/>
        <v>-112.43390754612581</v>
      </c>
      <c r="Y276" s="702">
        <f t="shared" si="149"/>
        <v>67.566092453874191</v>
      </c>
      <c r="AA276" s="174">
        <f t="shared" si="150"/>
        <v>1000000000</v>
      </c>
      <c r="AB276" s="174">
        <f t="shared" si="151"/>
        <v>312644283.0625</v>
      </c>
      <c r="AD276" s="701">
        <f t="shared" si="152"/>
        <v>27.594419743876276</v>
      </c>
      <c r="AE276" s="702">
        <f t="shared" si="153"/>
        <v>-9.3668765014389912</v>
      </c>
      <c r="AG276" s="701">
        <f t="shared" si="154"/>
        <v>2.4605767911020942</v>
      </c>
      <c r="AH276" s="702">
        <f t="shared" si="155"/>
        <v>-77.806622056138721</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5">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1.0028576166230896</v>
      </c>
      <c r="N277" s="694">
        <f t="shared" si="142"/>
        <v>-7.5509313313573898E-2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4.329899127117887</v>
      </c>
      <c r="X277" s="699">
        <f t="shared" si="148"/>
        <v>-112.54995077224116</v>
      </c>
      <c r="Y277" s="702">
        <f t="shared" si="149"/>
        <v>67.450049227758839</v>
      </c>
      <c r="AA277" s="174">
        <f t="shared" si="150"/>
        <v>1000000000</v>
      </c>
      <c r="AB277" s="174">
        <f t="shared" si="151"/>
        <v>316235089</v>
      </c>
      <c r="AD277" s="701">
        <f t="shared" si="152"/>
        <v>27.593752919680178</v>
      </c>
      <c r="AE277" s="702">
        <f t="shared" si="153"/>
        <v>-9.3714834211504883</v>
      </c>
      <c r="AG277" s="701">
        <f t="shared" si="154"/>
        <v>2.4130089927381784</v>
      </c>
      <c r="AH277" s="702">
        <f t="shared" si="155"/>
        <v>-77.775691630644658</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5">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1.0028909289422219</v>
      </c>
      <c r="N278" s="694">
        <f t="shared" si="142"/>
        <v>-7.5947106879543036E-2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4.2776510749265322</v>
      </c>
      <c r="X278" s="699">
        <f t="shared" si="148"/>
        <v>-112.66861196734285</v>
      </c>
      <c r="Y278" s="702">
        <f t="shared" si="149"/>
        <v>67.331388032657145</v>
      </c>
      <c r="AA278" s="174">
        <f t="shared" si="150"/>
        <v>1000000000</v>
      </c>
      <c r="AB278" s="174">
        <f t="shared" si="151"/>
        <v>319926882.25</v>
      </c>
      <c r="AD278" s="701">
        <f t="shared" si="152"/>
        <v>27.593073818152867</v>
      </c>
      <c r="AE278" s="702">
        <f t="shared" si="153"/>
        <v>-9.3764730717561626</v>
      </c>
      <c r="AG278" s="701">
        <f t="shared" si="154"/>
        <v>2.3646826851732077</v>
      </c>
      <c r="AH278" s="702">
        <f t="shared" si="155"/>
        <v>-77.743872071923704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5">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1.0029244334658545</v>
      </c>
      <c r="N279" s="694">
        <f t="shared" si="142"/>
        <v>-7.6384871278822472E-2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4.2256863035256806</v>
      </c>
      <c r="X279" s="699">
        <f t="shared" si="148"/>
        <v>-112.78731162316924</v>
      </c>
      <c r="Y279" s="702">
        <f t="shared" si="149"/>
        <v>67.212688376830755</v>
      </c>
      <c r="AA279" s="174">
        <f t="shared" si="150"/>
        <v>1000000000</v>
      </c>
      <c r="AB279" s="174">
        <f t="shared" si="151"/>
        <v>323640100</v>
      </c>
      <c r="AD279" s="701">
        <f t="shared" si="152"/>
        <v>27.592397175861883</v>
      </c>
      <c r="AE279" s="702">
        <f t="shared" si="153"/>
        <v>-9.3817412751982232</v>
      </c>
      <c r="AG279" s="701">
        <f t="shared" si="154"/>
        <v>2.316654897679022</v>
      </c>
      <c r="AH279" s="702">
        <f t="shared" si="155"/>
        <v>-77.711852387246296</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5">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1.0029581301747257</v>
      </c>
      <c r="N280" s="694">
        <f t="shared" si="142"/>
        <v>-7.6822606346559394E-2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4.1740014424662792</v>
      </c>
      <c r="X280" s="699">
        <f t="shared" si="148"/>
        <v>-112.90604855433504</v>
      </c>
      <c r="Y280" s="702">
        <f t="shared" si="149"/>
        <v>67.093951445664956</v>
      </c>
      <c r="AA280" s="174">
        <f t="shared" si="150"/>
        <v>1000000000</v>
      </c>
      <c r="AB280" s="174">
        <f t="shared" si="151"/>
        <v>327374742.25</v>
      </c>
      <c r="AD280" s="701">
        <f t="shared" si="152"/>
        <v>27.591722885474045</v>
      </c>
      <c r="AE280" s="702">
        <f t="shared" si="153"/>
        <v>-9.3872832235299626</v>
      </c>
      <c r="AG280" s="701">
        <f t="shared" si="154"/>
        <v>2.2689223485328593</v>
      </c>
      <c r="AH280" s="702">
        <f t="shared" si="155"/>
        <v>-77.679636400229626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5">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1.0029920190494652</v>
      </c>
      <c r="N281" s="694">
        <f t="shared" si="142"/>
        <v>-7.7260311917967978E-2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4.1225931796577697</v>
      </c>
      <c r="X281" s="699">
        <f t="shared" si="148"/>
        <v>-113.02482159931074</v>
      </c>
      <c r="Y281" s="702">
        <f t="shared" si="149"/>
        <v>66.975178400689259</v>
      </c>
      <c r="AA281" s="174">
        <f t="shared" si="150"/>
        <v>1000000000</v>
      </c>
      <c r="AB281" s="174">
        <f t="shared" si="151"/>
        <v>331130809</v>
      </c>
      <c r="AD281" s="701">
        <f t="shared" si="152"/>
        <v>27.591050842705375</v>
      </c>
      <c r="AE281" s="702">
        <f t="shared" si="153"/>
        <v>-9.3930942168770564</v>
      </c>
      <c r="AG281" s="701">
        <f t="shared" si="154"/>
        <v>2.2214818112368548</v>
      </c>
      <c r="AH281" s="702">
        <f t="shared" si="155"/>
        <v>-77.647227849784173</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5">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1.0030269256601645</v>
      </c>
      <c r="N282" s="694">
        <f t="shared" si="142"/>
        <v>-7.7708559341970393E-2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4.070226471219847</v>
      </c>
      <c r="X282" s="699">
        <f t="shared" si="148"/>
        <v>-113.14649980197683</v>
      </c>
      <c r="Y282" s="702">
        <f t="shared" si="149"/>
        <v>66.85350019802317</v>
      </c>
      <c r="AA282" s="174">
        <f t="shared" si="150"/>
        <v>1000000000</v>
      </c>
      <c r="AB282" s="174">
        <f t="shared" si="151"/>
        <v>334999809</v>
      </c>
      <c r="AD282" s="701">
        <f t="shared" si="152"/>
        <v>27.59036479086387</v>
      </c>
      <c r="AE282" s="702">
        <f t="shared" si="153"/>
        <v>-9.399319643548198</v>
      </c>
      <c r="AG282" s="701">
        <f t="shared" si="154"/>
        <v>2.1731947298990351</v>
      </c>
      <c r="AH282" s="702">
        <f t="shared" si="155"/>
        <v>-77.613840707707809</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5">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1.0030620337907539</v>
      </c>
      <c r="N283" s="694">
        <f t="shared" si="142"/>
        <v>-7.8156775477848592E-2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4.0181430345484106</v>
      </c>
      <c r="X283" s="699">
        <f t="shared" si="148"/>
        <v>-113.26821349199039</v>
      </c>
      <c r="Y283" s="702">
        <f t="shared" si="149"/>
        <v>66.731786508009606</v>
      </c>
      <c r="AA283" s="174">
        <f t="shared" si="150"/>
        <v>1000000000</v>
      </c>
      <c r="AB283" s="174">
        <f t="shared" si="151"/>
        <v>338891281</v>
      </c>
      <c r="AD283" s="701">
        <f t="shared" si="152"/>
        <v>27.589680884490004</v>
      </c>
      <c r="AE283" s="702">
        <f t="shared" si="153"/>
        <v>-9.4058176256131159</v>
      </c>
      <c r="AG283" s="701">
        <f t="shared" si="154"/>
        <v>2.1252072596279517</v>
      </c>
      <c r="AH283" s="702">
        <f t="shared" si="155"/>
        <v>-77.580259263291637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5">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1.0030973434200738</v>
      </c>
      <c r="N284" s="694">
        <f t="shared" si="142"/>
        <v>-7.8604960148806094E-2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3.9663394934099565</v>
      </c>
      <c r="X284" s="699">
        <f t="shared" si="148"/>
        <v>-113.38996149522951</v>
      </c>
      <c r="Y284" s="702">
        <f t="shared" si="149"/>
        <v>66.610038504770486</v>
      </c>
      <c r="AA284" s="174">
        <f t="shared" si="150"/>
        <v>1000000000</v>
      </c>
      <c r="AB284" s="174">
        <f t="shared" si="151"/>
        <v>342805225</v>
      </c>
      <c r="AD284" s="701">
        <f t="shared" si="152"/>
        <v>27.588999020847101</v>
      </c>
      <c r="AE284" s="702">
        <f t="shared" si="153"/>
        <v>-9.4125834473511105</v>
      </c>
      <c r="AG284" s="701">
        <f t="shared" si="154"/>
        <v>2.0775161065749166</v>
      </c>
      <c r="AH284" s="702">
        <f t="shared" si="155"/>
        <v>-77.546487271977995</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5">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1.0031328545268465</v>
      </c>
      <c r="N285" s="694">
        <f t="shared" si="142"/>
        <v>-7.9053113178121831E-2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3.9148125300770009</v>
      </c>
      <c r="X285" s="699">
        <f t="shared" si="148"/>
        <v>-113.5117426610679</v>
      </c>
      <c r="Y285" s="702">
        <f t="shared" si="149"/>
        <v>66.488257338932101</v>
      </c>
      <c r="AA285" s="174">
        <f t="shared" si="150"/>
        <v>1000000000</v>
      </c>
      <c r="AB285" s="174">
        <f t="shared" si="151"/>
        <v>346741641</v>
      </c>
      <c r="AD285" s="701">
        <f t="shared" si="152"/>
        <v>27.588319100123261</v>
      </c>
      <c r="AE285" s="702">
        <f t="shared" si="153"/>
        <v>-9.4196124991417616</v>
      </c>
      <c r="AG285" s="701">
        <f t="shared" si="154"/>
        <v>2.0301180323814032</v>
      </c>
      <c r="AH285" s="702">
        <f t="shared" si="155"/>
        <v>-77.512528406057243</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5">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1.0031694117986167</v>
      </c>
      <c r="N286" s="694">
        <f t="shared" si="142"/>
        <v>-7.9511802900134196E-2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3.8623533444751352</v>
      </c>
      <c r="X286" s="699">
        <f t="shared" si="148"/>
        <v>-113.63642919221559</v>
      </c>
      <c r="Y286" s="702">
        <f t="shared" si="149"/>
        <v>66.363570807784413</v>
      </c>
      <c r="AA286" s="174">
        <f t="shared" si="150"/>
        <v>1000000000</v>
      </c>
      <c r="AB286" s="174">
        <f t="shared" si="151"/>
        <v>350794170.25</v>
      </c>
      <c r="AD286" s="701">
        <f t="shared" si="152"/>
        <v>27.587625054511822</v>
      </c>
      <c r="AE286" s="702">
        <f t="shared" si="153"/>
        <v>-9.4270752428583098</v>
      </c>
      <c r="AG286" s="701">
        <f t="shared" si="154"/>
        <v>1.9819022845691996</v>
      </c>
      <c r="AH286" s="702">
        <f t="shared" si="155"/>
        <v>-77.477578834056033</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5">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1.0032061801180721</v>
      </c>
      <c r="N287" s="694">
        <f t="shared" si="142"/>
        <v>-7.9970459095940208E-2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3.8101770845604719</v>
      </c>
      <c r="X287" s="699">
        <f t="shared" si="148"/>
        <v>-113.76114810184177</v>
      </c>
      <c r="Y287" s="702">
        <f t="shared" si="149"/>
        <v>66.238851898158231</v>
      </c>
      <c r="AA287" s="174">
        <f t="shared" si="150"/>
        <v>1000000000</v>
      </c>
      <c r="AB287" s="174">
        <f t="shared" si="151"/>
        <v>354870244</v>
      </c>
      <c r="AD287" s="701">
        <f t="shared" si="152"/>
        <v>27.586932841896967</v>
      </c>
      <c r="AE287" s="702">
        <f t="shared" si="153"/>
        <v>-9.4348043342316803</v>
      </c>
      <c r="AG287" s="701">
        <f t="shared" si="154"/>
        <v>1.9339869100449258</v>
      </c>
      <c r="AH287" s="702">
        <f t="shared" si="155"/>
        <v>-77.44244099760401</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5">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1.0032431594620081</v>
      </c>
      <c r="N288" s="694">
        <f t="shared" si="142"/>
        <v>-8.0429081576265798E-2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3.758280374091441</v>
      </c>
      <c r="X288" s="699">
        <f t="shared" si="148"/>
        <v>-113.88589822834605</v>
      </c>
      <c r="Y288" s="702">
        <f t="shared" si="149"/>
        <v>66.114101771653949</v>
      </c>
      <c r="AA288" s="174">
        <f t="shared" si="150"/>
        <v>1000000000</v>
      </c>
      <c r="AB288" s="174">
        <f t="shared" si="151"/>
        <v>358969862.25</v>
      </c>
      <c r="AD288" s="701">
        <f t="shared" si="152"/>
        <v>27.586242364128108</v>
      </c>
      <c r="AE288" s="702">
        <f t="shared" si="153"/>
        <v>-9.4427951560192263</v>
      </c>
      <c r="AG288" s="701">
        <f t="shared" si="154"/>
        <v>1.8863686084992719</v>
      </c>
      <c r="AH288" s="702">
        <f t="shared" si="155"/>
        <v>-77.407118579294817</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5">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1.003280349807091</v>
      </c>
      <c r="N289" s="694">
        <f t="shared" si="142"/>
        <v>-8.0887670151921429E-2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3.706659895349568</v>
      </c>
      <c r="X289" s="699">
        <f t="shared" si="148"/>
        <v>-114.01067843321792</v>
      </c>
      <c r="Y289" s="702">
        <f t="shared" si="149"/>
        <v>65.989321566782081</v>
      </c>
      <c r="AA289" s="174">
        <f t="shared" si="150"/>
        <v>1000000000</v>
      </c>
      <c r="AB289" s="174">
        <f t="shared" si="151"/>
        <v>363093025</v>
      </c>
      <c r="AD289" s="701">
        <f t="shared" si="152"/>
        <v>27.585553525853612</v>
      </c>
      <c r="AE289" s="702">
        <f t="shared" si="153"/>
        <v>-9.4510431948987748</v>
      </c>
      <c r="AG289" s="701">
        <f t="shared" si="154"/>
        <v>1.8390441352486842</v>
      </c>
      <c r="AH289" s="702">
        <f t="shared" si="155"/>
        <v>-77.371615180281168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5">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1.0033185289660769</v>
      </c>
      <c r="N290" s="694">
        <f t="shared" si="142"/>
        <v>-8.1355733465941993E-2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3.6542504438330079</v>
      </c>
      <c r="X290" s="699">
        <f t="shared" si="148"/>
        <v>-114.13807610763486</v>
      </c>
      <c r="Y290" s="702">
        <f t="shared" si="149"/>
        <v>65.861923892365141</v>
      </c>
      <c r="AA290" s="174">
        <f t="shared" si="150"/>
        <v>1000000000</v>
      </c>
      <c r="AB290" s="174">
        <f t="shared" si="151"/>
        <v>367325973.0625</v>
      </c>
      <c r="AD290" s="701">
        <f t="shared" si="152"/>
        <v>27.584851997564517</v>
      </c>
      <c r="AE290" s="702">
        <f t="shared" si="153"/>
        <v>-9.4597229680136188</v>
      </c>
      <c r="AG290" s="701">
        <f t="shared" si="154"/>
        <v>1.7910379975229385</v>
      </c>
      <c r="AH290" s="702">
        <f t="shared" si="155"/>
        <v>-77.335192543461588</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5">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1.0033569279186065</v>
      </c>
      <c r="N291" s="694">
        <f t="shared" si="142"/>
        <v>-8.1823761056476471E-2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3.6021219949007186</v>
      </c>
      <c r="X291" s="699">
        <f t="shared" si="148"/>
        <v>-114.26550279465299</v>
      </c>
      <c r="Y291" s="702">
        <f t="shared" si="149"/>
        <v>65.734497205347012</v>
      </c>
      <c r="AA291" s="174">
        <f t="shared" si="150"/>
        <v>1000000000</v>
      </c>
      <c r="AB291" s="174">
        <f t="shared" si="151"/>
        <v>371583452.25</v>
      </c>
      <c r="AD291" s="701">
        <f t="shared" si="152"/>
        <v>27.58415198522998</v>
      </c>
      <c r="AE291" s="702">
        <f t="shared" si="153"/>
        <v>-9.4686615529040079</v>
      </c>
      <c r="AG291" s="701">
        <f t="shared" si="154"/>
        <v>1.7433313412732512</v>
      </c>
      <c r="AH291" s="702">
        <f t="shared" si="155"/>
        <v>-77.298588674315894</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5">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1.0033955466394462</v>
      </c>
      <c r="N292" s="694">
        <f t="shared" si="142"/>
        <v>-8.2291752722595243E-2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3.5502712002296466</v>
      </c>
      <c r="X292" s="699">
        <f t="shared" si="148"/>
        <v>-114.39295735389213</v>
      </c>
      <c r="Y292" s="702">
        <f t="shared" si="149"/>
        <v>65.607042646107871</v>
      </c>
      <c r="AA292" s="174">
        <f t="shared" si="150"/>
        <v>1000000000</v>
      </c>
      <c r="AB292" s="174">
        <f t="shared" si="151"/>
        <v>375865462.5625</v>
      </c>
      <c r="AD292" s="701">
        <f t="shared" si="152"/>
        <v>27.583453395869103</v>
      </c>
      <c r="AE292" s="702">
        <f t="shared" si="153"/>
        <v>-9.4778544660838318</v>
      </c>
      <c r="AG292" s="701">
        <f t="shared" si="154"/>
        <v>1.6959208871092999</v>
      </c>
      <c r="AH292" s="702">
        <f t="shared" si="155"/>
        <v>-77.26180715468459</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5">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1.0034343851032215</v>
      </c>
      <c r="N293" s="694">
        <f t="shared" si="142"/>
        <v>-8.2759708263462517E-2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3.498694769396391</v>
      </c>
      <c r="X293" s="699">
        <f t="shared" si="148"/>
        <v>-114.52043866741577</v>
      </c>
      <c r="Y293" s="702">
        <f t="shared" si="149"/>
        <v>65.479561332584225</v>
      </c>
      <c r="AA293" s="174">
        <f t="shared" si="150"/>
        <v>1000000000</v>
      </c>
      <c r="AB293" s="174">
        <f t="shared" si="151"/>
        <v>380172004</v>
      </c>
      <c r="AD293" s="701">
        <f t="shared" si="152"/>
        <v>27.58275613915022</v>
      </c>
      <c r="AE293" s="702">
        <f t="shared" si="153"/>
        <v>-9.487297324732145</v>
      </c>
      <c r="AG293" s="701">
        <f t="shared" si="154"/>
        <v>1.6488034107864624</v>
      </c>
      <c r="AH293" s="702">
        <f t="shared" si="155"/>
        <v>-77.224851487515252</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5">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1.0034745043500666</v>
      </c>
      <c r="N294" s="694">
        <f t="shared" si="142"/>
        <v>-8.3240301983715875E-2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3.4460034503730625</v>
      </c>
      <c r="X294" s="699">
        <f t="shared" si="148"/>
        <v>-114.65139989935555</v>
      </c>
      <c r="Y294" s="702">
        <f t="shared" si="149"/>
        <v>65.348600100644447</v>
      </c>
      <c r="AA294" s="174">
        <f t="shared" si="150"/>
        <v>1000000000</v>
      </c>
      <c r="AB294" s="174">
        <f t="shared" si="151"/>
        <v>384620738.0625</v>
      </c>
      <c r="AD294" s="701">
        <f t="shared" si="152"/>
        <v>27.582041290217909</v>
      </c>
      <c r="AE294" s="702">
        <f t="shared" si="153"/>
        <v>-9.4972516645955913</v>
      </c>
      <c r="AG294" s="701">
        <f t="shared" si="154"/>
        <v>1.6007112744487841</v>
      </c>
      <c r="AH294" s="702">
        <f t="shared" si="155"/>
        <v>-77.186717074901594</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5">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1.0035148553511797</v>
      </c>
      <c r="N295" s="694">
        <f t="shared" si="142"/>
        <v>-8.3720857165926088E-2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3.3935947061884097</v>
      </c>
      <c r="X295" s="699">
        <f t="shared" si="148"/>
        <v>-114.78238703418378</v>
      </c>
      <c r="Y295" s="702">
        <f t="shared" si="149"/>
        <v>65.217612965816215</v>
      </c>
      <c r="AA295" s="174">
        <f t="shared" si="150"/>
        <v>1000000000</v>
      </c>
      <c r="AB295" s="174">
        <f t="shared" si="151"/>
        <v>389095350.25</v>
      </c>
      <c r="AD295" s="701">
        <f t="shared" si="152"/>
        <v>27.581327662141533</v>
      </c>
      <c r="AE295" s="702">
        <f t="shared" si="153"/>
        <v>-9.5074606163134323</v>
      </c>
      <c r="AG295" s="701">
        <f t="shared" si="154"/>
        <v>1.552921482020527</v>
      </c>
      <c r="AH295" s="702">
        <f t="shared" si="155"/>
        <v>-77.148406196829299</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5">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1.0035554380786058</v>
      </c>
      <c r="N296" s="694">
        <f t="shared" si="142"/>
        <v>-8.4201373592802817E-2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3.3414651538254252</v>
      </c>
      <c r="X296" s="699">
        <f t="shared" si="148"/>
        <v>-114.91339893060979</v>
      </c>
      <c r="Y296" s="702">
        <f t="shared" si="149"/>
        <v>65.086601069390213</v>
      </c>
      <c r="AA296" s="174">
        <f t="shared" si="150"/>
        <v>1000000000</v>
      </c>
      <c r="AB296" s="174">
        <f t="shared" si="151"/>
        <v>393595840.5625</v>
      </c>
      <c r="AD296" s="701">
        <f t="shared" si="152"/>
        <v>27.580615165199191</v>
      </c>
      <c r="AE296" s="702">
        <f t="shared" si="153"/>
        <v>-9.5179197444617216</v>
      </c>
      <c r="AG296" s="701">
        <f t="shared" si="154"/>
        <v>1.5054307136956968</v>
      </c>
      <c r="AH296" s="702">
        <f t="shared" si="155"/>
        <v>-77.10992240313935</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5">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1.0035962525042337</v>
      </c>
      <c r="N297" s="694">
        <f t="shared" si="142"/>
        <v>-8.4681851047162401E-2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3.2896114689877267</v>
      </c>
      <c r="X297" s="699">
        <f t="shared" si="148"/>
        <v>-115.04443446970926</v>
      </c>
      <c r="Y297" s="702">
        <f t="shared" si="149"/>
        <v>64.955565530290741</v>
      </c>
      <c r="AA297" s="174">
        <f t="shared" si="150"/>
        <v>1000000000</v>
      </c>
      <c r="AB297" s="174">
        <f t="shared" si="151"/>
        <v>398122209</v>
      </c>
      <c r="AD297" s="701">
        <f t="shared" si="152"/>
        <v>27.579903712239226</v>
      </c>
      <c r="AE297" s="702">
        <f t="shared" si="153"/>
        <v>-9.5286247135659856</v>
      </c>
      <c r="AG297" s="701">
        <f t="shared" si="154"/>
        <v>1.4582357057045747</v>
      </c>
      <c r="AH297" s="702">
        <f t="shared" si="155"/>
        <v>-77.071269165329838</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5">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1.0036381128369576</v>
      </c>
      <c r="N298" s="694">
        <f t="shared" si="142"/>
        <v>-8.517179208966684E-2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3.2370128270553056</v>
      </c>
      <c r="X298" s="699">
        <f t="shared" si="148"/>
        <v>-115.1780851320803</v>
      </c>
      <c r="Y298" s="702">
        <f t="shared" si="149"/>
        <v>64.821914867919702</v>
      </c>
      <c r="AA298" s="174">
        <f t="shared" si="150"/>
        <v>1000000000</v>
      </c>
      <c r="AB298" s="174">
        <f t="shared" si="151"/>
        <v>402764761</v>
      </c>
      <c r="AD298" s="701">
        <f t="shared" si="152"/>
        <v>27.579179173986152</v>
      </c>
      <c r="AE298" s="702">
        <f t="shared" si="153"/>
        <v>-9.539790219336556</v>
      </c>
      <c r="AG298" s="701">
        <f t="shared" si="154"/>
        <v>1.4104084372366568</v>
      </c>
      <c r="AH298" s="702">
        <f t="shared" si="155"/>
        <v>-77.03168037268253</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5">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1.0036802140650776</v>
      </c>
      <c r="N299" s="694">
        <f t="shared" si="142"/>
        <v>-8.5661692146788301E-2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3.1846942721720546</v>
      </c>
      <c r="X299" s="699">
        <f t="shared" si="148"/>
        <v>-115.31175809986084</v>
      </c>
      <c r="Y299" s="702">
        <f t="shared" si="149"/>
        <v>64.688241900139161</v>
      </c>
      <c r="AA299" s="174">
        <f t="shared" si="150"/>
        <v>1000000000</v>
      </c>
      <c r="AB299" s="174">
        <f t="shared" si="151"/>
        <v>407434225</v>
      </c>
      <c r="AD299" s="701">
        <f t="shared" si="152"/>
        <v>27.578455546160079</v>
      </c>
      <c r="AE299" s="702">
        <f t="shared" si="153"/>
        <v>-9.5512025867533907</v>
      </c>
      <c r="AG299" s="701">
        <f t="shared" si="154"/>
        <v>1.3628820623569022</v>
      </c>
      <c r="AH299" s="702">
        <f t="shared" si="155"/>
        <v>-76.991922418671408</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5">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1.0037225561582812</v>
      </c>
      <c r="N300" s="694">
        <f t="shared" si="142"/>
        <v>-8.6151550988545031E-2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3.1326524589701048</v>
      </c>
      <c r="X300" s="699">
        <f t="shared" si="148"/>
        <v>-115.44545225441861</v>
      </c>
      <c r="Y300" s="702">
        <f t="shared" si="149"/>
        <v>64.554547745581388</v>
      </c>
      <c r="AA300" s="174">
        <f t="shared" si="150"/>
        <v>1000000000</v>
      </c>
      <c r="AB300" s="174">
        <f t="shared" si="151"/>
        <v>412130601</v>
      </c>
      <c r="AD300" s="701">
        <f t="shared" si="152"/>
        <v>27.577732744047083</v>
      </c>
      <c r="AE300" s="702">
        <f t="shared" si="153"/>
        <v>-9.5628575213107947</v>
      </c>
      <c r="AG300" s="701">
        <f t="shared" si="154"/>
        <v>1.3156532918120136</v>
      </c>
      <c r="AH300" s="702">
        <f t="shared" si="155"/>
        <v>-76.951998747091849</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5">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1.0037651390860864</v>
      </c>
      <c r="N301" s="694">
        <f t="shared" si="142"/>
        <v>-8.6641368385073039E-2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3.0808840999596128</v>
      </c>
      <c r="X301" s="699">
        <f t="shared" si="148"/>
        <v>-115.57916649878401</v>
      </c>
      <c r="Y301" s="702">
        <f t="shared" si="149"/>
        <v>64.420833501215995</v>
      </c>
      <c r="AA301" s="174">
        <f t="shared" si="150"/>
        <v>1000000000</v>
      </c>
      <c r="AB301" s="174">
        <f t="shared" si="151"/>
        <v>416853889</v>
      </c>
      <c r="AD301" s="701">
        <f t="shared" si="152"/>
        <v>27.577010685356647</v>
      </c>
      <c r="AE301" s="702">
        <f t="shared" si="153"/>
        <v>-9.574750824941983</v>
      </c>
      <c r="AG301" s="701">
        <f t="shared" si="154"/>
        <v>1.2687188916824956</v>
      </c>
      <c r="AH301" s="702">
        <f t="shared" si="155"/>
        <v>-76.911912726132016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5">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1.0038090735222471</v>
      </c>
      <c r="N302" s="694">
        <f t="shared" si="142"/>
        <v>-8.7143810165220437E-2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3.028057671938162</v>
      </c>
      <c r="X302" s="699">
        <f t="shared" si="148"/>
        <v>-115.71635861854429</v>
      </c>
      <c r="Y302" s="702">
        <f t="shared" si="149"/>
        <v>64.283641381455709</v>
      </c>
      <c r="AA302" s="174">
        <f t="shared" si="150"/>
        <v>1000000000</v>
      </c>
      <c r="AB302" s="174">
        <f t="shared" si="151"/>
        <v>421727296</v>
      </c>
      <c r="AD302" s="701">
        <f t="shared" si="152"/>
        <v>27.576270641468092</v>
      </c>
      <c r="AE302" s="702">
        <f t="shared" si="153"/>
        <v>-9.5871951088116312</v>
      </c>
      <c r="AG302" s="701">
        <f t="shared" si="154"/>
        <v>1.220873226893348</v>
      </c>
      <c r="AH302" s="702">
        <f t="shared" si="155"/>
        <v>-76.870624748655729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5">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1.0038532613455236</v>
      </c>
      <c r="N303" s="694">
        <f t="shared" si="142"/>
        <v>-8.764620783901253E-2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2.975512197512673</v>
      </c>
      <c r="X303" s="699">
        <f t="shared" si="148"/>
        <v>-115.85356960939015</v>
      </c>
      <c r="Y303" s="702">
        <f t="shared" si="149"/>
        <v>64.146430390609851</v>
      </c>
      <c r="AA303" s="174">
        <f t="shared" si="150"/>
        <v>1000000000</v>
      </c>
      <c r="AB303" s="174">
        <f t="shared" si="151"/>
        <v>426629025</v>
      </c>
      <c r="AD303" s="701">
        <f t="shared" si="152"/>
        <v>27.575531211987091</v>
      </c>
      <c r="AE303" s="702">
        <f t="shared" si="153"/>
        <v>-9.5998816002190495</v>
      </c>
      <c r="AG303" s="701">
        <f t="shared" si="154"/>
        <v>1.1733306341336156</v>
      </c>
      <c r="AH303" s="702">
        <f t="shared" si="155"/>
        <v>-76.829172861682835</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5">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1.0038977025224565</v>
      </c>
      <c r="N304" s="694">
        <f t="shared" si="142"/>
        <v>-8.8148561158676517E-2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2.9232443087643252</v>
      </c>
      <c r="X304" s="699">
        <f t="shared" si="148"/>
        <v>-115.99079835429548</v>
      </c>
      <c r="Y304" s="702">
        <f t="shared" si="149"/>
        <v>64.009201645704522</v>
      </c>
      <c r="AA304" s="174">
        <f t="shared" si="150"/>
        <v>1000000000</v>
      </c>
      <c r="AB304" s="174">
        <f t="shared" si="151"/>
        <v>431559076</v>
      </c>
      <c r="AD304" s="701">
        <f t="shared" si="152"/>
        <v>27.574792315497323</v>
      </c>
      <c r="AE304" s="702">
        <f t="shared" si="153"/>
        <v>-9.6128060657703429</v>
      </c>
      <c r="AG304" s="701">
        <f t="shared" si="154"/>
        <v>1.1260877955023425</v>
      </c>
      <c r="AH304" s="702">
        <f t="shared" si="155"/>
        <v>-76.787560467185557</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5">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1.0039423970194001</v>
      </c>
      <c r="N305" s="694">
        <f t="shared" si="142"/>
        <v>-8.8650869876572946E-2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2.8712506961995334</v>
      </c>
      <c r="X305" s="699">
        <f t="shared" si="148"/>
        <v>-116.12804375772846</v>
      </c>
      <c r="Y305" s="702">
        <f t="shared" si="149"/>
        <v>63.871956242271537</v>
      </c>
      <c r="AA305" s="174">
        <f t="shared" si="150"/>
        <v>1000000000</v>
      </c>
      <c r="AB305" s="174">
        <f t="shared" si="151"/>
        <v>436517449</v>
      </c>
      <c r="AD305" s="701">
        <f t="shared" si="152"/>
        <v>27.574053872922608</v>
      </c>
      <c r="AE305" s="702">
        <f t="shared" si="153"/>
        <v>-9.6259643673637978</v>
      </c>
      <c r="AG305" s="701">
        <f t="shared" si="154"/>
        <v>1.0791414490527602</v>
      </c>
      <c r="AH305" s="702">
        <f t="shared" si="155"/>
        <v>-76.745790892402113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5">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1.003988386505785</v>
      </c>
      <c r="N306" s="694">
        <f t="shared" si="142"/>
        <v>-8.916474015117247E-2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2.8183360158592805</v>
      </c>
      <c r="X306" s="699">
        <f t="shared" si="148"/>
        <v>-116.26847691845826</v>
      </c>
      <c r="Y306" s="702">
        <f t="shared" si="149"/>
        <v>63.731523081541738</v>
      </c>
      <c r="AA306" s="174">
        <f t="shared" si="150"/>
        <v>1000000000</v>
      </c>
      <c r="AB306" s="174">
        <f t="shared" si="151"/>
        <v>441619717.5625</v>
      </c>
      <c r="AD306" s="701">
        <f t="shared" si="152"/>
        <v>27.573298755172068</v>
      </c>
      <c r="AE306" s="702">
        <f t="shared" si="153"/>
        <v>-9.6396645329934909</v>
      </c>
      <c r="AG306" s="701">
        <f t="shared" si="154"/>
        <v>1.0314137124316438</v>
      </c>
      <c r="AH306" s="702">
        <f t="shared" si="155"/>
        <v>-76.702896777405329</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5">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1.0040346410836849</v>
      </c>
      <c r="N307" s="694">
        <f t="shared" si="142"/>
        <v>-8.9678563214764653E-2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2.7657016078567946</v>
      </c>
      <c r="X307" s="699">
        <f t="shared" si="148"/>
        <v>-116.40892526294756</v>
      </c>
      <c r="Y307" s="702">
        <f t="shared" si="149"/>
        <v>63.591074737052438</v>
      </c>
      <c r="AA307" s="174">
        <f t="shared" si="150"/>
        <v>1000000000</v>
      </c>
      <c r="AB307" s="174">
        <f t="shared" si="151"/>
        <v>446751632.25</v>
      </c>
      <c r="AD307" s="701">
        <f t="shared" si="152"/>
        <v>27.57254395226385</v>
      </c>
      <c r="AE307" s="702">
        <f t="shared" si="153"/>
        <v>-9.6536009978535162</v>
      </c>
      <c r="AG307" s="701">
        <f t="shared" si="154"/>
        <v>0.98398959590941038</v>
      </c>
      <c r="AH307" s="702">
        <f t="shared" si="155"/>
        <v>-76.659844949022684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5">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1.0040811607164646</v>
      </c>
      <c r="N308" s="694">
        <f t="shared" si="142"/>
        <v>-9.019233880257975E-2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2.7133441091934083</v>
      </c>
      <c r="X308" s="699">
        <f t="shared" si="148"/>
        <v>-116.54938768406669</v>
      </c>
      <c r="Y308" s="702">
        <f t="shared" si="149"/>
        <v>63.450612315933313</v>
      </c>
      <c r="AA308" s="174">
        <f t="shared" si="150"/>
        <v>1000000000</v>
      </c>
      <c r="AB308" s="174">
        <f t="shared" si="151"/>
        <v>451913193.0625</v>
      </c>
      <c r="AD308" s="701">
        <f t="shared" si="152"/>
        <v>27.571789386614171</v>
      </c>
      <c r="AE308" s="702">
        <f t="shared" si="153"/>
        <v>-9.6677696228054497</v>
      </c>
      <c r="AG308" s="701">
        <f t="shared" si="154"/>
        <v>0.93686577988519426</v>
      </c>
      <c r="AH308" s="702">
        <f t="shared" si="155"/>
        <v>-76.616638741070517</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5">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1.0041279453672851</v>
      </c>
      <c r="N309" s="694">
        <f t="shared" si="142"/>
        <v>-9.0706066649997252E-2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2.6612602152133054</v>
      </c>
      <c r="X309" s="699">
        <f t="shared" si="148"/>
        <v>-116.68986309578577</v>
      </c>
      <c r="Y309" s="702">
        <f t="shared" si="149"/>
        <v>63.310136904214232</v>
      </c>
      <c r="AA309" s="174">
        <f t="shared" si="150"/>
        <v>1000000000</v>
      </c>
      <c r="AB309" s="174">
        <f t="shared" si="151"/>
        <v>457104400</v>
      </c>
      <c r="AD309" s="701">
        <f t="shared" si="152"/>
        <v>27.571034982874462</v>
      </c>
      <c r="AE309" s="702">
        <f t="shared" si="153"/>
        <v>-9.6821663618473064</v>
      </c>
      <c r="AG309" s="701">
        <f t="shared" si="154"/>
        <v>0.89003900072580966</v>
      </c>
      <c r="AH309" s="702">
        <f t="shared" si="155"/>
        <v>-76.573281414290108</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5">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1.0041760607816981</v>
      </c>
      <c r="N310" s="694">
        <f t="shared" si="142"/>
        <v>-9.1231348560873504E-2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2.6082794492956718</v>
      </c>
      <c r="X310" s="699">
        <f t="shared" si="148"/>
        <v>-116.83352378741399</v>
      </c>
      <c r="Y310" s="702">
        <f t="shared" si="149"/>
        <v>63.166476212586005</v>
      </c>
      <c r="AA310" s="174">
        <f t="shared" si="150"/>
        <v>1000000000</v>
      </c>
      <c r="AB310" s="174">
        <f t="shared" si="151"/>
        <v>462443520.25</v>
      </c>
      <c r="AD310" s="701">
        <f t="shared" si="152"/>
        <v>27.570263630407105</v>
      </c>
      <c r="AE310" s="702">
        <f t="shared" si="153"/>
        <v>-9.6971200641152109</v>
      </c>
      <c r="AG310" s="701">
        <f t="shared" si="154"/>
        <v>0.84245836589157397</v>
      </c>
      <c r="AH310" s="702">
        <f t="shared" si="155"/>
        <v>-76.528791809507609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5">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1.004224453242865</v>
      </c>
      <c r="N311" s="694">
        <f t="shared" si="142"/>
        <v>-9.1756579991156703E-2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2.5555779793332993</v>
      </c>
      <c r="X311" s="699">
        <f t="shared" si="148"/>
        <v>-116.97719583127274</v>
      </c>
      <c r="Y311" s="702">
        <f t="shared" si="149"/>
        <v>63.022804168727262</v>
      </c>
      <c r="AA311" s="174">
        <f t="shared" si="150"/>
        <v>1000000000</v>
      </c>
      <c r="AB311" s="174">
        <f t="shared" si="151"/>
        <v>467813641</v>
      </c>
      <c r="AD311" s="701">
        <f t="shared" si="152"/>
        <v>27.569492294718792</v>
      </c>
      <c r="AE311" s="702">
        <f t="shared" si="153"/>
        <v>-9.712304031477375</v>
      </c>
      <c r="AG311" s="701">
        <f t="shared" si="154"/>
        <v>0.79518160917177982</v>
      </c>
      <c r="AH311" s="702">
        <f t="shared" si="155"/>
        <v>-76.484150853347856</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5">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1.0042731227107358</v>
      </c>
      <c r="N312" s="694">
        <f t="shared" si="142"/>
        <v>-9.2281760658376205E-2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2.5031524523499451</v>
      </c>
      <c r="X312" s="699">
        <f t="shared" si="148"/>
        <v>-117.12087813087075</v>
      </c>
      <c r="Y312" s="702">
        <f t="shared" si="149"/>
        <v>62.87912186912925</v>
      </c>
      <c r="AA312" s="174">
        <f t="shared" si="150"/>
        <v>1000000000</v>
      </c>
      <c r="AB312" s="174">
        <f t="shared" si="151"/>
        <v>473214762.25</v>
      </c>
      <c r="AD312" s="701">
        <f t="shared" si="152"/>
        <v>27.568720902010956</v>
      </c>
      <c r="AE312" s="702">
        <f t="shared" si="153"/>
        <v>-9.7277142229299525</v>
      </c>
      <c r="AG312" s="701">
        <f t="shared" si="154"/>
        <v>0.7482054142357859</v>
      </c>
      <c r="AH312" s="702">
        <f t="shared" si="155"/>
        <v>-76.43936180854918</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5">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1.0043220691450392</v>
      </c>
      <c r="N313" s="694">
        <f t="shared" si="142"/>
        <v>-9.2806890280227969E-2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2.4509995735154524</v>
      </c>
      <c r="X313" s="699">
        <f t="shared" si="148"/>
        <v>-117.26456961039422</v>
      </c>
      <c r="Y313" s="702">
        <f t="shared" si="149"/>
        <v>62.735430389605781</v>
      </c>
      <c r="AA313" s="174">
        <f t="shared" si="150"/>
        <v>1000000000</v>
      </c>
      <c r="AB313" s="174">
        <f t="shared" si="151"/>
        <v>478646884</v>
      </c>
      <c r="AD313" s="701">
        <f t="shared" si="152"/>
        <v>27.567949380615833</v>
      </c>
      <c r="AE313" s="702">
        <f t="shared" si="153"/>
        <v>-9.7433466883142668</v>
      </c>
      <c r="AG313" s="701">
        <f t="shared" si="154"/>
        <v>0.70152652061932097</v>
      </c>
      <c r="AH313" s="702">
        <f t="shared" si="155"/>
        <v>-76.394427866532865</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5">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1.0043723828939251</v>
      </c>
      <c r="N314" s="694">
        <f t="shared" si="142"/>
        <v>-9.3343566107973883E-2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2.3979731012443311</v>
      </c>
      <c r="X314" s="699">
        <f t="shared" si="148"/>
        <v>-117.41144338557162</v>
      </c>
      <c r="Y314" s="702">
        <f t="shared" si="149"/>
        <v>62.588556614428384</v>
      </c>
      <c r="AA314" s="174">
        <f t="shared" si="150"/>
        <v>1000000000</v>
      </c>
      <c r="AB314" s="174">
        <f t="shared" si="151"/>
        <v>484231027.5625</v>
      </c>
      <c r="AD314" s="701">
        <f t="shared" si="152"/>
        <v>27.567160612151142</v>
      </c>
      <c r="AE314" s="702">
        <f t="shared" si="153"/>
        <v>-9.7595501221248284</v>
      </c>
      <c r="AG314" s="701">
        <f t="shared" si="154"/>
        <v>0.65412045435719979</v>
      </c>
      <c r="AH314" s="702">
        <f t="shared" si="155"/>
        <v>-76.348354924014671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5">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1.0044229858940628</v>
      </c>
      <c r="N315" s="694">
        <f t="shared" si="142"/>
        <v>-9.3880188014627039E-2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2.3452246749990842</v>
      </c>
      <c r="X315" s="699">
        <f t="shared" si="148"/>
        <v>-117.55832454185443</v>
      </c>
      <c r="Y315" s="702">
        <f t="shared" si="149"/>
        <v>62.441675458145568</v>
      </c>
      <c r="AA315" s="174">
        <f t="shared" si="150"/>
        <v>1000000000</v>
      </c>
      <c r="AB315" s="174">
        <f t="shared" si="151"/>
        <v>489847556.25</v>
      </c>
      <c r="AD315" s="701">
        <f t="shared" si="152"/>
        <v>27.566371564365721</v>
      </c>
      <c r="AE315" s="702">
        <f t="shared" si="153"/>
        <v>-9.7759776927868174</v>
      </c>
      <c r="AG315" s="701">
        <f t="shared" si="154"/>
        <v>0.60701825403247522</v>
      </c>
      <c r="AH315" s="702">
        <f t="shared" si="155"/>
        <v>-76.302137134629064</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5">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1.0044738781017373</v>
      </c>
      <c r="N316" s="694">
        <f t="shared" si="142"/>
        <v>-9.4416755699305521E-2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2.2927509565577684</v>
      </c>
      <c r="X316" s="699">
        <f t="shared" si="148"/>
        <v>-117.70521199396701</v>
      </c>
      <c r="Y316" s="702">
        <f t="shared" si="149"/>
        <v>62.294788006032988</v>
      </c>
      <c r="AA316" s="174">
        <f t="shared" si="150"/>
        <v>1000000000</v>
      </c>
      <c r="AB316" s="174">
        <f t="shared" si="151"/>
        <v>495496470.0625</v>
      </c>
      <c r="AD316" s="701">
        <f t="shared" si="152"/>
        <v>27.5655821671822</v>
      </c>
      <c r="AE316" s="702">
        <f t="shared" si="153"/>
        <v>-9.7926254604733707</v>
      </c>
      <c r="AG316" s="701">
        <f t="shared" si="154"/>
        <v>0.56021661119560151</v>
      </c>
      <c r="AH316" s="702">
        <f t="shared" si="155"/>
        <v>-76.255777687738089</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5">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1.004525059472992</v>
      </c>
      <c r="N317" s="694">
        <f t="shared" si="142"/>
        <v>-9.4953268861313181E-2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2.2405486655425015</v>
      </c>
      <c r="X317" s="699">
        <f t="shared" si="148"/>
        <v>-117.85210467686679</v>
      </c>
      <c r="Y317" s="702">
        <f t="shared" si="149"/>
        <v>62.147895323133213</v>
      </c>
      <c r="AA317" s="174">
        <f t="shared" si="150"/>
        <v>1000000000</v>
      </c>
      <c r="AB317" s="174">
        <f t="shared" si="151"/>
        <v>501177769</v>
      </c>
      <c r="AD317" s="701">
        <f t="shared" si="152"/>
        <v>27.564792352550857</v>
      </c>
      <c r="AE317" s="702">
        <f t="shared" si="153"/>
        <v>-9.809489573801228</v>
      </c>
      <c r="AG317" s="701">
        <f t="shared" si="154"/>
        <v>0.51371227305503664</v>
      </c>
      <c r="AH317" s="702">
        <f t="shared" si="155"/>
        <v>-76.20927970322407</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5">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1.0045778483201167</v>
      </c>
      <c r="N318" s="694">
        <f t="shared" si="142"/>
        <v>-9.5503427773030253E-2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2.1872916515593026</v>
      </c>
      <c r="X318" s="699">
        <f t="shared" si="148"/>
        <v>-118.00275337732353</v>
      </c>
      <c r="Y318" s="702">
        <f t="shared" si="149"/>
        <v>61.997246622676471</v>
      </c>
      <c r="AA318" s="174">
        <f t="shared" si="150"/>
        <v>1000000000</v>
      </c>
      <c r="AB318" s="174">
        <f t="shared" si="151"/>
        <v>507037806.25</v>
      </c>
      <c r="AD318" s="701">
        <f t="shared" si="152"/>
        <v>27.563981863044802</v>
      </c>
      <c r="AE318" s="702">
        <f t="shared" si="153"/>
        <v>-9.8270051620790486</v>
      </c>
      <c r="AG318" s="701">
        <f t="shared" si="154"/>
        <v>0.46632564297429202</v>
      </c>
      <c r="AH318" s="702">
        <f t="shared" si="155"/>
        <v>-76.161453453973394</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5">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1.0046309411956611</v>
      </c>
      <c r="N319" s="694">
        <f t="shared" si="142"/>
        <v>-9.6053528701485216E-2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2.1343132994357421</v>
      </c>
      <c r="X319" s="699">
        <f t="shared" si="148"/>
        <v>-118.15340537325092</v>
      </c>
      <c r="Y319" s="702">
        <f t="shared" si="149"/>
        <v>61.846594626749081</v>
      </c>
      <c r="AA319" s="174">
        <f t="shared" si="150"/>
        <v>1000000000</v>
      </c>
      <c r="AB319" s="174">
        <f t="shared" si="151"/>
        <v>512931904</v>
      </c>
      <c r="AD319" s="701">
        <f t="shared" si="152"/>
        <v>27.563170795778564</v>
      </c>
      <c r="AE319" s="702">
        <f t="shared" si="153"/>
        <v>-9.844740358227531</v>
      </c>
      <c r="AG319" s="701">
        <f t="shared" si="154"/>
        <v>0.419244942738981</v>
      </c>
      <c r="AH319" s="702">
        <f t="shared" si="155"/>
        <v>-76.113487930620039</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5">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1.0046843380514261</v>
      </c>
      <c r="N320" s="694">
        <f t="shared" si="142"/>
        <v>-9.6603571322963808E-2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2.0816102519663828</v>
      </c>
      <c r="X320" s="699">
        <f t="shared" si="148"/>
        <v>-118.30405957870119</v>
      </c>
      <c r="Y320" s="702">
        <f t="shared" si="149"/>
        <v>61.695940421298815</v>
      </c>
      <c r="AA320" s="174">
        <f t="shared" si="150"/>
        <v>1000000000</v>
      </c>
      <c r="AB320" s="174">
        <f t="shared" si="151"/>
        <v>518860062.25</v>
      </c>
      <c r="AD320" s="701">
        <f t="shared" si="152"/>
        <v>27.562359083560118</v>
      </c>
      <c r="AE320" s="702">
        <f t="shared" si="153"/>
        <v>-9.8626912819422117</v>
      </c>
      <c r="AG320" s="701">
        <f t="shared" si="154"/>
        <v>0.37246683818073378</v>
      </c>
      <c r="AH320" s="702">
        <f t="shared" si="155"/>
        <v>-76.065386283090419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5">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1.0047380388389464</v>
      </c>
      <c r="N321" s="694">
        <f t="shared" si="142"/>
        <v>-9.7153555313961457E-2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2.0291792102696231</v>
      </c>
      <c r="X321" s="699">
        <f t="shared" si="148"/>
        <v>-118.4547149278002</v>
      </c>
      <c r="Y321" s="702">
        <f t="shared" si="149"/>
        <v>61.545285072199803</v>
      </c>
      <c r="AA321" s="174">
        <f t="shared" si="150"/>
        <v>1000000000</v>
      </c>
      <c r="AB321" s="174">
        <f t="shared" si="151"/>
        <v>524822281</v>
      </c>
      <c r="AD321" s="701">
        <f t="shared" si="152"/>
        <v>27.561546661153088</v>
      </c>
      <c r="AE321" s="702">
        <f t="shared" si="153"/>
        <v>-9.8808541401852743</v>
      </c>
      <c r="AG321" s="701">
        <f t="shared" si="154"/>
        <v>0.32598805132910275</v>
      </c>
      <c r="AH321" s="702">
        <f t="shared" si="155"/>
        <v>-76.017151592698241</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5">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1.0047931848078968</v>
      </c>
      <c r="N322" s="694">
        <f t="shared" si="142"/>
        <v>-9.7715068173231251E-2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1.9759205956539749</v>
      </c>
      <c r="X322" s="699">
        <f t="shared" si="148"/>
        <v>-118.60854509941008</v>
      </c>
      <c r="Y322" s="702">
        <f t="shared" si="149"/>
        <v>61.39145490058992</v>
      </c>
      <c r="AA322" s="174">
        <f t="shared" si="150"/>
        <v>1000000000</v>
      </c>
      <c r="AB322" s="174">
        <f t="shared" si="151"/>
        <v>530945285.0625</v>
      </c>
      <c r="AD322" s="701">
        <f t="shared" si="152"/>
        <v>27.560716320126932</v>
      </c>
      <c r="AE322" s="702">
        <f t="shared" si="153"/>
        <v>-9.8996145686308683</v>
      </c>
      <c r="AG322" s="701">
        <f t="shared" si="154"/>
        <v>0.2788353231010659</v>
      </c>
      <c r="AH322" s="702">
        <f t="shared" si="155"/>
        <v>-75.967766316755217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5">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1.0048486475499829</v>
      </c>
      <c r="N323" s="694">
        <f t="shared" si="142"/>
        <v>-9.8276519223968725E-2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1.9229388004048944</v>
      </c>
      <c r="X323" s="699">
        <f t="shared" si="148"/>
        <v>-118.76237427911668</v>
      </c>
      <c r="Y323" s="702">
        <f t="shared" si="149"/>
        <v>61.237625720883315</v>
      </c>
      <c r="AA323" s="174">
        <f t="shared" si="150"/>
        <v>1000000000</v>
      </c>
      <c r="AB323" s="174">
        <f t="shared" si="151"/>
        <v>537103800.25</v>
      </c>
      <c r="AD323" s="701">
        <f t="shared" si="152"/>
        <v>27.559885107156163</v>
      </c>
      <c r="AE323" s="702">
        <f t="shared" si="153"/>
        <v>-9.9185882330056234</v>
      </c>
      <c r="AG323" s="701">
        <f t="shared" si="154"/>
        <v>0.23198792695258791</v>
      </c>
      <c r="AH323" s="702">
        <f t="shared" si="155"/>
        <v>-75.918248613958468</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5">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1.0049044270127541</v>
      </c>
      <c r="N324" s="694">
        <f t="shared" si="142"/>
        <v>-9.8837908122467941E-2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1.8702304923858495</v>
      </c>
      <c r="X324" s="699">
        <f t="shared" si="148"/>
        <v>-118.91620139360758</v>
      </c>
      <c r="Y324" s="702">
        <f t="shared" si="149"/>
        <v>61.083798606392421</v>
      </c>
      <c r="AA324" s="174">
        <f t="shared" si="150"/>
        <v>1000000000</v>
      </c>
      <c r="AB324" s="174">
        <f t="shared" si="151"/>
        <v>543297826.5625</v>
      </c>
      <c r="AD324" s="701">
        <f t="shared" si="152"/>
        <v>27.559052958687367</v>
      </c>
      <c r="AE324" s="702">
        <f t="shared" si="153"/>
        <v>-9.9377713614133683</v>
      </c>
      <c r="AG324" s="701">
        <f t="shared" si="154"/>
        <v>0.18544254657310211</v>
      </c>
      <c r="AH324" s="702">
        <f t="shared" si="155"/>
        <v>-75.868601555291903</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5">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1.0049605231434728</v>
      </c>
      <c r="N325" s="694">
        <f t="shared" si="142"/>
        <v>-9.9399234525255786E-2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1.8177923972516319</v>
      </c>
      <c r="X325" s="699">
        <f t="shared" si="148"/>
        <v>-119.07002538915063</v>
      </c>
      <c r="Y325" s="702">
        <f t="shared" si="149"/>
        <v>60.929974610849371</v>
      </c>
      <c r="AA325" s="174">
        <f t="shared" si="150"/>
        <v>1000000000</v>
      </c>
      <c r="AB325" s="174">
        <f t="shared" si="151"/>
        <v>549527364</v>
      </c>
      <c r="AD325" s="701">
        <f t="shared" si="152"/>
        <v>27.558219813020735</v>
      </c>
      <c r="AE325" s="702">
        <f t="shared" si="153"/>
        <v>-9.9571602665700993</v>
      </c>
      <c r="AG325" s="701">
        <f t="shared" si="154"/>
        <v>0.13919592141016424</v>
      </c>
      <c r="AH325" s="702">
        <f t="shared" si="155"/>
        <v>-75.818828145146654</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5">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1.005018315764622</v>
      </c>
      <c r="N326" s="694">
        <f t="shared" si="142"/>
        <v>-9.9974186656397082E-2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1.7643521399537021</v>
      </c>
      <c r="X326" s="699">
        <f t="shared" si="148"/>
        <v>-119.22759687404479</v>
      </c>
      <c r="Y326" s="702">
        <f t="shared" si="149"/>
        <v>60.772403125955208</v>
      </c>
      <c r="AA326" s="174">
        <f t="shared" si="150"/>
        <v>1000000000</v>
      </c>
      <c r="AB326" s="174">
        <f t="shared" si="151"/>
        <v>555945662.25</v>
      </c>
      <c r="AD326" s="701">
        <f t="shared" si="152"/>
        <v>27.557365250138901</v>
      </c>
      <c r="AE326" s="702">
        <f t="shared" si="153"/>
        <v>-9.9772316703369572</v>
      </c>
      <c r="AG326" s="701">
        <f t="shared" si="154"/>
        <v>9.2127752946506658E-2</v>
      </c>
      <c r="AH326" s="702">
        <f t="shared" si="155"/>
        <v>-75.767712810160702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5">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1.0050764405763579</v>
      </c>
      <c r="N327" s="694">
        <f t="shared" si="142"/>
        <v>-0.10054907247717657</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1.7111886618109899</v>
      </c>
      <c r="X327" s="699">
        <f t="shared" si="148"/>
        <v>-119.38516290826284</v>
      </c>
      <c r="Y327" s="702">
        <f t="shared" si="149"/>
        <v>60.614837091737158</v>
      </c>
      <c r="AA327" s="174">
        <f t="shared" si="150"/>
        <v>1000000000</v>
      </c>
      <c r="AB327" s="174">
        <f t="shared" si="151"/>
        <v>562401225</v>
      </c>
      <c r="AD327" s="701">
        <f t="shared" si="152"/>
        <v>27.556509515447061</v>
      </c>
      <c r="AE327" s="702">
        <f t="shared" si="153"/>
        <v>-9.997511440091138</v>
      </c>
      <c r="AG327" s="701">
        <f t="shared" si="154"/>
        <v>4.5366338291641398E-2</v>
      </c>
      <c r="AH327" s="702">
        <f t="shared" si="155"/>
        <v>-75.716471061126697</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5">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1.0051348975210508</v>
      </c>
      <c r="N328" s="694">
        <f t="shared" si="142"/>
        <v>-0.10112389161913884</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1.6582986231264112</v>
      </c>
      <c r="X328" s="699">
        <f t="shared" si="148"/>
        <v>-119.54272241964269</v>
      </c>
      <c r="Y328" s="702">
        <f t="shared" si="149"/>
        <v>60.457277580357314</v>
      </c>
      <c r="AA328" s="174">
        <f t="shared" si="150"/>
        <v>1000000000</v>
      </c>
      <c r="AB328" s="174">
        <f t="shared" si="151"/>
        <v>568894052.25</v>
      </c>
      <c r="AD328" s="701">
        <f t="shared" si="152"/>
        <v>27.555652548271219</v>
      </c>
      <c r="AE328" s="702">
        <f t="shared" si="153"/>
        <v>-10.017995872999327</v>
      </c>
      <c r="AG328" s="701">
        <f t="shared" si="154"/>
        <v>-1.0916536521513398E-3</v>
      </c>
      <c r="AH328" s="702">
        <f t="shared" si="155"/>
        <v>-75.665105922229017</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5">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1.0051936865407554</v>
      </c>
      <c r="N329" s="694">
        <f t="shared" si="142"/>
        <v>-0.10169864371409019</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1.6056787422186889</v>
      </c>
      <c r="X329" s="699">
        <f t="shared" si="148"/>
        <v>-119.70027435538266</v>
      </c>
      <c r="Y329" s="702">
        <f t="shared" si="149"/>
        <v>60.29972564461734</v>
      </c>
      <c r="AA329" s="174">
        <f t="shared" si="150"/>
        <v>1000000000</v>
      </c>
      <c r="AB329" s="174">
        <f t="shared" si="151"/>
        <v>575424144</v>
      </c>
      <c r="AD329" s="701">
        <f t="shared" si="152"/>
        <v>27.55479428971741</v>
      </c>
      <c r="AE329" s="702">
        <f t="shared" si="153"/>
        <v>-10.038681349340679</v>
      </c>
      <c r="AG329" s="701">
        <f t="shared" si="154"/>
        <v>-4.7249497937957012E-2</v>
      </c>
      <c r="AH329" s="702">
        <f t="shared" si="155"/>
        <v>-75.613620352161377</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5">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1.0052542192671439</v>
      </c>
      <c r="N330" s="694">
        <f t="shared" si="142"/>
        <v>-0.10228701053798075</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1.5520825225964439</v>
      </c>
      <c r="X330" s="699">
        <f t="shared" si="148"/>
        <v>-119.86156859978306</v>
      </c>
      <c r="Y330" s="702">
        <f t="shared" si="149"/>
        <v>60.138431400216945</v>
      </c>
      <c r="AA330" s="174">
        <f t="shared" si="150"/>
        <v>1000000000</v>
      </c>
      <c r="AB330" s="174">
        <f t="shared" si="151"/>
        <v>582148320.0625</v>
      </c>
      <c r="AD330" s="701">
        <f t="shared" si="152"/>
        <v>27.553914198880062</v>
      </c>
      <c r="AE330" s="702">
        <f t="shared" si="153"/>
        <v>-10.06006392261907</v>
      </c>
      <c r="AG330" s="701">
        <f t="shared" si="154"/>
        <v>-9.4198748559331247E-2</v>
      </c>
      <c r="AH330" s="702">
        <f t="shared" si="155"/>
        <v>-75.560787191421824</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5">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1.0053150999459561</v>
      </c>
      <c r="N331" s="694">
        <f t="shared" si="142"/>
        <v>-0.10287530630392355</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1.498762697681737</v>
      </c>
      <c r="X331" s="699">
        <f t="shared" si="148"/>
        <v>-120.02285273015339</v>
      </c>
      <c r="Y331" s="702">
        <f t="shared" si="149"/>
        <v>59.977147269846611</v>
      </c>
      <c r="AA331" s="174">
        <f t="shared" si="150"/>
        <v>1000000000</v>
      </c>
      <c r="AB331" s="174">
        <f t="shared" si="151"/>
        <v>588911556.25</v>
      </c>
      <c r="AD331" s="701">
        <f t="shared" si="152"/>
        <v>27.553032634966534</v>
      </c>
      <c r="AE331" s="702">
        <f t="shared" si="153"/>
        <v>-10.081649805101437</v>
      </c>
      <c r="AG331" s="701">
        <f t="shared" si="154"/>
        <v>-0.14084016150951911</v>
      </c>
      <c r="AH331" s="702">
        <f t="shared" si="155"/>
        <v>-75.507833870247268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5">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1.0053763285139816</v>
      </c>
      <c r="N332" s="694">
        <f t="shared" si="142"/>
        <v>-0.10346353061765573</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1.4457159262240964</v>
      </c>
      <c r="X332" s="699">
        <f t="shared" si="148"/>
        <v>-120.18412567646885</v>
      </c>
      <c r="Y332" s="702">
        <f t="shared" si="149"/>
        <v>59.815874323531148</v>
      </c>
      <c r="AA332" s="174">
        <f t="shared" si="150"/>
        <v>1000000000</v>
      </c>
      <c r="AB332" s="174">
        <f t="shared" si="151"/>
        <v>595713852.5625</v>
      </c>
      <c r="AD332" s="701">
        <f t="shared" si="152"/>
        <v>27.552149540191554</v>
      </c>
      <c r="AE332" s="702">
        <f t="shared" si="153"/>
        <v>-10.103435368048043</v>
      </c>
      <c r="AG332" s="701">
        <f t="shared" si="154"/>
        <v>-0.18717707695468971</v>
      </c>
      <c r="AH332" s="702">
        <f t="shared" si="155"/>
        <v>-75.454763362088045</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5">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1.0054379049076634</v>
      </c>
      <c r="N333" s="694">
        <f t="shared" ref="N333:N396" si="174">-ATAN(G333/z_RHP)</f>
        <v>-0.10405168308520794</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1.3929389250797741</v>
      </c>
      <c r="X333" s="699">
        <f t="shared" ref="X333:X396" si="180">((L333+R333+N333+V333)-(J333+P333+T333))*radconv</f>
        <v>-120.34538638781287</v>
      </c>
      <c r="Y333" s="702">
        <f t="shared" ref="Y333:Y396" si="181">IF(X333&gt;0,X333,X333+180)</f>
        <v>59.654613612187134</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-0.2332127788627536</v>
      </c>
      <c r="AH333" s="702">
        <f t="shared" ref="AH333:AH396" si="187">(L333+N333-(J333+V333))*radconv</f>
        <v>-75.401578576128728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5">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1.0055012732970043</v>
      </c>
      <c r="N334" s="694">
        <f t="shared" si="174"/>
        <v>-0.10465343873458063</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1.3392104403374794</v>
      </c>
      <c r="X334" s="699">
        <f t="shared" si="180"/>
        <v>-120.51038360640447</v>
      </c>
      <c r="Y334" s="702">
        <f t="shared" si="181"/>
        <v>59.489616393595526</v>
      </c>
      <c r="AA334" s="174">
        <f t="shared" si="182"/>
        <v>1000000000</v>
      </c>
      <c r="AB334" s="174">
        <f t="shared" si="183"/>
        <v>609596100</v>
      </c>
      <c r="AD334" s="701">
        <f t="shared" si="184"/>
        <v>27.550357903264846</v>
      </c>
      <c r="AE334" s="702">
        <f t="shared" si="185"/>
        <v>-10.148109373156853</v>
      </c>
      <c r="AG334" s="701">
        <f t="shared" si="186"/>
        <v>-0.28001064418450999</v>
      </c>
      <c r="AH334" s="702">
        <f t="shared" si="187"/>
        <v>-75.347041608792011</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5">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1.0055650057423056</v>
      </c>
      <c r="N335" s="694">
        <f t="shared" si="174"/>
        <v>-0.10525511832357524</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1.2857576447209873</v>
      </c>
      <c r="X335" s="699">
        <f t="shared" si="180"/>
        <v>-120.67536584714765</v>
      </c>
      <c r="Y335" s="702">
        <f t="shared" si="181"/>
        <v>59.324634152852354</v>
      </c>
      <c r="AA335" s="174">
        <f t="shared" si="182"/>
        <v>1000000000</v>
      </c>
      <c r="AB335" s="174">
        <f t="shared" si="183"/>
        <v>616677889</v>
      </c>
      <c r="AD335" s="701">
        <f t="shared" si="184"/>
        <v>27.549449172865728</v>
      </c>
      <c r="AE335" s="702">
        <f t="shared" si="185"/>
        <v>-10.170999780449947</v>
      </c>
      <c r="AG335" s="701">
        <f t="shared" si="186"/>
        <v>-0.3264999052889761</v>
      </c>
      <c r="AH335" s="702">
        <f t="shared" si="187"/>
        <v>-75.292390951130614</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5">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1.0056291021743502</v>
      </c>
      <c r="N336" s="694">
        <f t="shared" si="174"/>
        <v>-0.10585672143105646</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1.2325772010640004</v>
      </c>
      <c r="X336" s="699">
        <f t="shared" si="180"/>
        <v>-120.84033204299905</v>
      </c>
      <c r="Y336" s="702">
        <f t="shared" si="181"/>
        <v>59.159667957000948</v>
      </c>
      <c r="AA336" s="174">
        <f t="shared" si="182"/>
        <v>1000000000</v>
      </c>
      <c r="AB336" s="174">
        <f t="shared" si="183"/>
        <v>623800576</v>
      </c>
      <c r="AD336" s="701">
        <f t="shared" si="184"/>
        <v>27.548538612373704</v>
      </c>
      <c r="AE336" s="702">
        <f t="shared" si="185"/>
        <v>-10.194084735587701</v>
      </c>
      <c r="AG336" s="701">
        <f t="shared" si="186"/>
        <v>-0.37268390605303192</v>
      </c>
      <c r="AH336" s="702">
        <f t="shared" si="187"/>
        <v>-75.237629522531691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5">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1.0056935625235437</v>
      </c>
      <c r="N337" s="694">
        <f t="shared" si="174"/>
        <v>-0.10645824763621742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1.1796658302724641</v>
      </c>
      <c r="X337" s="699">
        <f t="shared" si="180"/>
        <v>-121.00528114574743</v>
      </c>
      <c r="Y337" s="702">
        <f t="shared" si="181"/>
        <v>58.994718854252568</v>
      </c>
      <c r="AA337" s="174">
        <f t="shared" si="182"/>
        <v>1000000000</v>
      </c>
      <c r="AB337" s="174">
        <f t="shared" si="183"/>
        <v>630964161</v>
      </c>
      <c r="AD337" s="701">
        <f t="shared" si="184"/>
        <v>27.547626168515134</v>
      </c>
      <c r="AE337" s="702">
        <f t="shared" si="185"/>
        <v>-10.217360767748804</v>
      </c>
      <c r="AG337" s="701">
        <f t="shared" si="186"/>
        <v>-0.41856593412646459</v>
      </c>
      <c r="AH337" s="702">
        <f t="shared" si="187"/>
        <v>-75.182760179443292</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5">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1.0057598642251497</v>
      </c>
      <c r="N338" s="694">
        <f t="shared" si="174"/>
        <v>-0.10707336490943173</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1.1258268856711644</v>
      </c>
      <c r="X338" s="699">
        <f t="shared" si="180"/>
        <v>-121.17396033829311</v>
      </c>
      <c r="Y338" s="702">
        <f t="shared" si="181"/>
        <v>58.826039661706886</v>
      </c>
      <c r="AA338" s="174">
        <f t="shared" si="182"/>
        <v>1000000000</v>
      </c>
      <c r="AB338" s="174">
        <f t="shared" si="183"/>
        <v>638332857.5625</v>
      </c>
      <c r="AD338" s="701">
        <f t="shared" si="184"/>
        <v>27.546690985368024</v>
      </c>
      <c r="AE338" s="702">
        <f t="shared" si="185"/>
        <v>-10.241359904870981</v>
      </c>
      <c r="AG338" s="701">
        <f t="shared" si="186"/>
        <v>-0.46518175910438225</v>
      </c>
      <c r="AH338" s="702">
        <f t="shared" si="187"/>
        <v>-75.126535097384036</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5">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1.0058265464251173</v>
      </c>
      <c r="N339" s="694">
        <f t="shared" si="174"/>
        <v>-0.10768840085579548</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1.0722626261508086</v>
      </c>
      <c r="X339" s="699">
        <f t="shared" si="180"/>
        <v>-121.34261949242917</v>
      </c>
      <c r="Y339" s="702">
        <f t="shared" si="181"/>
        <v>58.657380507570835</v>
      </c>
      <c r="AA339" s="174">
        <f t="shared" si="182"/>
        <v>1000000000</v>
      </c>
      <c r="AB339" s="174">
        <f t="shared" si="183"/>
        <v>645744332.25</v>
      </c>
      <c r="AD339" s="701">
        <f t="shared" si="184"/>
        <v>27.545753724550138</v>
      </c>
      <c r="AE339" s="702">
        <f t="shared" si="185"/>
        <v>-10.265551805177939</v>
      </c>
      <c r="AG339" s="701">
        <f t="shared" si="186"/>
        <v>-0.51148851050306066</v>
      </c>
      <c r="AH339" s="702">
        <f t="shared" si="187"/>
        <v>-75.070202989243555</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5">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1.0058936090477753</v>
      </c>
      <c r="N340" s="694">
        <f t="shared" si="174"/>
        <v>-0.10830335502623066</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1.0189697238961335</v>
      </c>
      <c r="X340" s="699">
        <f t="shared" si="180"/>
        <v>-121.51125754481282</v>
      </c>
      <c r="Y340" s="702">
        <f t="shared" si="181"/>
        <v>58.488742455187179</v>
      </c>
      <c r="AA340" s="174">
        <f t="shared" si="182"/>
        <v>1000000000</v>
      </c>
      <c r="AB340" s="174">
        <f t="shared" si="183"/>
        <v>653198585.0625</v>
      </c>
      <c r="AD340" s="701">
        <f t="shared" si="184"/>
        <v>27.544814334016074</v>
      </c>
      <c r="AE340" s="702">
        <f t="shared" si="185"/>
        <v>-10.289932999905458</v>
      </c>
      <c r="AG340" s="701">
        <f t="shared" si="186"/>
        <v>-0.55748953091640496</v>
      </c>
      <c r="AH340" s="702">
        <f t="shared" si="187"/>
        <v>-75.013766717573162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5">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1.0059610520170403</v>
      </c>
      <c r="N341" s="694">
        <f t="shared" si="174"/>
        <v>-0.10891822697202606</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0.96594490901284646</v>
      </c>
      <c r="X341" s="699">
        <f t="shared" si="180"/>
        <v>-121.67987345063655</v>
      </c>
      <c r="Y341" s="702">
        <f t="shared" si="181"/>
        <v>58.320126549363451</v>
      </c>
      <c r="AA341" s="174">
        <f t="shared" si="182"/>
        <v>1000000000</v>
      </c>
      <c r="AB341" s="174">
        <f t="shared" si="183"/>
        <v>660695616</v>
      </c>
      <c r="AD341" s="701">
        <f t="shared" si="184"/>
        <v>27.543872763276443</v>
      </c>
      <c r="AE341" s="702">
        <f t="shared" si="185"/>
        <v>-10.314500097993838</v>
      </c>
      <c r="AG341" s="701">
        <f t="shared" si="186"/>
        <v>-0.60318810679914558</v>
      </c>
      <c r="AH341" s="702">
        <f t="shared" si="187"/>
        <v>-74.957229083396399</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5">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1.0060305030351782</v>
      </c>
      <c r="N342" s="694">
        <f t="shared" si="174"/>
        <v>-0.10954772813388602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0.91192555621540727</v>
      </c>
      <c r="X342" s="699">
        <f t="shared" si="180"/>
        <v>-121.85250058872079</v>
      </c>
      <c r="Y342" s="702">
        <f t="shared" si="181"/>
        <v>58.147499411279213</v>
      </c>
      <c r="AA342" s="174">
        <f t="shared" si="182"/>
        <v>1000000000</v>
      </c>
      <c r="AB342" s="174">
        <f t="shared" si="183"/>
        <v>668416389.0625</v>
      </c>
      <c r="AD342" s="701">
        <f t="shared" si="184"/>
        <v>27.542906348972625</v>
      </c>
      <c r="AE342" s="702">
        <f t="shared" si="185"/>
        <v>-10.339844294231863</v>
      </c>
      <c r="AG342" s="701">
        <f t="shared" si="186"/>
        <v>-0.64967031057862512</v>
      </c>
      <c r="AH342" s="702">
        <f t="shared" si="187"/>
        <v>-74.899236244308966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5">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1.0061003526596151</v>
      </c>
      <c r="N343" s="694">
        <f t="shared" si="174"/>
        <v>-0.11017714213751399</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0.85818051768758852</v>
      </c>
      <c r="X343" s="699">
        <f t="shared" si="180"/>
        <v>-122.02510234800553</v>
      </c>
      <c r="Y343" s="702">
        <f t="shared" si="181"/>
        <v>57.974897651994468</v>
      </c>
      <c r="AA343" s="174">
        <f t="shared" si="182"/>
        <v>1000000000</v>
      </c>
      <c r="AB343" s="174">
        <f t="shared" si="183"/>
        <v>676182012.25</v>
      </c>
      <c r="AD343" s="701">
        <f t="shared" si="184"/>
        <v>27.541937546502595</v>
      </c>
      <c r="AE343" s="702">
        <f t="shared" si="185"/>
        <v>-10.365376442820908</v>
      </c>
      <c r="AG343" s="701">
        <f t="shared" si="186"/>
        <v>-0.69584221943838731</v>
      </c>
      <c r="AH343" s="702">
        <f t="shared" si="187"/>
        <v>-74.841142886402423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5">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1.0061706008073361</v>
      </c>
      <c r="N344" s="694">
        <f t="shared" si="174"/>
        <v>-0.11080646850241425</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0.80470646335927098</v>
      </c>
      <c r="X344" s="699">
        <f t="shared" si="180"/>
        <v>-122.19767766418255</v>
      </c>
      <c r="Y344" s="702">
        <f t="shared" si="181"/>
        <v>57.80232233581745</v>
      </c>
      <c r="AA344" s="174">
        <f t="shared" si="182"/>
        <v>1000000000</v>
      </c>
      <c r="AB344" s="174">
        <f t="shared" si="183"/>
        <v>683992485.5625</v>
      </c>
      <c r="AD344" s="701">
        <f t="shared" si="184"/>
        <v>27.540966306402023</v>
      </c>
      <c r="AE344" s="702">
        <f t="shared" si="185"/>
        <v>-10.391093142558015</v>
      </c>
      <c r="AG344" s="701">
        <f t="shared" si="186"/>
        <v>-0.74170718668389179</v>
      </c>
      <c r="AH344" s="702">
        <f t="shared" si="187"/>
        <v>-74.782951827061623</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5">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1.0062412473948756</v>
      </c>
      <c r="N345" s="694">
        <f t="shared" si="174"/>
        <v>-0.11143570674850255</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0.75150012120400633</v>
      </c>
      <c r="X345" s="699">
        <f t="shared" si="180"/>
        <v>-122.37022549128871</v>
      </c>
      <c r="Y345" s="702">
        <f t="shared" si="181"/>
        <v>57.629774508711293</v>
      </c>
      <c r="AA345" s="174">
        <f t="shared" si="182"/>
        <v>1000000000</v>
      </c>
      <c r="AB345" s="174">
        <f t="shared" si="183"/>
        <v>691847809</v>
      </c>
      <c r="AD345" s="701">
        <f t="shared" si="184"/>
        <v>27.539992580698605</v>
      </c>
      <c r="AE345" s="702">
        <f t="shared" si="185"/>
        <v>-10.416991068417683</v>
      </c>
      <c r="AG345" s="701">
        <f t="shared" si="186"/>
        <v>-0.7872685093067654</v>
      </c>
      <c r="AH345" s="702">
        <f t="shared" si="187"/>
        <v>-74.724665823224385</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5">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1.0063138386311334</v>
      </c>
      <c r="N346" s="694">
        <f t="shared" si="174"/>
        <v>-0.11207850974316151</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0.69741219636915242</v>
      </c>
      <c r="X346" s="699">
        <f t="shared" si="180"/>
        <v>-122.54648863613087</v>
      </c>
      <c r="Y346" s="702">
        <f t="shared" si="181"/>
        <v>57.453511363869126</v>
      </c>
      <c r="AA346" s="174">
        <f t="shared" si="182"/>
        <v>1000000000</v>
      </c>
      <c r="AB346" s="174">
        <f t="shared" si="183"/>
        <v>699919936</v>
      </c>
      <c r="AD346" s="701">
        <f t="shared" si="184"/>
        <v>27.538995106883092</v>
      </c>
      <c r="AE346" s="702">
        <f t="shared" si="185"/>
        <v>-10.443634839780684</v>
      </c>
      <c r="AG346" s="701">
        <f t="shared" si="186"/>
        <v>-0.83350841304665835</v>
      </c>
      <c r="AH346" s="702">
        <f t="shared" si="187"/>
        <v>-74.665019596445163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5">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1.0063868456118474</v>
      </c>
      <c r="N347" s="694">
        <f t="shared" si="174"/>
        <v>-0.11272121974079534</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0.64359700438420886</v>
      </c>
      <c r="X347" s="699">
        <f t="shared" si="180"/>
        <v>-122.72272093492407</v>
      </c>
      <c r="Y347" s="702">
        <f t="shared" si="181"/>
        <v>57.27727906507593</v>
      </c>
      <c r="AA347" s="174">
        <f t="shared" si="182"/>
        <v>1000000000</v>
      </c>
      <c r="AB347" s="174">
        <f t="shared" si="183"/>
        <v>708038881</v>
      </c>
      <c r="AD347" s="701">
        <f t="shared" si="184"/>
        <v>27.537994941714707</v>
      </c>
      <c r="AE347" s="702">
        <f t="shared" si="185"/>
        <v>-10.470461005782775</v>
      </c>
      <c r="AG347" s="701">
        <f t="shared" si="186"/>
        <v>-0.87943813287608052</v>
      </c>
      <c r="AH347" s="702">
        <f t="shared" si="187"/>
        <v>-74.605279891700633</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5">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1.0064602682465453</v>
      </c>
      <c r="N348" s="694">
        <f t="shared" si="174"/>
        <v>-0.11336383623072331</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0.59005123478961985</v>
      </c>
      <c r="X348" s="699">
        <f t="shared" si="180"/>
        <v>-122.8989213284412</v>
      </c>
      <c r="Y348" s="702">
        <f t="shared" si="181"/>
        <v>57.101078671558795</v>
      </c>
      <c r="AA348" s="174">
        <f t="shared" si="182"/>
        <v>1000000000</v>
      </c>
      <c r="AB348" s="174">
        <f t="shared" si="183"/>
        <v>716204644</v>
      </c>
      <c r="AD348" s="701">
        <f t="shared" si="184"/>
        <v>27.536992038537772</v>
      </c>
      <c r="AE348" s="702">
        <f t="shared" si="185"/>
        <v>-10.49746625288585</v>
      </c>
      <c r="AG348" s="701">
        <f t="shared" si="186"/>
        <v>-0.92506101114118555</v>
      </c>
      <c r="AH348" s="702">
        <f t="shared" si="187"/>
        <v>-74.545449464483468</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5">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1.0065341064442663</v>
      </c>
      <c r="N349" s="694">
        <f t="shared" si="174"/>
        <v>-0.11400635870272217</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0.53677163479143397</v>
      </c>
      <c r="X349" s="699">
        <f t="shared" si="180"/>
        <v>-123.07508877547249</v>
      </c>
      <c r="Y349" s="702">
        <f t="shared" si="181"/>
        <v>56.924911224527506</v>
      </c>
      <c r="AA349" s="174">
        <f t="shared" si="182"/>
        <v>1000000000</v>
      </c>
      <c r="AB349" s="174">
        <f t="shared" si="183"/>
        <v>724417225</v>
      </c>
      <c r="AD349" s="701">
        <f t="shared" si="184"/>
        <v>27.535986352115103</v>
      </c>
      <c r="AE349" s="702">
        <f t="shared" si="185"/>
        <v>-10.524647341587006</v>
      </c>
      <c r="AG349" s="701">
        <f t="shared" si="186"/>
        <v>-0.97038033418887037</v>
      </c>
      <c r="AH349" s="702">
        <f t="shared" si="187"/>
        <v>-74.485531011396191</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5">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1.0066101852720148</v>
      </c>
      <c r="N350" s="694">
        <f t="shared" si="174"/>
        <v>-0.11466453123884061</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0.4824588557905628</v>
      </c>
      <c r="X350" s="699">
        <f t="shared" si="180"/>
        <v>-123.25553881428222</v>
      </c>
      <c r="Y350" s="702">
        <f t="shared" si="181"/>
        <v>56.744461185717782</v>
      </c>
      <c r="AA350" s="174">
        <f t="shared" si="182"/>
        <v>1000000000</v>
      </c>
      <c r="AB350" s="174">
        <f t="shared" si="183"/>
        <v>732879648.0625</v>
      </c>
      <c r="AD350" s="701">
        <f t="shared" si="184"/>
        <v>27.534953084253463</v>
      </c>
      <c r="AE350" s="702">
        <f t="shared" si="185"/>
        <v>-10.552673681281307</v>
      </c>
      <c r="AG350" s="701">
        <f t="shared" si="186"/>
        <v>-1.0164989968708273</v>
      </c>
      <c r="AH350" s="702">
        <f t="shared" si="187"/>
        <v>-74.424055439378691</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5">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1.0066867000883057</v>
      </c>
      <c r="N351" s="694">
        <f t="shared" si="174"/>
        <v>-0.11532260400910321</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0.42841872165835126</v>
      </c>
      <c r="X351" s="699">
        <f t="shared" si="180"/>
        <v>-123.4359521152651</v>
      </c>
      <c r="Y351" s="702">
        <f t="shared" si="181"/>
        <v>56.564047884734904</v>
      </c>
      <c r="AA351" s="174">
        <f t="shared" si="182"/>
        <v>1000000000</v>
      </c>
      <c r="AB351" s="174">
        <f t="shared" si="183"/>
        <v>741391212.25</v>
      </c>
      <c r="AD351" s="701">
        <f t="shared" si="184"/>
        <v>27.533916803274856</v>
      </c>
      <c r="AE351" s="702">
        <f t="shared" si="185"/>
        <v>-10.580877933372987</v>
      </c>
      <c r="AG351" s="701">
        <f t="shared" si="186"/>
        <v>-1.062305850421255</v>
      </c>
      <c r="AH351" s="702">
        <f t="shared" si="187"/>
        <v>-74.362493021245726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5">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1.0067636507937323</v>
      </c>
      <c r="N352" s="694">
        <f t="shared" si="174"/>
        <v>-0.1159805764663524</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0.37464791433378353</v>
      </c>
      <c r="X352" s="699">
        <f t="shared" si="180"/>
        <v>-123.61632761464193</v>
      </c>
      <c r="Y352" s="702">
        <f t="shared" si="181"/>
        <v>56.383672385358068</v>
      </c>
      <c r="AA352" s="174">
        <f t="shared" si="182"/>
        <v>1000000000</v>
      </c>
      <c r="AB352" s="174">
        <f t="shared" si="183"/>
        <v>749951917.5625</v>
      </c>
      <c r="AD352" s="701">
        <f t="shared" si="184"/>
        <v>27.532877464861699</v>
      </c>
      <c r="AE352" s="702">
        <f t="shared" si="185"/>
        <v>-10.6092568426269</v>
      </c>
      <c r="AG352" s="701">
        <f t="shared" si="186"/>
        <v>-1.1078042541002195</v>
      </c>
      <c r="AH352" s="702">
        <f t="shared" si="187"/>
        <v>-74.300846474900425</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5">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1.0068410372883525</v>
      </c>
      <c r="N353" s="694">
        <f t="shared" si="174"/>
        <v>-0.11663844806394487</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0.32114317367988304</v>
      </c>
      <c r="X353" s="699">
        <f t="shared" si="180"/>
        <v>-123.79666426654079</v>
      </c>
      <c r="Y353" s="702">
        <f t="shared" si="181"/>
        <v>56.203335733459213</v>
      </c>
      <c r="AA353" s="174">
        <f t="shared" si="182"/>
        <v>1000000000</v>
      </c>
      <c r="AB353" s="174">
        <f t="shared" si="183"/>
        <v>758561764</v>
      </c>
      <c r="AD353" s="701">
        <f t="shared" si="184"/>
        <v>27.531835026060165</v>
      </c>
      <c r="AE353" s="702">
        <f t="shared" si="185"/>
        <v>-10.637807226555442</v>
      </c>
      <c r="AG353" s="701">
        <f t="shared" si="186"/>
        <v>-1.1529975108675941</v>
      </c>
      <c r="AH353" s="702">
        <f t="shared" si="187"/>
        <v>-74.239118460222073</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5">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1.0069207265818427</v>
      </c>
      <c r="N354" s="694">
        <f t="shared" si="174"/>
        <v>-0.11731195313822863</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0.26663076043195649</v>
      </c>
      <c r="X354" s="699">
        <f t="shared" si="180"/>
        <v>-123.98127386576142</v>
      </c>
      <c r="Y354" s="702">
        <f t="shared" si="181"/>
        <v>56.018726134238577</v>
      </c>
      <c r="AA354" s="174">
        <f t="shared" si="182"/>
        <v>1000000000</v>
      </c>
      <c r="AB354" s="174">
        <f t="shared" si="183"/>
        <v>767428506.25</v>
      </c>
      <c r="AD354" s="701">
        <f t="shared" si="184"/>
        <v>27.530764392520112</v>
      </c>
      <c r="AE354" s="702">
        <f t="shared" si="185"/>
        <v>-10.667215061540251</v>
      </c>
      <c r="AG354" s="701">
        <f t="shared" si="186"/>
        <v>-1.1989591534565531</v>
      </c>
      <c r="AH354" s="702">
        <f t="shared" si="187"/>
        <v>-74.175832002412449</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5">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1.0070008725513118</v>
      </c>
      <c r="N355" s="694">
        <f t="shared" si="174"/>
        <v>-0.11798535131103907</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0.21239055927256142</v>
      </c>
      <c r="X355" s="699">
        <f t="shared" si="180"/>
        <v>-124.16584057288455</v>
      </c>
      <c r="Y355" s="702">
        <f t="shared" si="181"/>
        <v>55.834159427115452</v>
      </c>
      <c r="AA355" s="174">
        <f t="shared" si="182"/>
        <v>1000000000</v>
      </c>
      <c r="AB355" s="174">
        <f t="shared" si="183"/>
        <v>776346769</v>
      </c>
      <c r="AD355" s="701">
        <f t="shared" si="184"/>
        <v>27.529690421515205</v>
      </c>
      <c r="AE355" s="702">
        <f t="shared" si="185"/>
        <v>-10.696796145829181</v>
      </c>
      <c r="AG355" s="701">
        <f t="shared" si="186"/>
        <v>-1.244607707356109</v>
      </c>
      <c r="AH355" s="702">
        <f t="shared" si="187"/>
        <v>-74.11246559609026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5">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1.0070814750877295</v>
      </c>
      <c r="N356" s="694">
        <f t="shared" si="174"/>
        <v>-0.11865864199724671</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0.15841925069765481</v>
      </c>
      <c r="X356" s="699">
        <f t="shared" si="180"/>
        <v>-124.35036332062765</v>
      </c>
      <c r="Y356" s="702">
        <f t="shared" si="181"/>
        <v>55.64963667937235</v>
      </c>
      <c r="AA356" s="174">
        <f t="shared" si="182"/>
        <v>1000000000</v>
      </c>
      <c r="AB356" s="174">
        <f t="shared" si="183"/>
        <v>785316552.25</v>
      </c>
      <c r="AD356" s="701">
        <f t="shared" si="184"/>
        <v>27.528613071087147</v>
      </c>
      <c r="AE356" s="702">
        <f t="shared" si="185"/>
        <v>-10.726547286936469</v>
      </c>
      <c r="AG356" s="701">
        <f t="shared" si="186"/>
        <v>-1.2899465430196955</v>
      </c>
      <c r="AH356" s="702">
        <f t="shared" si="187"/>
        <v>-74.049021917769593</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5">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1.0071625340814798</v>
      </c>
      <c r="N357" s="694">
        <f t="shared" si="174"/>
        <v>-0.11933182461229866</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0.10471357324994907</v>
      </c>
      <c r="X357" s="699">
        <f t="shared" si="180"/>
        <v>-124.53484105948684</v>
      </c>
      <c r="Y357" s="702">
        <f t="shared" si="181"/>
        <v>55.465158940513163</v>
      </c>
      <c r="AA357" s="174">
        <f t="shared" si="182"/>
        <v>1000000000</v>
      </c>
      <c r="AB357" s="174">
        <f t="shared" si="183"/>
        <v>794337856</v>
      </c>
      <c r="AD357" s="701">
        <f t="shared" si="184"/>
        <v>27.527532300585804</v>
      </c>
      <c r="AE357" s="702">
        <f t="shared" si="185"/>
        <v>-10.756465363687292</v>
      </c>
      <c r="AG357" s="701">
        <f t="shared" si="186"/>
        <v>-1.3349789744338696</v>
      </c>
      <c r="AH357" s="702">
        <f t="shared" si="187"/>
        <v>-73.985503586908592</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5">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1.0072458320988866</v>
      </c>
      <c r="N358" s="694">
        <f t="shared" si="174"/>
        <v>-0.12001957498258618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5.0107793042380472E-2</v>
      </c>
      <c r="X358" s="699">
        <f t="shared" si="180"/>
        <v>-124.72329411171712</v>
      </c>
      <c r="Y358" s="702">
        <f t="shared" si="181"/>
        <v>55.276705888282876</v>
      </c>
      <c r="AA358" s="174">
        <f t="shared" si="182"/>
        <v>1000000000</v>
      </c>
      <c r="AB358" s="174">
        <f t="shared" si="183"/>
        <v>803609104</v>
      </c>
      <c r="AD358" s="701">
        <f t="shared" si="184"/>
        <v>27.526424388150335</v>
      </c>
      <c r="AE358" s="702">
        <f t="shared" si="185"/>
        <v>-10.787205120449357</v>
      </c>
      <c r="AG358" s="701">
        <f t="shared" si="186"/>
        <v>-1.3806803121414895</v>
      </c>
      <c r="AH358" s="702">
        <f t="shared" si="187"/>
        <v>-73.920525676294233</v>
      </c>
      <c r="AJ358" s="174">
        <f t="shared" si="188"/>
        <v>28348</v>
      </c>
      <c r="AK358" s="174">
        <f t="shared" si="200"/>
        <v>55.276705888282876</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5">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1.0073296064652231</v>
      </c>
      <c r="N359" s="694">
        <f t="shared" si="174"/>
        <v>-0.12070721128483565</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-4.2273495959770464E-3</v>
      </c>
      <c r="X359" s="699">
        <f t="shared" si="180"/>
        <v>-124.9116980100972</v>
      </c>
      <c r="Y359" s="702">
        <f t="shared" si="181"/>
        <v>55.088301989902803</v>
      </c>
      <c r="AA359" s="174">
        <f t="shared" si="182"/>
        <v>28512</v>
      </c>
      <c r="AB359" s="174">
        <f t="shared" si="183"/>
        <v>812934144</v>
      </c>
      <c r="AD359" s="701">
        <f t="shared" si="184"/>
        <v>27.525312823035009</v>
      </c>
      <c r="AE359" s="702">
        <f t="shared" si="185"/>
        <v>-10.818112803469987</v>
      </c>
      <c r="AG359" s="701">
        <f t="shared" si="186"/>
        <v>-1.4260685572311154</v>
      </c>
      <c r="AH359" s="702">
        <f t="shared" si="187"/>
        <v>-73.85547517573751</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5">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1.0074138570616527</v>
      </c>
      <c r="N360" s="694">
        <f t="shared" si="174"/>
        <v>-0.12139473289729652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-5.8295154839931196E-2</v>
      </c>
      <c r="X360" s="699">
        <f t="shared" si="180"/>
        <v>-125.10005168965051</v>
      </c>
      <c r="Y360" s="702">
        <f t="shared" si="181"/>
        <v>54.899948310349487</v>
      </c>
      <c r="AA360" s="174">
        <f t="shared" si="182"/>
        <v>28676</v>
      </c>
      <c r="AB360" s="174">
        <f t="shared" si="183"/>
        <v>822312976</v>
      </c>
      <c r="AD360" s="701">
        <f t="shared" si="184"/>
        <v>27.524197565827031</v>
      </c>
      <c r="AE360" s="702">
        <f t="shared" si="185"/>
        <v>-10.849185300811921</v>
      </c>
      <c r="AG360" s="701">
        <f t="shared" si="186"/>
        <v>-1.4711470707283112</v>
      </c>
      <c r="AH360" s="702">
        <f t="shared" si="187"/>
        <v>-73.790354705180334</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5">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1.0074985837687034</v>
      </c>
      <c r="N361" s="694">
        <f t="shared" si="174"/>
        <v>-0.12208213919885937</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-0.11209886517116414</v>
      </c>
      <c r="X361" s="699">
        <f t="shared" si="180"/>
        <v>-125.2883541029269</v>
      </c>
      <c r="Y361" s="702">
        <f t="shared" si="181"/>
        <v>54.711645897073097</v>
      </c>
      <c r="AA361" s="174">
        <f t="shared" si="182"/>
        <v>28840</v>
      </c>
      <c r="AB361" s="174">
        <f t="shared" si="183"/>
        <v>831745600</v>
      </c>
      <c r="AD361" s="701">
        <f t="shared" si="184"/>
        <v>27.523078578358437</v>
      </c>
      <c r="AE361" s="702">
        <f t="shared" si="185"/>
        <v>-10.880419569867366</v>
      </c>
      <c r="AG361" s="701">
        <f t="shared" si="186"/>
        <v>-1.5159191574903887</v>
      </c>
      <c r="AH361" s="702">
        <f t="shared" si="187"/>
        <v>-73.725166828899276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5">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1.0075858705261682</v>
      </c>
      <c r="N362" s="694">
        <f t="shared" si="174"/>
        <v>-0.1227861912953136</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-0.16694435576516747</v>
      </c>
      <c r="X362" s="699">
        <f t="shared" si="180"/>
        <v>-125.48119502393325</v>
      </c>
      <c r="Y362" s="702">
        <f t="shared" si="181"/>
        <v>54.518804976066747</v>
      </c>
      <c r="AA362" s="174">
        <f t="shared" si="182"/>
        <v>29008</v>
      </c>
      <c r="AB362" s="174">
        <f t="shared" si="183"/>
        <v>841464064</v>
      </c>
      <c r="AD362" s="701">
        <f t="shared" si="184"/>
        <v>27.521928392037417</v>
      </c>
      <c r="AE362" s="702">
        <f t="shared" si="185"/>
        <v>-10.912580279048235</v>
      </c>
      <c r="AG362" s="701">
        <f t="shared" si="186"/>
        <v>-1.5614689146322158</v>
      </c>
      <c r="AH362" s="702">
        <f t="shared" si="187"/>
        <v>-73.658321736109016</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5">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1.0076736566465518</v>
      </c>
      <c r="N363" s="694">
        <f t="shared" si="174"/>
        <v>-0.12349012106997621</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-0.22151941986143256</v>
      </c>
      <c r="X363" s="699">
        <f t="shared" si="180"/>
        <v>-125.67397997675802</v>
      </c>
      <c r="Y363" s="702">
        <f t="shared" si="181"/>
        <v>54.326020023241981</v>
      </c>
      <c r="AA363" s="174">
        <f t="shared" si="182"/>
        <v>29176</v>
      </c>
      <c r="AB363" s="174">
        <f t="shared" si="183"/>
        <v>851238976</v>
      </c>
      <c r="AD363" s="701">
        <f t="shared" si="184"/>
        <v>27.520774214018001</v>
      </c>
      <c r="AE363" s="702">
        <f t="shared" si="185"/>
        <v>-10.944904498594717</v>
      </c>
      <c r="AG363" s="701">
        <f t="shared" si="186"/>
        <v>-1.606703960521835</v>
      </c>
      <c r="AH363" s="702">
        <f t="shared" si="187"/>
        <v>-73.591411184249282</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5">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1.0077619419993555</v>
      </c>
      <c r="N364" s="694">
        <f t="shared" si="174"/>
        <v>-0.12419392785728663</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-0.27582736319791101</v>
      </c>
      <c r="X364" s="699">
        <f t="shared" si="180"/>
        <v>-125.8667078898594</v>
      </c>
      <c r="Y364" s="702">
        <f t="shared" si="181"/>
        <v>54.133292110140601</v>
      </c>
      <c r="AA364" s="174">
        <f t="shared" si="182"/>
        <v>29344</v>
      </c>
      <c r="AB364" s="174">
        <f t="shared" si="183"/>
        <v>861070336</v>
      </c>
      <c r="AD364" s="701">
        <f t="shared" si="184"/>
        <v>27.51961600706835</v>
      </c>
      <c r="AE364" s="702">
        <f t="shared" si="185"/>
        <v>-10.977389171539752</v>
      </c>
      <c r="AG364" s="701">
        <f t="shared" si="186"/>
        <v>-1.6516276726337156</v>
      </c>
      <c r="AH364" s="702">
        <f t="shared" si="187"/>
        <v>-73.524437757895456</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5">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1.0078507264533849</v>
      </c>
      <c r="N365" s="694">
        <f t="shared" si="174"/>
        <v>-0.12489761099240412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-0.32987143358722071</v>
      </c>
      <c r="X365" s="699">
        <f t="shared" si="180"/>
        <v>-126.05937770917232</v>
      </c>
      <c r="Y365" s="702">
        <f t="shared" si="181"/>
        <v>53.940622290827676</v>
      </c>
      <c r="AA365" s="174">
        <f t="shared" si="182"/>
        <v>29512</v>
      </c>
      <c r="AB365" s="174">
        <f t="shared" si="183"/>
        <v>870958144</v>
      </c>
      <c r="AD365" s="701">
        <f t="shared" si="184"/>
        <v>27.518453735153535</v>
      </c>
      <c r="AE365" s="702">
        <f t="shared" si="185"/>
        <v>-11.010031309004837</v>
      </c>
      <c r="AG365" s="701">
        <f t="shared" si="186"/>
        <v>-1.6962433720041847</v>
      </c>
      <c r="AH365" s="702">
        <f t="shared" si="187"/>
        <v>-73.457403986738825</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5">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1.0079421417529975</v>
      </c>
      <c r="N366" s="694">
        <f t="shared" si="174"/>
        <v>-0.12561791969101013</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-0.38493222775852981</v>
      </c>
      <c r="X366" s="699">
        <f t="shared" si="180"/>
        <v>-126.25657363733782</v>
      </c>
      <c r="Y366" s="702">
        <f t="shared" si="181"/>
        <v>53.743426362662177</v>
      </c>
      <c r="AA366" s="174">
        <f t="shared" si="182"/>
        <v>29684</v>
      </c>
      <c r="AB366" s="174">
        <f t="shared" si="183"/>
        <v>881139856</v>
      </c>
      <c r="AD366" s="701">
        <f t="shared" si="184"/>
        <v>27.517259542390072</v>
      </c>
      <c r="AE366" s="702">
        <f t="shared" si="185"/>
        <v>-11.043610721558505</v>
      </c>
      <c r="AG366" s="701">
        <f t="shared" si="186"/>
        <v>-1.7416056593825764</v>
      </c>
      <c r="AH366" s="702">
        <f t="shared" si="187"/>
        <v>-73.388714241805246</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5">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1.0080340799229586</v>
      </c>
      <c r="N367" s="694">
        <f t="shared" si="174"/>
        <v>-0.12633809737110738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-0.43972314332045298</v>
      </c>
      <c r="X367" s="699">
        <f t="shared" si="180"/>
        <v>-126.45370649070689</v>
      </c>
      <c r="Y367" s="702">
        <f t="shared" si="181"/>
        <v>53.546293509293108</v>
      </c>
      <c r="AA367" s="174">
        <f t="shared" si="182"/>
        <v>29856</v>
      </c>
      <c r="AB367" s="174">
        <f t="shared" si="183"/>
        <v>891380736</v>
      </c>
      <c r="AD367" s="701">
        <f t="shared" si="184"/>
        <v>27.51606101601919</v>
      </c>
      <c r="AE367" s="702">
        <f t="shared" si="185"/>
        <v>-11.077349056281593</v>
      </c>
      <c r="AG367" s="701">
        <f t="shared" si="186"/>
        <v>-1.7866519613576033</v>
      </c>
      <c r="AH367" s="702">
        <f t="shared" si="187"/>
        <v>-73.319966440711795</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5">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1.0081265408202156</v>
      </c>
      <c r="N368" s="694">
        <f t="shared" si="174"/>
        <v>-0.12705814332159532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-0.49424748544830521</v>
      </c>
      <c r="X368" s="699">
        <f t="shared" si="180"/>
        <v>-126.65077519232838</v>
      </c>
      <c r="Y368" s="702">
        <f t="shared" si="181"/>
        <v>53.349224807671618</v>
      </c>
      <c r="AA368" s="174">
        <f t="shared" si="182"/>
        <v>30028</v>
      </c>
      <c r="AB368" s="174">
        <f t="shared" si="183"/>
        <v>901680784</v>
      </c>
      <c r="AD368" s="701">
        <f t="shared" si="184"/>
        <v>27.514858121014566</v>
      </c>
      <c r="AE368" s="702">
        <f t="shared" si="185"/>
        <v>-11.111243315172883</v>
      </c>
      <c r="AG368" s="701">
        <f t="shared" si="186"/>
        <v>-1.8313856662439512</v>
      </c>
      <c r="AH368" s="702">
        <f t="shared" si="187"/>
        <v>-73.251163128950793</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5">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1.0082195243009549</v>
      </c>
      <c r="N369" s="694">
        <f t="shared" si="174"/>
        <v>-0.1277780568321798</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-0.54850850129451156</v>
      </c>
      <c r="X369" s="699">
        <f t="shared" si="180"/>
        <v>-126.84777868266352</v>
      </c>
      <c r="Y369" s="702">
        <f t="shared" si="181"/>
        <v>53.152221317336483</v>
      </c>
      <c r="AA369" s="174">
        <f t="shared" si="182"/>
        <v>30200</v>
      </c>
      <c r="AB369" s="174">
        <f t="shared" si="183"/>
        <v>912040000</v>
      </c>
      <c r="AD369" s="701">
        <f t="shared" si="184"/>
        <v>27.513650823498253</v>
      </c>
      <c r="AE369" s="702">
        <f t="shared" si="185"/>
        <v>-11.145290566943475</v>
      </c>
      <c r="AG369" s="701">
        <f t="shared" si="186"/>
        <v>-1.8758101057804997</v>
      </c>
      <c r="AH369" s="702">
        <f t="shared" si="187"/>
        <v>-73.182306798001491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5">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1.008315074685378</v>
      </c>
      <c r="N370" s="694">
        <f t="shared" si="174"/>
        <v>-0.12851352859070869</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-0.60368385210334918</v>
      </c>
      <c r="X370" s="699">
        <f t="shared" si="180"/>
        <v>-127.04900886319703</v>
      </c>
      <c r="Y370" s="702">
        <f t="shared" si="181"/>
        <v>52.950991136802969</v>
      </c>
      <c r="AA370" s="174">
        <f t="shared" si="182"/>
        <v>30375.75</v>
      </c>
      <c r="AB370" s="174">
        <f t="shared" si="183"/>
        <v>922686188.0625</v>
      </c>
      <c r="AD370" s="701">
        <f t="shared" si="184"/>
        <v>27.512412622465927</v>
      </c>
      <c r="AE370" s="702">
        <f t="shared" si="185"/>
        <v>-11.18023517858648</v>
      </c>
      <c r="AG370" s="701">
        <f t="shared" si="186"/>
        <v>-1.9208870571622361</v>
      </c>
      <c r="AH370" s="702">
        <f t="shared" si="187"/>
        <v>-73.111897010488192</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5">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1.0084111703827559</v>
      </c>
      <c r="N371" s="694">
        <f t="shared" si="174"/>
        <v>-0.12924886057459972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-0.65859094404620444</v>
      </c>
      <c r="X371" s="699">
        <f t="shared" si="180"/>
        <v>-127.25016877515981</v>
      </c>
      <c r="Y371" s="702">
        <f t="shared" si="181"/>
        <v>52.749831224840193</v>
      </c>
      <c r="AA371" s="174">
        <f t="shared" si="182"/>
        <v>30551.5</v>
      </c>
      <c r="AB371" s="174">
        <f t="shared" si="183"/>
        <v>933394152.25</v>
      </c>
      <c r="AD371" s="701">
        <f t="shared" si="184"/>
        <v>27.511169756850702</v>
      </c>
      <c r="AE371" s="702">
        <f t="shared" si="185"/>
        <v>-11.215333544352314</v>
      </c>
      <c r="AG371" s="701">
        <f t="shared" si="186"/>
        <v>-1.965647968608766</v>
      </c>
      <c r="AH371" s="702">
        <f t="shared" si="187"/>
        <v>-73.041436959748339</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5">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1.0085078112372083</v>
      </c>
      <c r="N372" s="694">
        <f t="shared" si="174"/>
        <v>-0.12998405202871496</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-0.71323306206556558</v>
      </c>
      <c r="X372" s="699">
        <f t="shared" si="180"/>
        <v>-127.45125734187259</v>
      </c>
      <c r="Y372" s="702">
        <f t="shared" si="181"/>
        <v>52.548742658127409</v>
      </c>
      <c r="AA372" s="174">
        <f t="shared" si="182"/>
        <v>30727.25</v>
      </c>
      <c r="AB372" s="174">
        <f t="shared" si="183"/>
        <v>944163892.5625</v>
      </c>
      <c r="AD372" s="701">
        <f t="shared" si="184"/>
        <v>27.509922193983257</v>
      </c>
      <c r="AE372" s="702">
        <f t="shared" si="185"/>
        <v>-11.250582740870088</v>
      </c>
      <c r="AG372" s="701">
        <f t="shared" si="186"/>
        <v>-2.0100962197095522</v>
      </c>
      <c r="AH372" s="702">
        <f t="shared" si="187"/>
        <v>-72.970929138356198</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5">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1.0086049970920301</v>
      </c>
      <c r="N373" s="694">
        <f t="shared" si="174"/>
        <v>-0.13071910219881286</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-0.76761343343505706</v>
      </c>
      <c r="X373" s="699">
        <f t="shared" si="180"/>
        <v>-127.65227350389571</v>
      </c>
      <c r="Y373" s="702">
        <f t="shared" si="181"/>
        <v>52.347726496104286</v>
      </c>
      <c r="AA373" s="174">
        <f t="shared" si="182"/>
        <v>30903</v>
      </c>
      <c r="AB373" s="174">
        <f t="shared" si="183"/>
        <v>954995409</v>
      </c>
      <c r="AD373" s="701">
        <f t="shared" si="184"/>
        <v>27.508669902287831</v>
      </c>
      <c r="AE373" s="702">
        <f t="shared" si="185"/>
        <v>-11.285979909625937</v>
      </c>
      <c r="AG373" s="701">
        <f t="shared" si="186"/>
        <v>-2.0542351337817841</v>
      </c>
      <c r="AH373" s="702">
        <f t="shared" si="187"/>
        <v>-72.900375986116472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5">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1.0087050978666301</v>
      </c>
      <c r="N374" s="694">
        <f t="shared" si="174"/>
        <v>-0.13147178017127156</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-0.8230408305824598</v>
      </c>
      <c r="X374" s="699">
        <f t="shared" si="180"/>
        <v>-127.85807451265207</v>
      </c>
      <c r="Y374" s="702">
        <f t="shared" si="181"/>
        <v>52.141925487347933</v>
      </c>
      <c r="AA374" s="174">
        <f t="shared" si="182"/>
        <v>31083</v>
      </c>
      <c r="AB374" s="174">
        <f t="shared" si="183"/>
        <v>966152889</v>
      </c>
      <c r="AD374" s="701">
        <f t="shared" si="184"/>
        <v>27.507382393955734</v>
      </c>
      <c r="AE374" s="702">
        <f t="shared" si="185"/>
        <v>-11.322383517686143</v>
      </c>
      <c r="AG374" s="701">
        <f t="shared" si="186"/>
        <v>-2.0991241851624234</v>
      </c>
      <c r="AH374" s="702">
        <f t="shared" si="187"/>
        <v>-72.828072219162081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5">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1.0088057699834119</v>
      </c>
      <c r="N375" s="694">
        <f t="shared" si="174"/>
        <v>-0.13222430834545801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-0.87820034144434678</v>
      </c>
      <c r="X375" s="699">
        <f t="shared" si="180"/>
        <v>-128.06379737681075</v>
      </c>
      <c r="Y375" s="702">
        <f t="shared" si="181"/>
        <v>51.936202623189246</v>
      </c>
      <c r="AA375" s="174">
        <f t="shared" si="182"/>
        <v>31263</v>
      </c>
      <c r="AB375" s="174">
        <f t="shared" si="183"/>
        <v>977375169</v>
      </c>
      <c r="AD375" s="701">
        <f t="shared" si="184"/>
        <v>27.50608986164201</v>
      </c>
      <c r="AE375" s="702">
        <f t="shared" si="185"/>
        <v>-11.358936472385674</v>
      </c>
      <c r="AG375" s="701">
        <f t="shared" si="186"/>
        <v>-2.1436956386186905</v>
      </c>
      <c r="AH375" s="702">
        <f t="shared" si="187"/>
        <v>-72.75572591922959</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5">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1.008907013271344</v>
      </c>
      <c r="N376" s="694">
        <f t="shared" si="174"/>
        <v>-0.13297668591403114</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-0.9330952534981265</v>
      </c>
      <c r="X376" s="699">
        <f t="shared" si="180"/>
        <v>-128.26944101183281</v>
      </c>
      <c r="Y376" s="702">
        <f t="shared" si="181"/>
        <v>51.730558988167189</v>
      </c>
      <c r="AA376" s="174">
        <f t="shared" si="182"/>
        <v>31443</v>
      </c>
      <c r="AB376" s="174">
        <f t="shared" si="183"/>
        <v>988662249</v>
      </c>
      <c r="AD376" s="701">
        <f t="shared" si="184"/>
        <v>27.504792274759513</v>
      </c>
      <c r="AE376" s="702">
        <f t="shared" si="185"/>
        <v>-11.395635902596089</v>
      </c>
      <c r="AG376" s="701">
        <f t="shared" si="186"/>
        <v>-2.1879528890962434</v>
      </c>
      <c r="AH376" s="702">
        <f t="shared" si="187"/>
        <v>-72.683339544426886</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5">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1.0090088275584939</v>
      </c>
      <c r="N377" s="694">
        <f t="shared" si="174"/>
        <v>-0.13372891207065499</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-0.98772879636653832</v>
      </c>
      <c r="X377" s="699">
        <f t="shared" si="180"/>
        <v>-128.47500435043727</v>
      </c>
      <c r="Y377" s="702">
        <f t="shared" si="181"/>
        <v>51.524995649562726</v>
      </c>
      <c r="AA377" s="174">
        <f t="shared" si="182"/>
        <v>31623</v>
      </c>
      <c r="AB377" s="174">
        <f t="shared" si="183"/>
        <v>1000014129</v>
      </c>
      <c r="AD377" s="701">
        <f t="shared" si="184"/>
        <v>27.503489603772621</v>
      </c>
      <c r="AE377" s="702">
        <f t="shared" si="185"/>
        <v>-11.432479000834451</v>
      </c>
      <c r="AG377" s="701">
        <f t="shared" si="186"/>
        <v>-2.2318992750464255</v>
      </c>
      <c r="AH377" s="702">
        <f t="shared" si="187"/>
        <v>-72.610915500793524</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5">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1.0091134943789053</v>
      </c>
      <c r="N378" s="694">
        <f t="shared" si="174"/>
        <v>-0.13449769702916381</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-1.0433095755494624</v>
      </c>
      <c r="X378" s="699">
        <f t="shared" si="180"/>
        <v>-128.68505167680232</v>
      </c>
      <c r="Y378" s="702">
        <f t="shared" si="181"/>
        <v>51.314948323197683</v>
      </c>
      <c r="AA378" s="174">
        <f t="shared" si="182"/>
        <v>31807</v>
      </c>
      <c r="AB378" s="174">
        <f t="shared" si="183"/>
        <v>1011685249</v>
      </c>
      <c r="AD378" s="701">
        <f t="shared" si="184"/>
        <v>27.502152700022581</v>
      </c>
      <c r="AE378" s="702">
        <f t="shared" si="185"/>
        <v>-11.470286468526837</v>
      </c>
      <c r="AG378" s="701">
        <f t="shared" si="186"/>
        <v>-2.2765043622246299</v>
      </c>
      <c r="AH378" s="702">
        <f t="shared" si="187"/>
        <v>-72.536845552410185</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5">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1.0092187574920652</v>
      </c>
      <c r="N379" s="694">
        <f t="shared" si="174"/>
        <v>-0.13526632207089953</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-1.0986238852265853</v>
      </c>
      <c r="X379" s="699">
        <f t="shared" si="180"/>
        <v>-128.89501289658293</v>
      </c>
      <c r="Y379" s="702">
        <f t="shared" si="181"/>
        <v>51.104987103417074</v>
      </c>
      <c r="AA379" s="174">
        <f t="shared" si="182"/>
        <v>31991</v>
      </c>
      <c r="AB379" s="174">
        <f t="shared" si="183"/>
        <v>1023424081</v>
      </c>
      <c r="AD379" s="701">
        <f t="shared" si="184"/>
        <v>27.500810424499864</v>
      </c>
      <c r="AE379" s="702">
        <f t="shared" si="185"/>
        <v>-11.508238323811598</v>
      </c>
      <c r="AG379" s="701">
        <f t="shared" si="186"/>
        <v>-2.3207914944592023</v>
      </c>
      <c r="AH379" s="702">
        <f t="shared" si="187"/>
        <v>-72.46274116607357</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5">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1.0093246167114105</v>
      </c>
      <c r="N380" s="694">
        <f t="shared" si="174"/>
        <v>-0.13603478633785487</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-1.1536749961477897</v>
      </c>
      <c r="X380" s="699">
        <f t="shared" si="180"/>
        <v>-129.10488692313058</v>
      </c>
      <c r="Y380" s="702">
        <f t="shared" si="181"/>
        <v>50.895113076869421</v>
      </c>
      <c r="AA380" s="174">
        <f t="shared" si="182"/>
        <v>32175</v>
      </c>
      <c r="AB380" s="174">
        <f t="shared" si="183"/>
        <v>1035230625</v>
      </c>
      <c r="AD380" s="701">
        <f t="shared" si="184"/>
        <v>27.499462748841704</v>
      </c>
      <c r="AE380" s="702">
        <f t="shared" si="185"/>
        <v>-11.546331762621069</v>
      </c>
      <c r="AG380" s="701">
        <f t="shared" si="186"/>
        <v>-2.3647640628911586</v>
      </c>
      <c r="AH380" s="702">
        <f t="shared" si="187"/>
        <v>-72.388604752000845</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5">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1.0094310718494</v>
      </c>
      <c r="N381" s="694">
        <f t="shared" si="174"/>
        <v>-0.13680308897314103</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-1.2084661214650079</v>
      </c>
      <c r="X381" s="699">
        <f t="shared" si="180"/>
        <v>-129.31467268697213</v>
      </c>
      <c r="Y381" s="702">
        <f t="shared" si="181"/>
        <v>50.685327313027869</v>
      </c>
      <c r="AA381" s="174">
        <f t="shared" si="182"/>
        <v>32359</v>
      </c>
      <c r="AB381" s="174">
        <f t="shared" si="183"/>
        <v>1047104881</v>
      </c>
      <c r="AD381" s="701">
        <f t="shared" si="184"/>
        <v>27.498109645689063</v>
      </c>
      <c r="AE381" s="702">
        <f t="shared" si="185"/>
        <v>-11.584564042868967</v>
      </c>
      <c r="AG381" s="701">
        <f t="shared" si="186"/>
        <v>-2.4084254023765945</v>
      </c>
      <c r="AH381" s="702">
        <f t="shared" si="187"/>
        <v>-72.314438669392302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5">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1.0095407482707022</v>
      </c>
      <c r="N382" s="694">
        <f t="shared" si="174"/>
        <v>-0.13759001311445798</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-1.2643309462101149</v>
      </c>
      <c r="X382" s="699">
        <f t="shared" si="180"/>
        <v>-129.52949645349614</v>
      </c>
      <c r="Y382" s="702">
        <f t="shared" si="181"/>
        <v>50.470503546503863</v>
      </c>
      <c r="AA382" s="174">
        <f t="shared" si="182"/>
        <v>32547.5</v>
      </c>
      <c r="AB382" s="174">
        <f t="shared" si="183"/>
        <v>1059339756.25</v>
      </c>
      <c r="AD382" s="701">
        <f t="shared" si="184"/>
        <v>27.496717794534405</v>
      </c>
      <c r="AE382" s="702">
        <f t="shared" si="185"/>
        <v>-11.623872524711722</v>
      </c>
      <c r="AG382" s="701">
        <f t="shared" si="186"/>
        <v>-2.4528352354954661</v>
      </c>
      <c r="AH382" s="702">
        <f t="shared" si="187"/>
        <v>-72.238430390745691</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5">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1.0096510497136679</v>
      </c>
      <c r="N383" s="694">
        <f t="shared" si="174"/>
        <v>-0.13837676580453176</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-1.3199295604235461</v>
      </c>
      <c r="X383" s="699">
        <f t="shared" si="180"/>
        <v>-129.74422536862505</v>
      </c>
      <c r="Y383" s="702">
        <f t="shared" si="181"/>
        <v>50.255774631374948</v>
      </c>
      <c r="AA383" s="174">
        <f t="shared" si="182"/>
        <v>32736</v>
      </c>
      <c r="AB383" s="174">
        <f t="shared" si="183"/>
        <v>1071645696</v>
      </c>
      <c r="AD383" s="701">
        <f t="shared" si="184"/>
        <v>27.495320192122392</v>
      </c>
      <c r="AE383" s="702">
        <f t="shared" si="185"/>
        <v>-11.663321088062919</v>
      </c>
      <c r="AG383" s="701">
        <f t="shared" si="186"/>
        <v>-2.4969253402593896</v>
      </c>
      <c r="AH383" s="702">
        <f t="shared" si="187"/>
        <v>-72.162395828869009</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5">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1.0097619759734744</v>
      </c>
      <c r="N384" s="694">
        <f t="shared" si="174"/>
        <v>-0.13916334612574008</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-1.3752652392407241</v>
      </c>
      <c r="X384" s="699">
        <f t="shared" si="180"/>
        <v>-129.95885833606329</v>
      </c>
      <c r="Y384" s="702">
        <f t="shared" si="181"/>
        <v>50.041141663936713</v>
      </c>
      <c r="AA384" s="174">
        <f t="shared" si="182"/>
        <v>32924.5</v>
      </c>
      <c r="AB384" s="174">
        <f t="shared" si="183"/>
        <v>1084022700.25</v>
      </c>
      <c r="AD384" s="701">
        <f t="shared" si="184"/>
        <v>27.493916812102409</v>
      </c>
      <c r="AE384" s="702">
        <f t="shared" si="185"/>
        <v>-11.702906975829498</v>
      </c>
      <c r="AG384" s="701">
        <f t="shared" si="186"/>
        <v>-2.5406991266867407</v>
      </c>
      <c r="AH384" s="702">
        <f t="shared" si="187"/>
        <v>-72.086337362480435</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5">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1.0098735268442287</v>
      </c>
      <c r="N385" s="694">
        <f t="shared" si="174"/>
        <v>-0.1399497531617159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-1.4303411999524818</v>
      </c>
      <c r="X385" s="699">
        <f t="shared" si="180"/>
        <v>-130.17339427679104</v>
      </c>
      <c r="Y385" s="702">
        <f t="shared" si="181"/>
        <v>49.826605723208957</v>
      </c>
      <c r="AA385" s="174">
        <f t="shared" si="182"/>
        <v>33113</v>
      </c>
      <c r="AB385" s="174">
        <f t="shared" si="183"/>
        <v>1096470769</v>
      </c>
      <c r="AD385" s="701">
        <f t="shared" si="184"/>
        <v>27.49250762909076</v>
      </c>
      <c r="AE385" s="702">
        <f t="shared" si="185"/>
        <v>-11.742627491809641</v>
      </c>
      <c r="AG385" s="701">
        <f t="shared" si="186"/>
        <v>-2.5841599482281286</v>
      </c>
      <c r="AH385" s="702">
        <f t="shared" si="187"/>
        <v>-72.010257319838885</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5">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1.0099882384658541</v>
      </c>
      <c r="N386" s="694">
        <f t="shared" si="174"/>
        <v>-0.14075371071719633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-1.486393651370167</v>
      </c>
      <c r="X386" s="699">
        <f t="shared" si="180"/>
        <v>-130.39266579549678</v>
      </c>
      <c r="Y386" s="702">
        <f t="shared" si="181"/>
        <v>49.607334204503218</v>
      </c>
      <c r="AA386" s="174">
        <f t="shared" si="182"/>
        <v>33305.75</v>
      </c>
      <c r="AB386" s="174">
        <f t="shared" si="183"/>
        <v>1109272983.0625</v>
      </c>
      <c r="AD386" s="701">
        <f t="shared" si="184"/>
        <v>27.491060647860508</v>
      </c>
      <c r="AE386" s="702">
        <f t="shared" si="185"/>
        <v>-11.78338003166755</v>
      </c>
      <c r="AG386" s="701">
        <f t="shared" si="186"/>
        <v>-2.6282804627324978</v>
      </c>
      <c r="AH386" s="702">
        <f t="shared" si="187"/>
        <v>-71.93244200745373</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5">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1.0101036027425896</v>
      </c>
      <c r="N387" s="694">
        <f t="shared" si="174"/>
        <v>-0.14155748515156308</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-1.5421811656031046</v>
      </c>
      <c r="X387" s="699">
        <f t="shared" si="180"/>
        <v>-130.61183363472711</v>
      </c>
      <c r="Y387" s="702">
        <f t="shared" si="181"/>
        <v>49.388166365272895</v>
      </c>
      <c r="AA387" s="174">
        <f t="shared" si="182"/>
        <v>33498.5</v>
      </c>
      <c r="AB387" s="174">
        <f t="shared" si="183"/>
        <v>1122149502.25</v>
      </c>
      <c r="AD387" s="701">
        <f t="shared" si="184"/>
        <v>27.489607548293655</v>
      </c>
      <c r="AE387" s="702">
        <f t="shared" si="185"/>
        <v>-11.8242678246339</v>
      </c>
      <c r="AG387" s="701">
        <f t="shared" si="186"/>
        <v>-2.6720806570201345</v>
      </c>
      <c r="AH387" s="702">
        <f t="shared" si="187"/>
        <v>-71.854608902866971</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5">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1.0102196194508408</v>
      </c>
      <c r="N388" s="694">
        <f t="shared" si="174"/>
        <v>-0.14236107548916835</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-1.5977070033354945</v>
      </c>
      <c r="X388" s="699">
        <f t="shared" si="180"/>
        <v>-130.83089669441063</v>
      </c>
      <c r="Y388" s="702">
        <f t="shared" si="181"/>
        <v>49.169103305589374</v>
      </c>
      <c r="AA388" s="174">
        <f t="shared" si="182"/>
        <v>33691.25</v>
      </c>
      <c r="AB388" s="174">
        <f t="shared" si="183"/>
        <v>1135100326.5625</v>
      </c>
      <c r="AD388" s="701">
        <f t="shared" si="184"/>
        <v>27.488148306184709</v>
      </c>
      <c r="AE388" s="702">
        <f t="shared" si="185"/>
        <v>-11.865288174546645</v>
      </c>
      <c r="AG388" s="701">
        <f t="shared" si="186"/>
        <v>-2.7155639412419608</v>
      </c>
      <c r="AH388" s="702">
        <f t="shared" si="187"/>
        <v>-71.776760340246312</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5">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1.0103362883658524</v>
      </c>
      <c r="N389" s="694">
        <f t="shared" si="174"/>
        <v>-0.14316448075576213</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-1.652974367593254</v>
      </c>
      <c r="X389" s="699">
        <f t="shared" si="180"/>
        <v>-131.04985389175704</v>
      </c>
      <c r="Y389" s="702">
        <f t="shared" si="181"/>
        <v>48.950146108242961</v>
      </c>
      <c r="AA389" s="174">
        <f t="shared" si="182"/>
        <v>33884</v>
      </c>
      <c r="AB389" s="174">
        <f t="shared" si="183"/>
        <v>1148125456</v>
      </c>
      <c r="AD389" s="701">
        <f t="shared" si="184"/>
        <v>27.486682898253076</v>
      </c>
      <c r="AE389" s="702">
        <f t="shared" si="185"/>
        <v>-11.906438444619454</v>
      </c>
      <c r="AG389" s="701">
        <f t="shared" si="186"/>
        <v>-2.7587336691202125</v>
      </c>
      <c r="AH389" s="702">
        <f t="shared" si="187"/>
        <v>-71.698898604188884</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5">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1.0104565086676569</v>
      </c>
      <c r="N390" s="694">
        <f t="shared" si="174"/>
        <v>-0.14398749160998575</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-1.7093388871960555</v>
      </c>
      <c r="X390" s="699">
        <f t="shared" si="180"/>
        <v>-131.27409599920003</v>
      </c>
      <c r="Y390" s="702">
        <f t="shared" si="181"/>
        <v>48.725904000799972</v>
      </c>
      <c r="AA390" s="174">
        <f t="shared" si="182"/>
        <v>34081.5</v>
      </c>
      <c r="AB390" s="174">
        <f t="shared" si="183"/>
        <v>1161548642.25</v>
      </c>
      <c r="AD390" s="701">
        <f t="shared" si="184"/>
        <v>27.485174958784601</v>
      </c>
      <c r="AE390" s="702">
        <f t="shared" si="185"/>
        <v>-11.948734859277163</v>
      </c>
      <c r="AG390" s="701">
        <f t="shared" si="186"/>
        <v>-2.8026454495317537</v>
      </c>
      <c r="AH390" s="702">
        <f t="shared" si="187"/>
        <v>-71.619106770452575</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5">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1.0105774132358982</v>
      </c>
      <c r="N391" s="694">
        <f t="shared" si="174"/>
        <v>-0.14481030609287998</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-1.7654386656452732</v>
      </c>
      <c r="X391" s="699">
        <f t="shared" si="180"/>
        <v>-131.49822471479794</v>
      </c>
      <c r="Y391" s="702">
        <f t="shared" si="181"/>
        <v>48.501775285202058</v>
      </c>
      <c r="AA391" s="174">
        <f t="shared" si="182"/>
        <v>34279</v>
      </c>
      <c r="AB391" s="174">
        <f t="shared" si="183"/>
        <v>1175049841</v>
      </c>
      <c r="AD391" s="701">
        <f t="shared" si="184"/>
        <v>27.483660499217667</v>
      </c>
      <c r="AE391" s="702">
        <f t="shared" si="185"/>
        <v>-11.991162255388414</v>
      </c>
      <c r="AG391" s="701">
        <f t="shared" si="186"/>
        <v>-2.8462349817398751</v>
      </c>
      <c r="AH391" s="702">
        <f t="shared" si="187"/>
        <v>-71.539305808279479</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5">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1.0106990018250108</v>
      </c>
      <c r="N392" s="694">
        <f t="shared" si="174"/>
        <v>-0.14563292316098853</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-1.8212769687775665</v>
      </c>
      <c r="X392" s="699">
        <f t="shared" si="180"/>
        <v>-131.7222389277679</v>
      </c>
      <c r="Y392" s="702">
        <f t="shared" si="181"/>
        <v>48.277761072232096</v>
      </c>
      <c r="AA392" s="174">
        <f t="shared" si="182"/>
        <v>34476.5</v>
      </c>
      <c r="AB392" s="174">
        <f t="shared" si="183"/>
        <v>1188629052.25</v>
      </c>
      <c r="AD392" s="701">
        <f t="shared" si="184"/>
        <v>27.482139497335375</v>
      </c>
      <c r="AE392" s="702">
        <f t="shared" si="185"/>
        <v>-12.033717979606976</v>
      </c>
      <c r="AG392" s="701">
        <f t="shared" si="186"/>
        <v>-2.8895056974610749</v>
      </c>
      <c r="AH392" s="702">
        <f t="shared" si="187"/>
        <v>-71.45949802178734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5">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1.0108212741881586</v>
      </c>
      <c r="N393" s="694">
        <f t="shared" si="174"/>
        <v>-0.14645534177242431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-1.876857004487074</v>
      </c>
      <c r="X393" s="699">
        <f t="shared" si="180"/>
        <v>-131.94613754479033</v>
      </c>
      <c r="Y393" s="702">
        <f t="shared" si="181"/>
        <v>48.053862455209668</v>
      </c>
      <c r="AA393" s="174">
        <f t="shared" si="182"/>
        <v>34674</v>
      </c>
      <c r="AB393" s="174">
        <f t="shared" si="183"/>
        <v>1202286276</v>
      </c>
      <c r="AD393" s="701">
        <f t="shared" si="184"/>
        <v>27.480611931813272</v>
      </c>
      <c r="AE393" s="702">
        <f t="shared" si="185"/>
        <v>-12.076399436960759</v>
      </c>
      <c r="AG393" s="701">
        <f t="shared" si="186"/>
        <v>-2.9324609716594385</v>
      </c>
      <c r="AH393" s="702">
        <f t="shared" si="187"/>
        <v>-71.379685665958633</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5">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1.010946883474265</v>
      </c>
      <c r="N394" s="694">
        <f t="shared" si="174"/>
        <v>-0.14729525200922028</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-1.9333696793300268</v>
      </c>
      <c r="X394" s="699">
        <f t="shared" si="180"/>
        <v>-132.17473376025475</v>
      </c>
      <c r="Y394" s="702">
        <f t="shared" si="181"/>
        <v>47.825266239745247</v>
      </c>
      <c r="AA394" s="174">
        <f t="shared" si="182"/>
        <v>34875.75</v>
      </c>
      <c r="AB394" s="174">
        <f t="shared" si="183"/>
        <v>1216317938.0625</v>
      </c>
      <c r="AD394" s="701">
        <f t="shared" si="184"/>
        <v>27.479044696331094</v>
      </c>
      <c r="AE394" s="702">
        <f t="shared" si="185"/>
        <v>-12.120126537529956</v>
      </c>
      <c r="AG394" s="701">
        <f t="shared" si="186"/>
        <v>-2.9760183550194004</v>
      </c>
      <c r="AH394" s="702">
        <f t="shared" si="187"/>
        <v>-71.298153406132613</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5">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1.0110732057545542</v>
      </c>
      <c r="N395" s="694">
        <f t="shared" si="174"/>
        <v>-0.14813495296349335</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-1.9896194395073932</v>
      </c>
      <c r="X395" s="699">
        <f t="shared" si="180"/>
        <v>-132.40320709906979</v>
      </c>
      <c r="Y395" s="702">
        <f t="shared" si="181"/>
        <v>47.596792900930211</v>
      </c>
      <c r="AA395" s="174">
        <f t="shared" si="182"/>
        <v>35077.5</v>
      </c>
      <c r="AB395" s="174">
        <f t="shared" si="183"/>
        <v>1230431006.25</v>
      </c>
      <c r="AD395" s="701">
        <f t="shared" si="184"/>
        <v>27.47747056942513</v>
      </c>
      <c r="AE395" s="702">
        <f t="shared" si="185"/>
        <v>-12.16397954605509</v>
      </c>
      <c r="AG395" s="701">
        <f t="shared" si="186"/>
        <v>-3.0192535185402507</v>
      </c>
      <c r="AH395" s="702">
        <f t="shared" si="187"/>
        <v>-71.216620983641292</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5">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1.0112002407618181</v>
      </c>
      <c r="N396" s="694">
        <f t="shared" si="174"/>
        <v>-0.14897444352975667</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-2.0456095256619982</v>
      </c>
      <c r="X396" s="699">
        <f t="shared" si="180"/>
        <v>-132.63155644989828</v>
      </c>
      <c r="Y396" s="702">
        <f t="shared" si="181"/>
        <v>47.368443550101716</v>
      </c>
      <c r="AA396" s="174">
        <f t="shared" si="182"/>
        <v>35279.25</v>
      </c>
      <c r="AB396" s="174">
        <f t="shared" si="183"/>
        <v>1244625480.5625</v>
      </c>
      <c r="AD396" s="701">
        <f t="shared" si="184"/>
        <v>27.4758895310644</v>
      </c>
      <c r="AE396" s="702">
        <f t="shared" si="185"/>
        <v>-12.207955874625336</v>
      </c>
      <c r="AG396" s="701">
        <f t="shared" si="186"/>
        <v>-3.062169884553521</v>
      </c>
      <c r="AH396" s="702">
        <f t="shared" si="187"/>
        <v>-71.135090651527989</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5">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1.011327988227475</v>
      </c>
      <c r="N397" s="694">
        <f t="shared" ref="N397:N460" si="206">-ATAN(G397/z_RHP)</f>
        <v>-0.14981372260426346</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-2.1013431209159088</v>
      </c>
      <c r="X397" s="699">
        <f t="shared" ref="X397:X460" si="212">((L397+R397+N397+V397)-(J397+P397+T397))*radconv</f>
        <v>-132.85978071887433</v>
      </c>
      <c r="Y397" s="702">
        <f t="shared" ref="Y397:Y460" si="213">IF(X397&gt;0,X397,X397+180)</f>
        <v>47.140219281125667</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-3.1047708190034031</v>
      </c>
      <c r="AH397" s="702">
        <f t="shared" ref="AH397:AH460" si="219">(L397+N397-(J397+V397))*radconv</f>
        <v>-71.053564614680965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5">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1.0114596405576515</v>
      </c>
      <c r="N398" s="694">
        <f t="shared" si="206"/>
        <v>-0.15067358108424292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-2.1581951359878464</v>
      </c>
      <c r="X398" s="699">
        <f t="shared" si="212"/>
        <v>-133.09353020718143</v>
      </c>
      <c r="Y398" s="702">
        <f t="shared" si="213"/>
        <v>46.906469792818569</v>
      </c>
      <c r="AA398" s="174">
        <f t="shared" si="214"/>
        <v>35687.75</v>
      </c>
      <c r="AB398" s="174">
        <f t="shared" si="215"/>
        <v>1273615500.0625</v>
      </c>
      <c r="AD398" s="701">
        <f t="shared" si="216"/>
        <v>27.47266702860021</v>
      </c>
      <c r="AE398" s="702">
        <f t="shared" si="217"/>
        <v>-12.297365701216096</v>
      </c>
      <c r="AG398" s="701">
        <f t="shared" si="218"/>
        <v>-3.1481037471301203</v>
      </c>
      <c r="AH398" s="702">
        <f t="shared" si="219"/>
        <v>-70.970024819358159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5">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1.0115920405222214</v>
      </c>
      <c r="N399" s="694">
        <f t="shared" si="206"/>
        <v>-0.15153321511834733</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-2.2147843782619101</v>
      </c>
      <c r="X399" s="699">
        <f t="shared" si="212"/>
        <v>-133.32714606570386</v>
      </c>
      <c r="Y399" s="702">
        <f t="shared" si="213"/>
        <v>46.672853934296143</v>
      </c>
      <c r="AA399" s="174">
        <f t="shared" si="214"/>
        <v>35894.5</v>
      </c>
      <c r="AB399" s="174">
        <f t="shared" si="215"/>
        <v>1288415130.25</v>
      </c>
      <c r="AD399" s="701">
        <f t="shared" si="216"/>
        <v>27.471025178553212</v>
      </c>
      <c r="AE399" s="702">
        <f t="shared" si="217"/>
        <v>-12.342800053891933</v>
      </c>
      <c r="AG399" s="701">
        <f t="shared" si="218"/>
        <v>-3.1911123963616452</v>
      </c>
      <c r="AH399" s="702">
        <f t="shared" si="219"/>
        <v>-70.886494073536383</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5">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1.0117251878276661</v>
      </c>
      <c r="N400" s="694">
        <f t="shared" si="206"/>
        <v>-0.15239262352445523</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-2.2711140939103021</v>
      </c>
      <c r="X400" s="699">
        <f t="shared" si="212"/>
        <v>-133.56062717200143</v>
      </c>
      <c r="Y400" s="702">
        <f t="shared" si="213"/>
        <v>46.439372827998568</v>
      </c>
      <c r="AA400" s="174">
        <f t="shared" si="214"/>
        <v>36101.25</v>
      </c>
      <c r="AB400" s="174">
        <f t="shared" si="215"/>
        <v>1303300251.5625</v>
      </c>
      <c r="AD400" s="701">
        <f t="shared" si="216"/>
        <v>27.469375993891457</v>
      </c>
      <c r="AE400" s="702">
        <f t="shared" si="217"/>
        <v>-12.388353500991462</v>
      </c>
      <c r="AG400" s="701">
        <f t="shared" si="218"/>
        <v>-3.23380021308312</v>
      </c>
      <c r="AH400" s="702">
        <f t="shared" si="219"/>
        <v>-70.80297460074128</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5">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1.011859082178965</v>
      </c>
      <c r="N401" s="694">
        <f t="shared" si="206"/>
        <v>-0.15325180512239869</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-2.3271874712712108</v>
      </c>
      <c r="X401" s="699">
        <f t="shared" si="212"/>
        <v>-133.79397242137574</v>
      </c>
      <c r="Y401" s="702">
        <f t="shared" si="213"/>
        <v>46.206027578624258</v>
      </c>
      <c r="AA401" s="174">
        <f t="shared" si="214"/>
        <v>36308</v>
      </c>
      <c r="AB401" s="174">
        <f t="shared" si="215"/>
        <v>1318270864</v>
      </c>
      <c r="AD401" s="701">
        <f t="shared" si="216"/>
        <v>27.467719457401031</v>
      </c>
      <c r="AE401" s="702">
        <f t="shared" si="217"/>
        <v>-12.434023549230247</v>
      </c>
      <c r="AG401" s="701">
        <f t="shared" si="218"/>
        <v>-3.2761705869332185</v>
      </c>
      <c r="AH401" s="702">
        <f t="shared" si="219"/>
        <v>-70.719468576655373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5">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1.0119968253788305</v>
      </c>
      <c r="N402" s="694">
        <f t="shared" si="206"/>
        <v>-0.15413049016719832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-2.384287137657993</v>
      </c>
      <c r="X402" s="699">
        <f t="shared" si="212"/>
        <v>-134.03253697790231</v>
      </c>
      <c r="Y402" s="702">
        <f t="shared" si="213"/>
        <v>45.967463022097689</v>
      </c>
      <c r="AA402" s="174">
        <f t="shared" si="214"/>
        <v>36519.5</v>
      </c>
      <c r="AB402" s="174">
        <f t="shared" si="215"/>
        <v>1333673880.25</v>
      </c>
      <c r="AD402" s="701">
        <f t="shared" si="216"/>
        <v>27.466017238395398</v>
      </c>
      <c r="AE402" s="702">
        <f t="shared" si="217"/>
        <v>-12.480860956307399</v>
      </c>
      <c r="AG402" s="701">
        <f t="shared" si="218"/>
        <v>-3.3191894131839215</v>
      </c>
      <c r="AH402" s="702">
        <f t="shared" si="219"/>
        <v>-70.63406016980332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5">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1.0121353497156795</v>
      </c>
      <c r="N403" s="694">
        <f t="shared" si="206"/>
        <v>-0.15500893537034494</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-2.4411251219557895</v>
      </c>
      <c r="X403" s="699">
        <f t="shared" si="212"/>
        <v>-134.27095707996011</v>
      </c>
      <c r="Y403" s="702">
        <f t="shared" si="213"/>
        <v>45.729042920039888</v>
      </c>
      <c r="AA403" s="174">
        <f t="shared" si="214"/>
        <v>36731</v>
      </c>
      <c r="AB403" s="174">
        <f t="shared" si="215"/>
        <v>1349166361</v>
      </c>
      <c r="AD403" s="701">
        <f t="shared" si="216"/>
        <v>27.46430729195076</v>
      </c>
      <c r="AE403" s="702">
        <f t="shared" si="217"/>
        <v>-12.52781527754704</v>
      </c>
      <c r="AG403" s="701">
        <f t="shared" si="218"/>
        <v>-3.3618830422752479</v>
      </c>
      <c r="AH403" s="702">
        <f t="shared" si="219"/>
        <v>-70.548670294564815</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5">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1.0122746548688288</v>
      </c>
      <c r="N404" s="694">
        <f t="shared" si="206"/>
        <v>-0.15588713947484864</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-2.4977046579618252</v>
      </c>
      <c r="X404" s="699">
        <f t="shared" si="212"/>
        <v>-134.50923160029998</v>
      </c>
      <c r="Y404" s="702">
        <f t="shared" si="213"/>
        <v>45.490768399700016</v>
      </c>
      <c r="AA404" s="174">
        <f t="shared" si="214"/>
        <v>36942.5</v>
      </c>
      <c r="AB404" s="174">
        <f t="shared" si="215"/>
        <v>1364748306.25</v>
      </c>
      <c r="AD404" s="701">
        <f t="shared" si="216"/>
        <v>27.462589602142216</v>
      </c>
      <c r="AE404" s="702">
        <f t="shared" si="217"/>
        <v>-12.574884014987243</v>
      </c>
      <c r="AG404" s="701">
        <f t="shared" si="218"/>
        <v>-3.4042549267881745</v>
      </c>
      <c r="AH404" s="702">
        <f t="shared" si="219"/>
        <v>-70.463301132478577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5">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1.0124147405159647</v>
      </c>
      <c r="N405" s="694">
        <f t="shared" si="206"/>
        <v>-0.15676510122589699</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-2.5540289217392758</v>
      </c>
      <c r="X405" s="699">
        <f t="shared" si="212"/>
        <v>-134.74735942960211</v>
      </c>
      <c r="Y405" s="702">
        <f t="shared" si="213"/>
        <v>45.252640570397887</v>
      </c>
      <c r="AA405" s="174">
        <f t="shared" si="214"/>
        <v>37154</v>
      </c>
      <c r="AB405" s="174">
        <f t="shared" si="215"/>
        <v>1380419716</v>
      </c>
      <c r="AD405" s="701">
        <f t="shared" si="216"/>
        <v>27.46086415383499</v>
      </c>
      <c r="AE405" s="702">
        <f t="shared" si="217"/>
        <v>-12.622064725153844</v>
      </c>
      <c r="AG405" s="701">
        <f t="shared" si="218"/>
        <v>-3.4463084625986462</v>
      </c>
      <c r="AH405" s="702">
        <f t="shared" si="219"/>
        <v>-70.377954817841882</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5">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1.0125587789412633</v>
      </c>
      <c r="N406" s="694">
        <f t="shared" si="206"/>
        <v>-0.15766252891026147</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-2.6113574643992026</v>
      </c>
      <c r="X406" s="699">
        <f t="shared" si="212"/>
        <v>-134.99068247654483</v>
      </c>
      <c r="Y406" s="702">
        <f t="shared" si="213"/>
        <v>45.009317523455167</v>
      </c>
      <c r="AA406" s="174">
        <f t="shared" si="214"/>
        <v>37370.25</v>
      </c>
      <c r="AB406" s="174">
        <f t="shared" si="215"/>
        <v>1396535585.0625</v>
      </c>
      <c r="AD406" s="701">
        <f t="shared" si="216"/>
        <v>27.459091917536806</v>
      </c>
      <c r="AE406" s="702">
        <f t="shared" si="217"/>
        <v>-12.670418332623997</v>
      </c>
      <c r="AG406" s="701">
        <f t="shared" si="218"/>
        <v>-3.4889807890236071</v>
      </c>
      <c r="AH406" s="702">
        <f t="shared" si="219"/>
        <v>-70.29071753992443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5">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1.0127036326251957</v>
      </c>
      <c r="N407" s="694">
        <f t="shared" si="206"/>
        <v>-0.15855970058700652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-2.6684256760829261</v>
      </c>
      <c r="X407" s="699">
        <f t="shared" si="212"/>
        <v>-135.23384987991165</v>
      </c>
      <c r="Y407" s="702">
        <f t="shared" si="213"/>
        <v>44.766150120088355</v>
      </c>
      <c r="AA407" s="174">
        <f t="shared" si="214"/>
        <v>37586.5</v>
      </c>
      <c r="AB407" s="174">
        <f t="shared" si="215"/>
        <v>1412744982.25</v>
      </c>
      <c r="AD407" s="701">
        <f t="shared" si="216"/>
        <v>27.457311540756137</v>
      </c>
      <c r="AE407" s="702">
        <f t="shared" si="217"/>
        <v>-12.7188840003178</v>
      </c>
      <c r="AG407" s="701">
        <f t="shared" si="218"/>
        <v>-3.5313273108462679</v>
      </c>
      <c r="AH407" s="702">
        <f t="shared" si="219"/>
        <v>-70.203508513779497</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5">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1.012849301217976</v>
      </c>
      <c r="N408" s="694">
        <f t="shared" si="206"/>
        <v>-0.1594566149219854</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-2.7252367729314275</v>
      </c>
      <c r="X408" s="699">
        <f t="shared" si="212"/>
        <v>-135.47686050985124</v>
      </c>
      <c r="Y408" s="702">
        <f t="shared" si="213"/>
        <v>44.523139490148765</v>
      </c>
      <c r="AA408" s="174">
        <f t="shared" si="214"/>
        <v>37802.75</v>
      </c>
      <c r="AB408" s="174">
        <f t="shared" si="215"/>
        <v>1429047907.5625</v>
      </c>
      <c r="AD408" s="701">
        <f t="shared" si="216"/>
        <v>27.455523009715833</v>
      </c>
      <c r="AE408" s="702">
        <f t="shared" si="217"/>
        <v>-12.767459283308375</v>
      </c>
      <c r="AG408" s="701">
        <f t="shared" si="218"/>
        <v>-3.5733514822581873</v>
      </c>
      <c r="AH408" s="702">
        <f t="shared" si="219"/>
        <v>-70.116329875224622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5">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1.0129957843680533</v>
      </c>
      <c r="N409" s="694">
        <f t="shared" si="206"/>
        <v>-0.16035327058347282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-2.7817939135675895</v>
      </c>
      <c r="X409" s="699">
        <f t="shared" si="212"/>
        <v>-135.71971325463497</v>
      </c>
      <c r="Y409" s="702">
        <f t="shared" si="213"/>
        <v>44.280286745365032</v>
      </c>
      <c r="AA409" s="174">
        <f t="shared" si="214"/>
        <v>38019</v>
      </c>
      <c r="AB409" s="174">
        <f t="shared" si="215"/>
        <v>1445444361</v>
      </c>
      <c r="AD409" s="701">
        <f t="shared" si="216"/>
        <v>27.453726311396565</v>
      </c>
      <c r="AE409" s="702">
        <f t="shared" si="217"/>
        <v>-12.816141789795978</v>
      </c>
      <c r="AG409" s="701">
        <f t="shared" si="218"/>
        <v>-3.6150567008960981</v>
      </c>
      <c r="AH409" s="702">
        <f t="shared" si="219"/>
        <v>-70.029183713475447</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5">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1.0131466678476111</v>
      </c>
      <c r="N410" s="694">
        <f t="shared" si="206"/>
        <v>-0.16127142520505625</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-2.8394640805522595</v>
      </c>
      <c r="X410" s="699">
        <f t="shared" si="212"/>
        <v>-135.96829702196817</v>
      </c>
      <c r="Y410" s="702">
        <f t="shared" si="213"/>
        <v>44.031702978031831</v>
      </c>
      <c r="AA410" s="174">
        <f t="shared" si="214"/>
        <v>38240.5</v>
      </c>
      <c r="AB410" s="174">
        <f t="shared" si="215"/>
        <v>1462335840.25</v>
      </c>
      <c r="AD410" s="701">
        <f t="shared" si="216"/>
        <v>27.451877513869608</v>
      </c>
      <c r="AE410" s="702">
        <f t="shared" si="217"/>
        <v>-12.866114898106712</v>
      </c>
      <c r="AG410" s="701">
        <f t="shared" si="218"/>
        <v>-3.6574472471133586</v>
      </c>
      <c r="AH410" s="702">
        <f t="shared" si="219"/>
        <v>-69.939957669293932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5">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1.0132984051630496</v>
      </c>
      <c r="N411" s="694">
        <f t="shared" si="206"/>
        <v>-0.162189305620386</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-2.8968743396441643</v>
      </c>
      <c r="X411" s="699">
        <f t="shared" si="212"/>
        <v>-136.21671284075404</v>
      </c>
      <c r="Y411" s="702">
        <f t="shared" si="213"/>
        <v>43.783287159245958</v>
      </c>
      <c r="AA411" s="174">
        <f t="shared" si="214"/>
        <v>38462</v>
      </c>
      <c r="AB411" s="174">
        <f t="shared" si="215"/>
        <v>1479325444</v>
      </c>
      <c r="AD411" s="701">
        <f t="shared" si="216"/>
        <v>27.450020122372241</v>
      </c>
      <c r="AE411" s="702">
        <f t="shared" si="217"/>
        <v>-12.916195584196206</v>
      </c>
      <c r="AG411" s="701">
        <f t="shared" si="218"/>
        <v>-3.699510205207166</v>
      </c>
      <c r="AH411" s="702">
        <f t="shared" si="219"/>
        <v>-69.850769990101</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5">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1.0134509959308506</v>
      </c>
      <c r="N412" s="694">
        <f t="shared" si="206"/>
        <v>-0.16310691040633951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-2.954027905952894</v>
      </c>
      <c r="X412" s="699">
        <f t="shared" si="212"/>
        <v>-136.4649595732356</v>
      </c>
      <c r="Y412" s="702">
        <f t="shared" si="213"/>
        <v>43.535040426764397</v>
      </c>
      <c r="AA412" s="174">
        <f t="shared" si="214"/>
        <v>38683.5</v>
      </c>
      <c r="AB412" s="174">
        <f t="shared" si="215"/>
        <v>1496413172.25</v>
      </c>
      <c r="AD412" s="701">
        <f t="shared" si="216"/>
        <v>27.44815412523149</v>
      </c>
      <c r="AE412" s="702">
        <f t="shared" si="217"/>
        <v>-12.966381441560925</v>
      </c>
      <c r="AG412" s="701">
        <f t="shared" si="218"/>
        <v>-3.7412490500315498</v>
      </c>
      <c r="AH412" s="702">
        <f t="shared" si="219"/>
        <v>-69.761622776460456</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5">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1.0136044397655712</v>
      </c>
      <c r="N413" s="694">
        <f t="shared" si="206"/>
        <v>-0.16402423814250541</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-3.0109279368803463</v>
      </c>
      <c r="X413" s="699">
        <f t="shared" si="212"/>
        <v>-136.71303610014601</v>
      </c>
      <c r="Y413" s="702">
        <f t="shared" si="213"/>
        <v>43.286963899853987</v>
      </c>
      <c r="AA413" s="174">
        <f t="shared" si="214"/>
        <v>38905</v>
      </c>
      <c r="AB413" s="174">
        <f t="shared" si="215"/>
        <v>1513599025</v>
      </c>
      <c r="AD413" s="701">
        <f t="shared" si="216"/>
        <v>27.446279511507051</v>
      </c>
      <c r="AE413" s="702">
        <f t="shared" si="217"/>
        <v>-13.016670115871062</v>
      </c>
      <c r="AG413" s="701">
        <f t="shared" si="218"/>
        <v>-3.7826671996302217</v>
      </c>
      <c r="AH413" s="702">
        <f t="shared" si="219"/>
        <v>-69.672518082588752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5">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1.0137622291092823</v>
      </c>
      <c r="N414" s="694">
        <f t="shared" si="206"/>
        <v>-0.16496198507268506</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-3.0688534387968245</v>
      </c>
      <c r="X414" s="699">
        <f t="shared" si="212"/>
        <v>-136.96653538941032</v>
      </c>
      <c r="Y414" s="702">
        <f t="shared" si="213"/>
        <v>43.033464610589675</v>
      </c>
      <c r="AA414" s="174">
        <f t="shared" si="214"/>
        <v>39131.5</v>
      </c>
      <c r="AB414" s="174">
        <f t="shared" si="215"/>
        <v>1531274292.25</v>
      </c>
      <c r="AD414" s="701">
        <f t="shared" si="216"/>
        <v>27.444353660253434</v>
      </c>
      <c r="AE414" s="702">
        <f t="shared" si="217"/>
        <v>-13.068197899390878</v>
      </c>
      <c r="AG414" s="701">
        <f t="shared" si="218"/>
        <v>-3.8246921635546745</v>
      </c>
      <c r="AH414" s="702">
        <f t="shared" si="219"/>
        <v>-69.581448059329261</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5">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1.0139209096464561</v>
      </c>
      <c r="N415" s="694">
        <f t="shared" si="206"/>
        <v>-0.16589943930868764</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-3.1265203284403116</v>
      </c>
      <c r="X415" s="699">
        <f t="shared" si="212"/>
        <v>-137.2198543927199</v>
      </c>
      <c r="Y415" s="702">
        <f t="shared" si="213"/>
        <v>42.780145607280105</v>
      </c>
      <c r="AA415" s="174">
        <f t="shared" si="214"/>
        <v>39358</v>
      </c>
      <c r="AB415" s="174">
        <f t="shared" si="215"/>
        <v>1549052164</v>
      </c>
      <c r="AD415" s="701">
        <f t="shared" si="216"/>
        <v>27.442418778123113</v>
      </c>
      <c r="AE415" s="702">
        <f t="shared" si="217"/>
        <v>-13.119828375621559</v>
      </c>
      <c r="AG415" s="701">
        <f t="shared" si="218"/>
        <v>-3.8663888430354634</v>
      </c>
      <c r="AH415" s="702">
        <f t="shared" si="219"/>
        <v>-69.490426698204374</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5">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1.0140804809587383</v>
      </c>
      <c r="N416" s="694">
        <f t="shared" si="206"/>
        <v>-0.16683659934059367</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-3.1839318031661392</v>
      </c>
      <c r="X416" s="699">
        <f t="shared" si="212"/>
        <v>-137.47299197109103</v>
      </c>
      <c r="Y416" s="702">
        <f t="shared" si="213"/>
        <v>42.527008028908966</v>
      </c>
      <c r="AA416" s="174">
        <f t="shared" si="214"/>
        <v>39584.5</v>
      </c>
      <c r="AB416" s="174">
        <f t="shared" si="215"/>
        <v>1566932640.25</v>
      </c>
      <c r="AD416" s="701">
        <f t="shared" si="216"/>
        <v>27.440474855646734</v>
      </c>
      <c r="AE416" s="702">
        <f t="shared" si="217"/>
        <v>-13.171559187062083</v>
      </c>
      <c r="AG416" s="701">
        <f t="shared" si="218"/>
        <v>-3.9077607167846846</v>
      </c>
      <c r="AH416" s="702">
        <f t="shared" si="219"/>
        <v>-69.399456052716872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5">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1.01424094262569</v>
      </c>
      <c r="N417" s="694">
        <f t="shared" si="206"/>
        <v>-0.16777346366149831</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-3.2410910028210873</v>
      </c>
      <c r="X417" s="699">
        <f t="shared" si="212"/>
        <v>-137.72594700432236</v>
      </c>
      <c r="Y417" s="702">
        <f t="shared" si="213"/>
        <v>42.274052995677636</v>
      </c>
      <c r="AA417" s="174">
        <f t="shared" si="214"/>
        <v>39811</v>
      </c>
      <c r="AB417" s="174">
        <f t="shared" si="215"/>
        <v>1584915721</v>
      </c>
      <c r="AD417" s="701">
        <f t="shared" si="216"/>
        <v>27.438521884059238</v>
      </c>
      <c r="AE417" s="702">
        <f t="shared" si="217"/>
        <v>-13.223388027112907</v>
      </c>
      <c r="AG417" s="701">
        <f t="shared" si="218"/>
        <v>-3.9488112068230805</v>
      </c>
      <c r="AH417" s="702">
        <f t="shared" si="219"/>
        <v>-69.308538130530536</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5">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1.0144060447119734</v>
      </c>
      <c r="N418" s="694">
        <f t="shared" si="206"/>
        <v>-0.16873173574021216</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-3.2993171866157995</v>
      </c>
      <c r="X418" s="699">
        <f t="shared" si="212"/>
        <v>-137.98457514368678</v>
      </c>
      <c r="Y418" s="702">
        <f t="shared" si="213"/>
        <v>42.015424856313217</v>
      </c>
      <c r="AA418" s="174">
        <f t="shared" si="214"/>
        <v>40042.75</v>
      </c>
      <c r="AB418" s="174">
        <f t="shared" si="215"/>
        <v>1603421827.5625</v>
      </c>
      <c r="AD418" s="701">
        <f t="shared" si="216"/>
        <v>27.436514270328203</v>
      </c>
      <c r="AE418" s="702">
        <f t="shared" si="217"/>
        <v>-13.276517307153574</v>
      </c>
      <c r="AG418" s="701">
        <f t="shared" si="218"/>
        <v>-3.9904840654596772</v>
      </c>
      <c r="AH418" s="702">
        <f t="shared" si="219"/>
        <v>-69.21556945700253</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5">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1.0145720780088228</v>
      </c>
      <c r="N419" s="694">
        <f t="shared" si="206"/>
        <v>-0.16968969505860484</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-3.3572857365652986</v>
      </c>
      <c r="X419" s="699">
        <f t="shared" si="212"/>
        <v>-138.24300986361143</v>
      </c>
      <c r="Y419" s="702">
        <f t="shared" si="213"/>
        <v>41.756990136388566</v>
      </c>
      <c r="AA419" s="174">
        <f t="shared" si="214"/>
        <v>40274.5</v>
      </c>
      <c r="AB419" s="174">
        <f t="shared" si="215"/>
        <v>1622035350.25</v>
      </c>
      <c r="AD419" s="701">
        <f t="shared" si="216"/>
        <v>27.434497166727411</v>
      </c>
      <c r="AE419" s="702">
        <f t="shared" si="217"/>
        <v>-13.329744484432874</v>
      </c>
      <c r="AG419" s="701">
        <f t="shared" si="218"/>
        <v>-4.0318275408838637</v>
      </c>
      <c r="AH419" s="702">
        <f t="shared" si="219"/>
        <v>-69.122660089422396</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5">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1.0147390420591396</v>
      </c>
      <c r="N420" s="694">
        <f t="shared" si="206"/>
        <v>-0.17064734001242099</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-3.4149998374712083</v>
      </c>
      <c r="X420" s="699">
        <f t="shared" si="212"/>
        <v>-138.50125002308212</v>
      </c>
      <c r="Y420" s="702">
        <f t="shared" si="213"/>
        <v>41.498749976917878</v>
      </c>
      <c r="AA420" s="174">
        <f t="shared" si="214"/>
        <v>40506.25</v>
      </c>
      <c r="AB420" s="174">
        <f t="shared" si="215"/>
        <v>1640756289.0625</v>
      </c>
      <c r="AD420" s="701">
        <f t="shared" si="216"/>
        <v>27.432470566015738</v>
      </c>
      <c r="AE420" s="702">
        <f t="shared" si="217"/>
        <v>-13.383067244539523</v>
      </c>
      <c r="AG420" s="701">
        <f t="shared" si="218"/>
        <v>-4.072845122556715</v>
      </c>
      <c r="AH420" s="702">
        <f t="shared" si="219"/>
        <v>-69.029812036525641</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5">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1.0149069364035646</v>
      </c>
      <c r="N421" s="694">
        <f t="shared" si="206"/>
        <v>-0.17160466900076438</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-3.472462616691943</v>
      </c>
      <c r="X421" s="699">
        <f t="shared" si="212"/>
        <v>-138.75929450025086</v>
      </c>
      <c r="Y421" s="702">
        <f t="shared" si="213"/>
        <v>41.24070549974914</v>
      </c>
      <c r="AA421" s="174">
        <f t="shared" si="214"/>
        <v>40738</v>
      </c>
      <c r="AB421" s="174">
        <f t="shared" si="215"/>
        <v>1659584644</v>
      </c>
      <c r="AD421" s="701">
        <f t="shared" si="216"/>
        <v>27.430434461631258</v>
      </c>
      <c r="AE421" s="702">
        <f t="shared" si="217"/>
        <v>-13.436483322847845</v>
      </c>
      <c r="AG421" s="701">
        <f t="shared" si="218"/>
        <v>-4.1135402432260024</v>
      </c>
      <c r="AH421" s="702">
        <f t="shared" si="219"/>
        <v>-68.937027261550739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5">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1.0150797784869228</v>
      </c>
      <c r="N422" s="694">
        <f t="shared" si="206"/>
        <v>-0.17258438880059548</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-3.5310319966807553</v>
      </c>
      <c r="X422" s="699">
        <f t="shared" si="212"/>
        <v>-139.02325915535866</v>
      </c>
      <c r="Y422" s="702">
        <f t="shared" si="213"/>
        <v>40.976740844641341</v>
      </c>
      <c r="AA422" s="174">
        <f t="shared" si="214"/>
        <v>40975.25</v>
      </c>
      <c r="AB422" s="174">
        <f t="shared" si="215"/>
        <v>1678971112.5625</v>
      </c>
      <c r="AD422" s="701">
        <f t="shared" si="216"/>
        <v>27.428340184632084</v>
      </c>
      <c r="AE422" s="702">
        <f t="shared" si="217"/>
        <v>-13.491261449519374</v>
      </c>
      <c r="AG422" s="701">
        <f t="shared" si="218"/>
        <v>-4.1548706544586063</v>
      </c>
      <c r="AH422" s="702">
        <f t="shared" si="219"/>
        <v>-68.842108026158485</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5">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1.0152535945632122</v>
      </c>
      <c r="N423" s="694">
        <f t="shared" si="206"/>
        <v>-0.17356377407516785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-3.5893444385598055</v>
      </c>
      <c r="X423" s="699">
        <f t="shared" si="212"/>
        <v>-139.28701641065746</v>
      </c>
      <c r="Y423" s="702">
        <f t="shared" si="213"/>
        <v>40.712983589342542</v>
      </c>
      <c r="AA423" s="174">
        <f t="shared" si="214"/>
        <v>41212.5</v>
      </c>
      <c r="AB423" s="174">
        <f t="shared" si="215"/>
        <v>1698470156.25</v>
      </c>
      <c r="AD423" s="701">
        <f t="shared" si="216"/>
        <v>27.426235935688904</v>
      </c>
      <c r="AE423" s="702">
        <f t="shared" si="217"/>
        <v>-13.546132727083492</v>
      </c>
      <c r="AG423" s="701">
        <f t="shared" si="218"/>
        <v>-4.1958702214552623</v>
      </c>
      <c r="AH423" s="702">
        <f t="shared" si="219"/>
        <v>-68.747259130338165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5">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1.0154283841322624</v>
      </c>
      <c r="N424" s="694">
        <f t="shared" si="206"/>
        <v>-0.17454282311790928</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-3.6474031190687333</v>
      </c>
      <c r="X424" s="699">
        <f t="shared" si="212"/>
        <v>-139.55056512279683</v>
      </c>
      <c r="Y424" s="702">
        <f t="shared" si="213"/>
        <v>40.449434877203174</v>
      </c>
      <c r="AA424" s="174">
        <f t="shared" si="214"/>
        <v>41449.75</v>
      </c>
      <c r="AB424" s="174">
        <f t="shared" si="215"/>
        <v>1718081775.0625</v>
      </c>
      <c r="AD424" s="701">
        <f t="shared" si="216"/>
        <v>27.424121709837614</v>
      </c>
      <c r="AE424" s="702">
        <f t="shared" si="217"/>
        <v>-13.60109487902081</v>
      </c>
      <c r="AG424" s="701">
        <f t="shared" si="218"/>
        <v>-4.2365424507303056</v>
      </c>
      <c r="AH424" s="702">
        <f t="shared" si="219"/>
        <v>-68.652482539366673</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5">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1.0156041466914478</v>
      </c>
      <c r="N425" s="694">
        <f t="shared" si="206"/>
        <v>-0.17552153422599745</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-3.7052111574516697</v>
      </c>
      <c r="X425" s="699">
        <f t="shared" si="212"/>
        <v>-139.81390416806693</v>
      </c>
      <c r="Y425" s="702">
        <f t="shared" si="213"/>
        <v>40.186095831933073</v>
      </c>
      <c r="AA425" s="174">
        <f t="shared" si="214"/>
        <v>41687</v>
      </c>
      <c r="AB425" s="174">
        <f t="shared" si="215"/>
        <v>1737805969</v>
      </c>
      <c r="AD425" s="701">
        <f t="shared" si="216"/>
        <v>27.421997502771212</v>
      </c>
      <c r="AE425" s="702">
        <f t="shared" si="217"/>
        <v>-13.656145677616612</v>
      </c>
      <c r="AG425" s="701">
        <f t="shared" si="218"/>
        <v>-4.2768907919353696</v>
      </c>
      <c r="AH425" s="702">
        <f t="shared" si="219"/>
        <v>-68.557780173214624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5">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1.0157849903894864</v>
      </c>
      <c r="N426" s="694">
        <f t="shared" si="206"/>
        <v>-0.17652258255704756</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-3.7641030883603301</v>
      </c>
      <c r="X426" s="699">
        <f t="shared" si="212"/>
        <v>-140.08312985146986</v>
      </c>
      <c r="Y426" s="702">
        <f t="shared" si="213"/>
        <v>39.916870148530137</v>
      </c>
      <c r="AA426" s="174">
        <f t="shared" si="214"/>
        <v>41929.75</v>
      </c>
      <c r="AB426" s="174">
        <f t="shared" si="215"/>
        <v>1758103935.0625</v>
      </c>
      <c r="AD426" s="701">
        <f t="shared" si="216"/>
        <v>27.419813716902496</v>
      </c>
      <c r="AE426" s="702">
        <f t="shared" si="217"/>
        <v>-13.712562159379745</v>
      </c>
      <c r="AG426" s="701">
        <f t="shared" si="218"/>
        <v>-4.3178428023884816</v>
      </c>
      <c r="AH426" s="702">
        <f t="shared" si="219"/>
        <v>-68.460961170707037</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5">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1.0159668516404134</v>
      </c>
      <c r="N427" s="694">
        <f t="shared" si="206"/>
        <v>-0.17752327350901151</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-3.8227390496270806</v>
      </c>
      <c r="X427" s="699">
        <f t="shared" si="212"/>
        <v>-140.35213371565447</v>
      </c>
      <c r="Y427" s="702">
        <f t="shared" si="213"/>
        <v>39.647866284345525</v>
      </c>
      <c r="AA427" s="174">
        <f t="shared" si="214"/>
        <v>42172.5</v>
      </c>
      <c r="AB427" s="174">
        <f t="shared" si="215"/>
        <v>1778519756.25</v>
      </c>
      <c r="AD427" s="701">
        <f t="shared" si="216"/>
        <v>27.417619474576711</v>
      </c>
      <c r="AE427" s="702">
        <f t="shared" si="217"/>
        <v>-13.769066877680544</v>
      </c>
      <c r="AG427" s="701">
        <f t="shared" si="218"/>
        <v>-4.3584628635584943</v>
      </c>
      <c r="AH427" s="702">
        <f t="shared" si="219"/>
        <v>-68.364223800346295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5">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1.0161497298978917</v>
      </c>
      <c r="N428" s="694">
        <f t="shared" si="206"/>
        <v>-0.17852360527016239</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-3.8811222040782161</v>
      </c>
      <c r="X428" s="699">
        <f t="shared" si="212"/>
        <v>-140.62091461865344</v>
      </c>
      <c r="Y428" s="702">
        <f t="shared" si="213"/>
        <v>39.379085381346556</v>
      </c>
      <c r="AA428" s="174">
        <f t="shared" si="214"/>
        <v>42415.25</v>
      </c>
      <c r="AB428" s="174">
        <f t="shared" si="215"/>
        <v>1799053432.5625</v>
      </c>
      <c r="AD428" s="701">
        <f t="shared" si="216"/>
        <v>27.415414773186143</v>
      </c>
      <c r="AE428" s="702">
        <f t="shared" si="217"/>
        <v>-13.825657596160246</v>
      </c>
      <c r="AG428" s="701">
        <f t="shared" si="218"/>
        <v>-4.3987544939931205</v>
      </c>
      <c r="AH428" s="702">
        <f t="shared" si="219"/>
        <v>-68.267569978441642</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5">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1.0163336246129233</v>
      </c>
      <c r="N429" s="694">
        <f t="shared" si="206"/>
        <v>-0.17952357603294922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-3.9392556571229091</v>
      </c>
      <c r="X429" s="699">
        <f t="shared" si="212"/>
        <v>-140.8894714386235</v>
      </c>
      <c r="Y429" s="702">
        <f t="shared" si="213"/>
        <v>39.110528561376498</v>
      </c>
      <c r="AA429" s="174">
        <f t="shared" si="214"/>
        <v>42658</v>
      </c>
      <c r="AB429" s="174">
        <f t="shared" si="215"/>
        <v>1819704964</v>
      </c>
      <c r="AD429" s="701">
        <f t="shared" si="216"/>
        <v>27.413199610758102</v>
      </c>
      <c r="AE429" s="702">
        <f t="shared" si="217"/>
        <v>-13.882332126206341</v>
      </c>
      <c r="AG429" s="701">
        <f t="shared" si="218"/>
        <v>-4.4387211553451769</v>
      </c>
      <c r="AH429" s="702">
        <f t="shared" si="219"/>
        <v>-68.171001576229784</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5">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1.0165229275093826</v>
      </c>
      <c r="N430" s="694">
        <f t="shared" si="206"/>
        <v>-0.18054685721518918</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-3.9985106523235485</v>
      </c>
      <c r="X430" s="699">
        <f t="shared" si="212"/>
        <v>-141.16415628463753</v>
      </c>
      <c r="Y430" s="702">
        <f t="shared" si="213"/>
        <v>38.835843715362472</v>
      </c>
      <c r="AA430" s="174">
        <f t="shared" si="214"/>
        <v>42906.5</v>
      </c>
      <c r="AB430" s="174">
        <f t="shared" si="215"/>
        <v>1840967742.25</v>
      </c>
      <c r="AD430" s="701">
        <f t="shared" si="216"/>
        <v>27.410921140883278</v>
      </c>
      <c r="AE430" s="702">
        <f t="shared" si="217"/>
        <v>-13.940433678135387</v>
      </c>
      <c r="AG430" s="701">
        <f t="shared" si="218"/>
        <v>-4.4793014528377624</v>
      </c>
      <c r="AH430" s="702">
        <f t="shared" si="219"/>
        <v>-68.072236151925907</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5">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1.0167132944144339</v>
      </c>
      <c r="N431" s="694">
        <f t="shared" si="206"/>
        <v>-0.18156975627485736</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-4.0575103836321906</v>
      </c>
      <c r="X431" s="699">
        <f t="shared" si="212"/>
        <v>-141.43860399033267</v>
      </c>
      <c r="Y431" s="702">
        <f t="shared" si="213"/>
        <v>38.561396009667334</v>
      </c>
      <c r="AA431" s="174">
        <f t="shared" si="214"/>
        <v>43155</v>
      </c>
      <c r="AB431" s="174">
        <f t="shared" si="215"/>
        <v>1862354025</v>
      </c>
      <c r="AD431" s="701">
        <f t="shared" si="216"/>
        <v>27.408631706293825</v>
      </c>
      <c r="AE431" s="702">
        <f t="shared" si="217"/>
        <v>-13.998618565344948</v>
      </c>
      <c r="AG431" s="701">
        <f t="shared" si="218"/>
        <v>-4.5195483677959709</v>
      </c>
      <c r="AH431" s="702">
        <f t="shared" si="219"/>
        <v>-67.973564070082602</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5">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1.0169047247305227</v>
      </c>
      <c r="N432" s="694">
        <f t="shared" si="206"/>
        <v>-0.18259227128659539</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-4.1162580039271894</v>
      </c>
      <c r="X432" s="699">
        <f t="shared" si="212"/>
        <v>-141.71281341565054</v>
      </c>
      <c r="Y432" s="702">
        <f t="shared" si="213"/>
        <v>38.287186584349456</v>
      </c>
      <c r="AA432" s="174">
        <f t="shared" si="214"/>
        <v>43403.5</v>
      </c>
      <c r="AB432" s="174">
        <f t="shared" si="215"/>
        <v>1883863812.25</v>
      </c>
      <c r="AD432" s="701">
        <f t="shared" si="216"/>
        <v>27.406331306816305</v>
      </c>
      <c r="AE432" s="702">
        <f t="shared" si="217"/>
        <v>-14.056884586904276</v>
      </c>
      <c r="AG432" s="701">
        <f t="shared" si="218"/>
        <v>-4.5594654366957235</v>
      </c>
      <c r="AH432" s="702">
        <f t="shared" si="219"/>
        <v>-67.874987198174821</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5">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1.0170972178572075</v>
      </c>
      <c r="N433" s="694">
        <f t="shared" si="206"/>
        <v>-0.18361440032970291</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-4.1747566086432437</v>
      </c>
      <c r="X433" s="699">
        <f t="shared" si="212"/>
        <v>-141.98678344123158</v>
      </c>
      <c r="Y433" s="702">
        <f t="shared" si="213"/>
        <v>38.01321655876842</v>
      </c>
      <c r="AA433" s="174">
        <f t="shared" si="214"/>
        <v>43652</v>
      </c>
      <c r="AB433" s="174">
        <f t="shared" si="215"/>
        <v>1905497104</v>
      </c>
      <c r="AD433" s="701">
        <f t="shared" si="216"/>
        <v>27.404019942892816</v>
      </c>
      <c r="AE433" s="702">
        <f t="shared" si="217"/>
        <v>-14.115229588692419</v>
      </c>
      <c r="AG433" s="701">
        <f t="shared" si="218"/>
        <v>-4.5990561389669606</v>
      </c>
      <c r="AH433" s="702">
        <f t="shared" si="219"/>
        <v>-67.776507358695895</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5">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1.0172950691224008</v>
      </c>
      <c r="N434" s="694">
        <f t="shared" si="206"/>
        <v>-0.18465875107550522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-4.2342957712162361</v>
      </c>
      <c r="X434" s="699">
        <f t="shared" si="212"/>
        <v>-142.26656863945269</v>
      </c>
      <c r="Y434" s="702">
        <f t="shared" si="213"/>
        <v>37.733431360547314</v>
      </c>
      <c r="AA434" s="174">
        <f t="shared" si="214"/>
        <v>43906</v>
      </c>
      <c r="AB434" s="174">
        <f t="shared" si="215"/>
        <v>1927736836</v>
      </c>
      <c r="AD434" s="701">
        <f t="shared" si="216"/>
        <v>27.401646091963926</v>
      </c>
      <c r="AE434" s="702">
        <f t="shared" si="217"/>
        <v>-14.174945355245034</v>
      </c>
      <c r="AG434" s="701">
        <f t="shared" si="218"/>
        <v>-4.6391893764824728</v>
      </c>
      <c r="AH434" s="702">
        <f t="shared" si="219"/>
        <v>-67.675950013895303</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5">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1.0174940294870594</v>
      </c>
      <c r="N435" s="694">
        <f t="shared" si="206"/>
        <v>-0.18570269453570179</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-4.2935811349495259</v>
      </c>
      <c r="X435" s="699">
        <f t="shared" si="212"/>
        <v>-142.54610142344913</v>
      </c>
      <c r="Y435" s="702">
        <f t="shared" si="213"/>
        <v>37.45389857655087</v>
      </c>
      <c r="AA435" s="174">
        <f t="shared" si="214"/>
        <v>44160</v>
      </c>
      <c r="AB435" s="174">
        <f t="shared" si="215"/>
        <v>1950105600</v>
      </c>
      <c r="AD435" s="701">
        <f t="shared" si="216"/>
        <v>27.39926078869199</v>
      </c>
      <c r="AE435" s="702">
        <f t="shared" si="217"/>
        <v>-14.234739230018164</v>
      </c>
      <c r="AG435" s="701">
        <f t="shared" si="218"/>
        <v>-4.6789888145606042</v>
      </c>
      <c r="AH435" s="702">
        <f t="shared" si="219"/>
        <v>-67.575497755224362</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5">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1.0176940983006926</v>
      </c>
      <c r="N436" s="694">
        <f t="shared" si="206"/>
        <v>-0.18674622867442048</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-4.3526158277964919</v>
      </c>
      <c r="X436" s="699">
        <f t="shared" si="212"/>
        <v>-142.82538066281194</v>
      </c>
      <c r="Y436" s="702">
        <f t="shared" si="213"/>
        <v>37.174619337188062</v>
      </c>
      <c r="AA436" s="174">
        <f t="shared" si="214"/>
        <v>44414</v>
      </c>
      <c r="AB436" s="174">
        <f t="shared" si="215"/>
        <v>1972603396</v>
      </c>
      <c r="AD436" s="701">
        <f t="shared" si="216"/>
        <v>27.396864035423427</v>
      </c>
      <c r="AE436" s="702">
        <f t="shared" si="217"/>
        <v>-14.294609055958702</v>
      </c>
      <c r="AG436" s="701">
        <f t="shared" si="218"/>
        <v>-4.7184579922331213</v>
      </c>
      <c r="AH436" s="702">
        <f t="shared" si="219"/>
        <v>-67.475152389917838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5">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1.0178952749096988</v>
      </c>
      <c r="N437" s="694">
        <f t="shared" si="206"/>
        <v>-0.18778935146095121</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-4.411402920594977</v>
      </c>
      <c r="X437" s="699">
        <f t="shared" si="212"/>
        <v>-143.10440524833047</v>
      </c>
      <c r="Y437" s="702">
        <f t="shared" si="213"/>
        <v>36.895594751669535</v>
      </c>
      <c r="AA437" s="174">
        <f t="shared" si="214"/>
        <v>44668</v>
      </c>
      <c r="AB437" s="174">
        <f t="shared" si="215"/>
        <v>1995230224</v>
      </c>
      <c r="AD437" s="701">
        <f t="shared" si="216"/>
        <v>27.39445583509842</v>
      </c>
      <c r="AE437" s="702">
        <f t="shared" si="217"/>
        <v>-14.354552721637347</v>
      </c>
      <c r="AG437" s="701">
        <f t="shared" si="218"/>
        <v>-4.7576003916709872</v>
      </c>
      <c r="AH437" s="702">
        <f t="shared" si="219"/>
        <v>-67.37491568053828</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5">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1.0181025500626519</v>
      </c>
      <c r="N438" s="694">
        <f t="shared" si="206"/>
        <v>-0.18885771286128028</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-4.4713828849308648</v>
      </c>
      <c r="X438" s="699">
        <f t="shared" si="212"/>
        <v>-143.39003032825298</v>
      </c>
      <c r="Y438" s="702">
        <f t="shared" si="213"/>
        <v>36.609969671747024</v>
      </c>
      <c r="AA438" s="174">
        <f t="shared" si="214"/>
        <v>44928.25</v>
      </c>
      <c r="AB438" s="174">
        <f t="shared" si="215"/>
        <v>2018547648.0625</v>
      </c>
      <c r="AD438" s="701">
        <f t="shared" si="216"/>
        <v>27.391976508529691</v>
      </c>
      <c r="AE438" s="702">
        <f t="shared" si="217"/>
        <v>-14.41604580526578</v>
      </c>
      <c r="AG438" s="701">
        <f t="shared" si="218"/>
        <v>-4.7973705852268171</v>
      </c>
      <c r="AH438" s="702">
        <f t="shared" si="219"/>
        <v>-67.272327013179265</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5">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1.0183109868000237</v>
      </c>
      <c r="N439" s="694">
        <f t="shared" si="206"/>
        <v>-0.18992563811713878</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-4.5311092630319418</v>
      </c>
      <c r="X439" s="699">
        <f t="shared" si="212"/>
        <v>-143.6753857772006</v>
      </c>
      <c r="Y439" s="702">
        <f t="shared" si="213"/>
        <v>36.324614222799397</v>
      </c>
      <c r="AA439" s="174">
        <f t="shared" si="214"/>
        <v>45188.5</v>
      </c>
      <c r="AB439" s="174">
        <f t="shared" si="215"/>
        <v>2042000532.25</v>
      </c>
      <c r="AD439" s="701">
        <f t="shared" si="216"/>
        <v>27.389485172718096</v>
      </c>
      <c r="AE439" s="702">
        <f t="shared" si="217"/>
        <v>-14.477612060823809</v>
      </c>
      <c r="AG439" s="701">
        <f t="shared" si="218"/>
        <v>-4.8368049447708481</v>
      </c>
      <c r="AH439" s="702">
        <f t="shared" si="219"/>
        <v>-67.169856021678882</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5">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1.0185205844086713</v>
      </c>
      <c r="N440" s="694">
        <f t="shared" si="206"/>
        <v>-0.19099312506118277</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-4.590585179974088</v>
      </c>
      <c r="X440" s="699">
        <f t="shared" si="212"/>
        <v>-143.96047046917317</v>
      </c>
      <c r="Y440" s="702">
        <f t="shared" si="213"/>
        <v>36.039529530826826</v>
      </c>
      <c r="AA440" s="174">
        <f t="shared" si="214"/>
        <v>45448.75</v>
      </c>
      <c r="AB440" s="174">
        <f t="shared" si="215"/>
        <v>2065588876.5625</v>
      </c>
      <c r="AD440" s="701">
        <f t="shared" si="216"/>
        <v>27.386981832650786</v>
      </c>
      <c r="AE440" s="702">
        <f t="shared" si="217"/>
        <v>-14.539249358012109</v>
      </c>
      <c r="AG440" s="701">
        <f t="shared" si="218"/>
        <v>-4.8759070383853951</v>
      </c>
      <c r="AH440" s="702">
        <f t="shared" si="219"/>
        <v>-67.067504462666449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5">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1.0187313421720687</v>
      </c>
      <c r="N441" s="694">
        <f t="shared" si="206"/>
        <v>-0.19206017153184252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-4.6498137035015903</v>
      </c>
      <c r="X441" s="699">
        <f t="shared" si="212"/>
        <v>-144.24528330012836</v>
      </c>
      <c r="Y441" s="702">
        <f t="shared" si="213"/>
        <v>35.754716699871636</v>
      </c>
      <c r="AA441" s="174">
        <f t="shared" si="214"/>
        <v>45709</v>
      </c>
      <c r="AB441" s="174">
        <f t="shared" si="215"/>
        <v>2089312681</v>
      </c>
      <c r="AD441" s="701">
        <f t="shared" si="216"/>
        <v>27.384466493893946</v>
      </c>
      <c r="AE441" s="702">
        <f t="shared" si="217"/>
        <v>-14.600955611440146</v>
      </c>
      <c r="AG441" s="701">
        <f t="shared" si="218"/>
        <v>-4.9146803769181293</v>
      </c>
      <c r="AH441" s="702">
        <f t="shared" si="219"/>
        <v>-66.965274047921312</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5">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1.0189481587370437</v>
      </c>
      <c r="N442" s="694">
        <f t="shared" si="206"/>
        <v>-0.19315136042654188</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-4.7101548518858003</v>
      </c>
      <c r="X442" s="699">
        <f t="shared" si="212"/>
        <v>-144.53637995771658</v>
      </c>
      <c r="Y442" s="702">
        <f t="shared" si="213"/>
        <v>35.463620042283424</v>
      </c>
      <c r="AA442" s="174">
        <f t="shared" si="214"/>
        <v>45975.25</v>
      </c>
      <c r="AB442" s="174">
        <f t="shared" si="215"/>
        <v>2113723612.5625</v>
      </c>
      <c r="AD442" s="701">
        <f t="shared" si="216"/>
        <v>27.381880754193105</v>
      </c>
      <c r="AE442" s="702">
        <f t="shared" si="217"/>
        <v>-14.664153717785476</v>
      </c>
      <c r="AG442" s="701">
        <f t="shared" si="218"/>
        <v>-4.954011016201803</v>
      </c>
      <c r="AH442" s="702">
        <f t="shared" si="219"/>
        <v>-66.860813840980185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5">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1.0191661880396103</v>
      </c>
      <c r="N443" s="694">
        <f t="shared" si="206"/>
        <v>-0.19424208374538579</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-4.7702433857778566</v>
      </c>
      <c r="X443" s="699">
        <f t="shared" si="212"/>
        <v>-144.82718980564098</v>
      </c>
      <c r="Y443" s="702">
        <f t="shared" si="213"/>
        <v>35.172810194359016</v>
      </c>
      <c r="AA443" s="174">
        <f t="shared" si="214"/>
        <v>46241.5</v>
      </c>
      <c r="AB443" s="174">
        <f t="shared" si="215"/>
        <v>2138276322.25</v>
      </c>
      <c r="AD443" s="701">
        <f t="shared" si="216"/>
        <v>27.379282469739174</v>
      </c>
      <c r="AE443" s="702">
        <f t="shared" si="217"/>
        <v>-14.727419719522963</v>
      </c>
      <c r="AG443" s="701">
        <f t="shared" si="218"/>
        <v>-4.993004822887988</v>
      </c>
      <c r="AH443" s="702">
        <f t="shared" si="219"/>
        <v>-66.756483913788088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5">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1.0193854293016167</v>
      </c>
      <c r="N444" s="694">
        <f t="shared" si="206"/>
        <v>-0.19533233919272919</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-4.830082412253609</v>
      </c>
      <c r="X444" s="699">
        <f t="shared" si="212"/>
        <v>-145.11771173093129</v>
      </c>
      <c r="Y444" s="702">
        <f t="shared" si="213"/>
        <v>34.882288269068709</v>
      </c>
      <c r="AA444" s="174">
        <f t="shared" si="214"/>
        <v>46507.75</v>
      </c>
      <c r="AB444" s="174">
        <f t="shared" si="215"/>
        <v>2162970810.0625</v>
      </c>
      <c r="AD444" s="701">
        <f t="shared" si="216"/>
        <v>27.376671648263098</v>
      </c>
      <c r="AE444" s="702">
        <f t="shared" si="217"/>
        <v>-14.79075152160466</v>
      </c>
      <c r="AG444" s="701">
        <f t="shared" si="218"/>
        <v>-5.0316653785444663</v>
      </c>
      <c r="AH444" s="702">
        <f t="shared" si="219"/>
        <v>-66.65228596011184</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5">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1.0196058817412557</v>
      </c>
      <c r="N445" s="694">
        <f t="shared" si="206"/>
        <v>-0.19642212447934504</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-4.8896749812017095</v>
      </c>
      <c r="X445" s="699">
        <f t="shared" si="212"/>
        <v>-145.40794464325558</v>
      </c>
      <c r="Y445" s="702">
        <f t="shared" si="213"/>
        <v>34.592055356744424</v>
      </c>
      <c r="AA445" s="174">
        <f t="shared" si="214"/>
        <v>46774</v>
      </c>
      <c r="AB445" s="174">
        <f t="shared" si="215"/>
        <v>2187807076</v>
      </c>
      <c r="AD445" s="701">
        <f t="shared" si="216"/>
        <v>27.374048298057716</v>
      </c>
      <c r="AE445" s="702">
        <f t="shared" si="217"/>
        <v>-14.854147072927974</v>
      </c>
      <c r="AG445" s="701">
        <f t="shared" si="218"/>
        <v>-5.0699962074688543</v>
      </c>
      <c r="AH445" s="702">
        <f t="shared" si="219"/>
        <v>-66.54822162891422</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5">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1.0198325537312651</v>
      </c>
      <c r="N446" s="694">
        <f t="shared" si="206"/>
        <v>-0.19753597975654025</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-4.9503587491391015</v>
      </c>
      <c r="X446" s="699">
        <f t="shared" si="212"/>
        <v>-145.70441804720292</v>
      </c>
      <c r="Y446" s="702">
        <f t="shared" si="213"/>
        <v>34.295581952797079</v>
      </c>
      <c r="AA446" s="174">
        <f t="shared" si="214"/>
        <v>47046.25</v>
      </c>
      <c r="AB446" s="174">
        <f t="shared" si="215"/>
        <v>2213349639.0625</v>
      </c>
      <c r="AD446" s="701">
        <f t="shared" si="216"/>
        <v>27.371352883895192</v>
      </c>
      <c r="AE446" s="702">
        <f t="shared" si="217"/>
        <v>-14.919035084598075</v>
      </c>
      <c r="AG446" s="701">
        <f t="shared" si="218"/>
        <v>-5.1088534866137101</v>
      </c>
      <c r="AH446" s="702">
        <f t="shared" si="219"/>
        <v>-66.441952031303444</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5">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1.0200604904373369</v>
      </c>
      <c r="N447" s="694">
        <f t="shared" si="206"/>
        <v>-0.19864933862346451</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-5.0107910987478022</v>
      </c>
      <c r="X447" s="699">
        <f t="shared" si="212"/>
        <v>-146.00058703074029</v>
      </c>
      <c r="Y447" s="702">
        <f t="shared" si="213"/>
        <v>33.999412969259708</v>
      </c>
      <c r="AA447" s="174">
        <f t="shared" si="214"/>
        <v>47318.5</v>
      </c>
      <c r="AB447" s="174">
        <f t="shared" si="215"/>
        <v>2239040442.25</v>
      </c>
      <c r="AD447" s="701">
        <f t="shared" si="216"/>
        <v>27.368644389230042</v>
      </c>
      <c r="AE447" s="702">
        <f t="shared" si="217"/>
        <v>-14.983985549017731</v>
      </c>
      <c r="AG447" s="701">
        <f t="shared" si="218"/>
        <v>-5.1473732857428978</v>
      </c>
      <c r="AH447" s="702">
        <f t="shared" si="219"/>
        <v>-66.335825494483259</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5">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1.0202896910118435</v>
      </c>
      <c r="N448" s="694">
        <f t="shared" si="206"/>
        <v>-0.19976219865357864</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-5.0709751137884016</v>
      </c>
      <c r="X448" s="699">
        <f t="shared" si="212"/>
        <v>-146.29645049942241</v>
      </c>
      <c r="Y448" s="702">
        <f t="shared" si="213"/>
        <v>33.703549500577594</v>
      </c>
      <c r="AA448" s="174">
        <f t="shared" si="214"/>
        <v>47590.75</v>
      </c>
      <c r="AB448" s="174">
        <f t="shared" si="215"/>
        <v>2264879485.5625</v>
      </c>
      <c r="AD448" s="701">
        <f t="shared" si="216"/>
        <v>27.365922824644997</v>
      </c>
      <c r="AE448" s="702">
        <f t="shared" si="217"/>
        <v>-15.048996408019164</v>
      </c>
      <c r="AG448" s="701">
        <f t="shared" si="218"/>
        <v>-5.1855591952659363</v>
      </c>
      <c r="AH448" s="702">
        <f t="shared" si="219"/>
        <v>-66.229843642579482</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5">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1.0205201546032208</v>
      </c>
      <c r="N449" s="694">
        <f t="shared" si="206"/>
        <v>-0.2008745574274596</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-5.1309138211030012</v>
      </c>
      <c r="X449" s="699">
        <f t="shared" si="212"/>
        <v>-146.59200738212613</v>
      </c>
      <c r="Y449" s="702">
        <f t="shared" si="213"/>
        <v>33.407992617873873</v>
      </c>
      <c r="AA449" s="174">
        <f t="shared" si="214"/>
        <v>47863</v>
      </c>
      <c r="AB449" s="174">
        <f t="shared" si="215"/>
        <v>2290866769</v>
      </c>
      <c r="AD449" s="701">
        <f t="shared" si="216"/>
        <v>27.363188201267672</v>
      </c>
      <c r="AE449" s="702">
        <f t="shared" si="217"/>
        <v>-15.114065646363359</v>
      </c>
      <c r="AG449" s="701">
        <f t="shared" si="218"/>
        <v>-5.2234147483896551</v>
      </c>
      <c r="AH449" s="702">
        <f t="shared" si="219"/>
        <v>-66.124008055000132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5">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1.0207574282547041</v>
      </c>
      <c r="N450" s="694">
        <f t="shared" si="206"/>
        <v>-0.20201295202512046</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-5.1920325118241166</v>
      </c>
      <c r="X450" s="699">
        <f t="shared" si="212"/>
        <v>-146.8943019718343</v>
      </c>
      <c r="Y450" s="702">
        <f t="shared" si="213"/>
        <v>33.105698028165705</v>
      </c>
      <c r="AA450" s="174">
        <f t="shared" si="214"/>
        <v>48141.75</v>
      </c>
      <c r="AB450" s="174">
        <f t="shared" si="215"/>
        <v>2317628093.0625</v>
      </c>
      <c r="AD450" s="701">
        <f t="shared" si="216"/>
        <v>27.360374770435605</v>
      </c>
      <c r="AE450" s="702">
        <f t="shared" si="217"/>
        <v>-15.180746846191202</v>
      </c>
      <c r="AG450" s="701">
        <f t="shared" si="218"/>
        <v>-5.2618354568165779</v>
      </c>
      <c r="AH450" s="702">
        <f t="shared" si="219"/>
        <v>-66.01579877826137</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5">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1.020996024133034</v>
      </c>
      <c r="N451" s="694">
        <f t="shared" si="206"/>
        <v>-0.20315081603546956</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-5.2529002862658478</v>
      </c>
      <c r="X451" s="699">
        <f t="shared" si="212"/>
        <v>-147.19627296214995</v>
      </c>
      <c r="Y451" s="702">
        <f t="shared" si="213"/>
        <v>32.803727037850052</v>
      </c>
      <c r="AA451" s="174">
        <f t="shared" si="214"/>
        <v>48420.5</v>
      </c>
      <c r="AB451" s="174">
        <f t="shared" si="215"/>
        <v>2344544820.25</v>
      </c>
      <c r="AD451" s="701">
        <f t="shared" si="216"/>
        <v>27.35754767509842</v>
      </c>
      <c r="AE451" s="702">
        <f t="shared" si="217"/>
        <v>-15.247485103414274</v>
      </c>
      <c r="AG451" s="701">
        <f t="shared" si="218"/>
        <v>-5.299917163944535</v>
      </c>
      <c r="AH451" s="702">
        <f t="shared" si="219"/>
        <v>-65.907746044982915</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5">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1.0212359413114573</v>
      </c>
      <c r="N452" s="694">
        <f t="shared" si="206"/>
        <v>-0.20428814688497052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-5.3135202163259496</v>
      </c>
      <c r="X452" s="699">
        <f t="shared" si="212"/>
        <v>-147.49791927719272</v>
      </c>
      <c r="Y452" s="702">
        <f t="shared" si="213"/>
        <v>32.502080722807278</v>
      </c>
      <c r="AA452" s="174">
        <f t="shared" si="214"/>
        <v>48699.25</v>
      </c>
      <c r="AB452" s="174">
        <f t="shared" si="215"/>
        <v>2371616950.5625</v>
      </c>
      <c r="AD452" s="701">
        <f t="shared" si="216"/>
        <v>27.354706928873213</v>
      </c>
      <c r="AE452" s="702">
        <f t="shared" si="217"/>
        <v>-15.314278387236008</v>
      </c>
      <c r="AG452" s="701">
        <f t="shared" si="218"/>
        <v>-5.3376634839510206</v>
      </c>
      <c r="AH452" s="702">
        <f t="shared" si="219"/>
        <v>-65.799851411128003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5">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1.0214771788589616</v>
      </c>
      <c r="N453" s="694">
        <f t="shared" si="206"/>
        <v>-0.20542494200801548</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-5.3738953169659487</v>
      </c>
      <c r="X453" s="699">
        <f t="shared" si="212"/>
        <v>-147.79923986526416</v>
      </c>
      <c r="Y453" s="702">
        <f t="shared" si="213"/>
        <v>32.200760134735845</v>
      </c>
      <c r="AA453" s="174">
        <f t="shared" si="214"/>
        <v>48978</v>
      </c>
      <c r="AB453" s="174">
        <f t="shared" si="215"/>
        <v>2398844484</v>
      </c>
      <c r="AD453" s="701">
        <f t="shared" si="216"/>
        <v>27.351852545908951</v>
      </c>
      <c r="AE453" s="702">
        <f t="shared" si="217"/>
        <v>-15.381124709028517</v>
      </c>
      <c r="AG453" s="701">
        <f t="shared" si="218"/>
        <v>-5.3750779735658227</v>
      </c>
      <c r="AH453" s="702">
        <f t="shared" si="219"/>
        <v>-65.692116387745585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5">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1.0217254076122269</v>
      </c>
      <c r="N454" s="694">
        <f t="shared" si="206"/>
        <v>-0.2065876880792836</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-5.4354278951074866</v>
      </c>
      <c r="X454" s="699">
        <f t="shared" si="212"/>
        <v>-148.10724848212172</v>
      </c>
      <c r="Y454" s="702">
        <f t="shared" si="213"/>
        <v>31.892751517878281</v>
      </c>
      <c r="AA454" s="174">
        <f t="shared" si="214"/>
        <v>49263.25</v>
      </c>
      <c r="AB454" s="174">
        <f t="shared" si="215"/>
        <v>2426867800.5625</v>
      </c>
      <c r="AD454" s="701">
        <f t="shared" si="216"/>
        <v>27.348917501218722</v>
      </c>
      <c r="AE454" s="702">
        <f t="shared" si="217"/>
        <v>-15.449582654960324</v>
      </c>
      <c r="AG454" s="701">
        <f t="shared" si="218"/>
        <v>-5.4130250332289513</v>
      </c>
      <c r="AH454" s="702">
        <f t="shared" si="219"/>
        <v>-65.582035924578662</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5">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1.0219750170440756</v>
      </c>
      <c r="N455" s="694">
        <f t="shared" si="206"/>
        <v>-0.20774986773782642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-5.4967103037492713</v>
      </c>
      <c r="X455" s="699">
        <f t="shared" si="212"/>
        <v>-148.41491385179324</v>
      </c>
      <c r="Y455" s="702">
        <f t="shared" si="213"/>
        <v>31.585086148206756</v>
      </c>
      <c r="AA455" s="174">
        <f t="shared" si="214"/>
        <v>49548.5</v>
      </c>
      <c r="AB455" s="174">
        <f t="shared" si="215"/>
        <v>2455053852.25</v>
      </c>
      <c r="AD455" s="701">
        <f t="shared" si="216"/>
        <v>27.345968208019464</v>
      </c>
      <c r="AE455" s="702">
        <f t="shared" si="217"/>
        <v>-15.518092058030906</v>
      </c>
      <c r="AG455" s="701">
        <f t="shared" si="218"/>
        <v>-5.4506319637124268</v>
      </c>
      <c r="AH455" s="702">
        <f t="shared" si="219"/>
        <v>-65.472125664164707</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5">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1.0222260061430963</v>
      </c>
      <c r="N456" s="694">
        <f t="shared" si="206"/>
        <v>-0.20891147826029965</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-5.5577455970674805</v>
      </c>
      <c r="X456" s="699">
        <f t="shared" si="212"/>
        <v>-148.72223492369153</v>
      </c>
      <c r="Y456" s="702">
        <f t="shared" si="213"/>
        <v>31.277765076308469</v>
      </c>
      <c r="AA456" s="174">
        <f t="shared" si="214"/>
        <v>49833.75</v>
      </c>
      <c r="AB456" s="174">
        <f t="shared" si="215"/>
        <v>2483402639.0625</v>
      </c>
      <c r="AD456" s="701">
        <f t="shared" si="216"/>
        <v>27.34300468310424</v>
      </c>
      <c r="AE456" s="702">
        <f t="shared" si="217"/>
        <v>-15.586650916915618</v>
      </c>
      <c r="AG456" s="701">
        <f t="shared" si="218"/>
        <v>-5.4879023977785053</v>
      </c>
      <c r="AH456" s="702">
        <f t="shared" si="219"/>
        <v>-65.362387086043881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5">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1.022478373893283</v>
      </c>
      <c r="N457" s="694">
        <f t="shared" si="206"/>
        <v>-0.21007251693216919</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-5.6185367724238731</v>
      </c>
      <c r="X457" s="699">
        <f t="shared" si="212"/>
        <v>-149.02921067226794</v>
      </c>
      <c r="Y457" s="702">
        <f t="shared" si="213"/>
        <v>30.970789327732064</v>
      </c>
      <c r="AA457" s="174">
        <f t="shared" si="214"/>
        <v>50119</v>
      </c>
      <c r="AB457" s="174">
        <f t="shared" si="215"/>
        <v>2511914161</v>
      </c>
      <c r="AD457" s="701">
        <f t="shared" si="216"/>
        <v>27.340026943784757</v>
      </c>
      <c r="AE457" s="702">
        <f t="shared" si="217"/>
        <v>-15.655257271634081</v>
      </c>
      <c r="AG457" s="701">
        <f t="shared" si="218"/>
        <v>-5.5248399106094137</v>
      </c>
      <c r="AH457" s="702">
        <f t="shared" si="219"/>
        <v>-65.252821624702477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5">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1.0227379174230593</v>
      </c>
      <c r="N458" s="694">
        <f t="shared" si="206"/>
        <v>-0.21125941786051317</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-5.6804637386064547</v>
      </c>
      <c r="X458" s="699">
        <f t="shared" si="212"/>
        <v>-149.34282322673744</v>
      </c>
      <c r="Y458" s="702">
        <f t="shared" si="213"/>
        <v>30.657176773262563</v>
      </c>
      <c r="AA458" s="174">
        <f t="shared" si="214"/>
        <v>50410.75</v>
      </c>
      <c r="AB458" s="174">
        <f t="shared" si="215"/>
        <v>2541243715.5625</v>
      </c>
      <c r="AD458" s="701">
        <f t="shared" si="216"/>
        <v>27.336966665254451</v>
      </c>
      <c r="AE458" s="702">
        <f t="shared" si="217"/>
        <v>-15.725474092200237</v>
      </c>
      <c r="AG458" s="701">
        <f t="shared" si="218"/>
        <v>-5.5622783999024232</v>
      </c>
      <c r="AH458" s="702">
        <f t="shared" si="219"/>
        <v>-65.140940019946839</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5">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1.0229989009860698</v>
      </c>
      <c r="N459" s="694">
        <f t="shared" si="206"/>
        <v>-0.21244571486408367</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-5.7421415008315977</v>
      </c>
      <c r="X459" s="699">
        <f t="shared" si="212"/>
        <v>-149.65607244937232</v>
      </c>
      <c r="Y459" s="702">
        <f t="shared" si="213"/>
        <v>30.343927550627683</v>
      </c>
      <c r="AA459" s="174">
        <f t="shared" si="214"/>
        <v>50702.5</v>
      </c>
      <c r="AB459" s="174">
        <f t="shared" si="215"/>
        <v>2570743506.25</v>
      </c>
      <c r="AD459" s="701">
        <f t="shared" si="216"/>
        <v>27.333891555360267</v>
      </c>
      <c r="AE459" s="702">
        <f t="shared" si="217"/>
        <v>-15.795736578024135</v>
      </c>
      <c r="AG459" s="701">
        <f t="shared" si="218"/>
        <v>-5.59937600874939</v>
      </c>
      <c r="AH459" s="702">
        <f t="shared" si="219"/>
        <v>-65.029242406835195</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5">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1.0232613234804702</v>
      </c>
      <c r="N460" s="694">
        <f t="shared" si="206"/>
        <v>-0.2136314050673048</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-5.8035730901349183</v>
      </c>
      <c r="X460" s="699">
        <f t="shared" si="212"/>
        <v>-149.96895732191126</v>
      </c>
      <c r="Y460" s="702">
        <f t="shared" si="213"/>
        <v>30.031042678088738</v>
      </c>
      <c r="AA460" s="174">
        <f t="shared" si="214"/>
        <v>50994.25</v>
      </c>
      <c r="AB460" s="174">
        <f t="shared" si="215"/>
        <v>2600413533.0625</v>
      </c>
      <c r="AD460" s="701">
        <f t="shared" si="216"/>
        <v>27.330801634213039</v>
      </c>
      <c r="AE460" s="702">
        <f t="shared" si="217"/>
        <v>-15.86604275900671</v>
      </c>
      <c r="AG460" s="701">
        <f t="shared" si="218"/>
        <v>-5.636136383612472</v>
      </c>
      <c r="AH460" s="702">
        <f t="shared" si="219"/>
        <v>-64.917730180229924</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5">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1.0235251837994734</v>
      </c>
      <c r="N461" s="694">
        <f t="shared" ref="N461:N524" si="238">-ATAN(G461/z_RHP)</f>
        <v>-0.2148164856043662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-5.8647614809908841</v>
      </c>
      <c r="X461" s="699">
        <f t="shared" ref="X461:X524" si="244">((L461+R461+N461+V461)-(J461+P461+T461))*radconv</f>
        <v>-150.28147685198235</v>
      </c>
      <c r="Y461" s="702">
        <f t="shared" ref="Y461:Y524" si="245">IF(X461&gt;0,X461,X461+180)</f>
        <v>29.718523148017653</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-5.6725631133455323</v>
      </c>
      <c r="AH461" s="702">
        <f t="shared" ref="AH461:AH524" si="251">(L461+N461-(J461+V461))*radconv</f>
        <v>-64.806404689855214</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5">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1.0237968637814017</v>
      </c>
      <c r="N462" s="694">
        <f t="shared" si="238"/>
        <v>-0.2160293651837836</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-5.9271690016687071</v>
      </c>
      <c r="X462" s="699">
        <f t="shared" si="244"/>
        <v>-150.60111510242371</v>
      </c>
      <c r="Y462" s="702">
        <f t="shared" si="245"/>
        <v>29.398884897576295</v>
      </c>
      <c r="AA462" s="174">
        <f t="shared" si="246"/>
        <v>51584.75</v>
      </c>
      <c r="AB462" s="174">
        <f t="shared" si="247"/>
        <v>2660986432.5625</v>
      </c>
      <c r="AD462" s="701">
        <f t="shared" si="248"/>
        <v>27.324502413690837</v>
      </c>
      <c r="AE462" s="702">
        <f t="shared" si="249"/>
        <v>-16.008467826901985</v>
      </c>
      <c r="AG462" s="701">
        <f t="shared" si="250"/>
        <v>-5.7095217755185201</v>
      </c>
      <c r="AH462" s="702">
        <f t="shared" si="251"/>
        <v>-64.69260302490656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5">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1.0240700490468171</v>
      </c>
      <c r="N463" s="694">
        <f t="shared" si="238"/>
        <v>-0.21724159943990851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-5.9893276503005008</v>
      </c>
      <c r="X463" s="699">
        <f t="shared" si="244"/>
        <v>-150.92036824419159</v>
      </c>
      <c r="Y463" s="702">
        <f t="shared" si="245"/>
        <v>29.079631755808407</v>
      </c>
      <c r="AA463" s="174">
        <f t="shared" si="246"/>
        <v>51883.5</v>
      </c>
      <c r="AB463" s="174">
        <f t="shared" si="247"/>
        <v>2691897572.25</v>
      </c>
      <c r="AD463" s="701">
        <f t="shared" si="248"/>
        <v>27.321292441368822</v>
      </c>
      <c r="AE463" s="702">
        <f t="shared" si="249"/>
        <v>-16.080584772097225</v>
      </c>
      <c r="AG463" s="701">
        <f t="shared" si="250"/>
        <v>-5.7461380270015816</v>
      </c>
      <c r="AH463" s="702">
        <f t="shared" si="251"/>
        <v>-64.578999888112705</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5">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1.0243447383913753</v>
      </c>
      <c r="N464" s="694">
        <f t="shared" si="238"/>
        <v>-0.21845318532769561</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-6.0512404447908033</v>
      </c>
      <c r="X464" s="699">
        <f t="shared" si="244"/>
        <v>-151.23923529380582</v>
      </c>
      <c r="Y464" s="702">
        <f t="shared" si="245"/>
        <v>28.76076470619418</v>
      </c>
      <c r="AA464" s="174">
        <f t="shared" si="246"/>
        <v>52182.25</v>
      </c>
      <c r="AB464" s="174">
        <f t="shared" si="247"/>
        <v>2722987215.0625</v>
      </c>
      <c r="AD464" s="701">
        <f t="shared" si="248"/>
        <v>27.318067029153642</v>
      </c>
      <c r="AE464" s="702">
        <f t="shared" si="249"/>
        <v>-16.152739594009141</v>
      </c>
      <c r="AG464" s="701">
        <f t="shared" si="250"/>
        <v>-5.7824155416330472</v>
      </c>
      <c r="AH464" s="702">
        <f t="shared" si="251"/>
        <v>-64.465596587864255</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5">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1.0246209306053959</v>
      </c>
      <c r="N465" s="694">
        <f t="shared" si="238"/>
        <v>-0.21966411981297024</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-6.1129103464865224</v>
      </c>
      <c r="X465" s="699">
        <f t="shared" si="244"/>
        <v>-151.55771529469391</v>
      </c>
      <c r="Y465" s="702">
        <f t="shared" si="245"/>
        <v>28.442284705306093</v>
      </c>
      <c r="AA465" s="174">
        <f t="shared" si="246"/>
        <v>52481</v>
      </c>
      <c r="AB465" s="174">
        <f t="shared" si="247"/>
        <v>2754255361</v>
      </c>
      <c r="AD465" s="701">
        <f t="shared" si="248"/>
        <v>27.314826201231234</v>
      </c>
      <c r="AE465" s="702">
        <f t="shared" si="249"/>
        <v>-16.224930385357023</v>
      </c>
      <c r="AG465" s="701">
        <f t="shared" si="250"/>
        <v>-5.8183579353271506</v>
      </c>
      <c r="AH465" s="702">
        <f t="shared" si="251"/>
        <v>-64.352394387083081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5">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1.0249049160667547</v>
      </c>
      <c r="N466" s="694">
        <f t="shared" si="238"/>
        <v>-0.22090173752868092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-6.1757254676540088</v>
      </c>
      <c r="X466" s="699">
        <f t="shared" si="244"/>
        <v>-151.88298984407453</v>
      </c>
      <c r="Y466" s="702">
        <f t="shared" si="245"/>
        <v>28.11701015592547</v>
      </c>
      <c r="AA466" s="174">
        <f t="shared" si="246"/>
        <v>52786.5</v>
      </c>
      <c r="AB466" s="174">
        <f t="shared" si="247"/>
        <v>2786414582.25</v>
      </c>
      <c r="AD466" s="701">
        <f t="shared" si="248"/>
        <v>27.311496233186908</v>
      </c>
      <c r="AE466" s="702">
        <f t="shared" si="249"/>
        <v>-16.298787516690421</v>
      </c>
      <c r="AG466" s="701">
        <f t="shared" si="250"/>
        <v>-5.8547695606408148</v>
      </c>
      <c r="AH466" s="702">
        <f t="shared" si="251"/>
        <v>-64.236843715242998</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5">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1.0251904705014045</v>
      </c>
      <c r="N467" s="694">
        <f t="shared" si="238"/>
        <v>-0.22213866769115639</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-6.2382926840906769</v>
      </c>
      <c r="X467" s="699">
        <f t="shared" si="244"/>
        <v>-152.20785771842128</v>
      </c>
      <c r="Y467" s="702">
        <f t="shared" si="245"/>
        <v>27.79214228157872</v>
      </c>
      <c r="AA467" s="174">
        <f t="shared" si="246"/>
        <v>53092</v>
      </c>
      <c r="AB467" s="174">
        <f t="shared" si="247"/>
        <v>2818760464</v>
      </c>
      <c r="AD467" s="701">
        <f t="shared" si="248"/>
        <v>27.308150197635385</v>
      </c>
      <c r="AE467" s="702">
        <f t="shared" si="249"/>
        <v>-16.37267835006412</v>
      </c>
      <c r="AG467" s="701">
        <f t="shared" si="250"/>
        <v>-5.8908382182011572</v>
      </c>
      <c r="AH467" s="702">
        <f t="shared" si="251"/>
        <v>-64.121505862630741</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5">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1.0254775925986566</v>
      </c>
      <c r="N468" s="694">
        <f t="shared" si="238"/>
        <v>-0.22337490709135516</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-6.3006149874713122</v>
      </c>
      <c r="X468" s="699">
        <f t="shared" si="244"/>
        <v>-152.53231797973035</v>
      </c>
      <c r="Y468" s="702">
        <f t="shared" si="245"/>
        <v>27.467682020269649</v>
      </c>
      <c r="AA468" s="174">
        <f t="shared" si="246"/>
        <v>53397.5</v>
      </c>
      <c r="AB468" s="174">
        <f t="shared" si="247"/>
        <v>2851293006.25</v>
      </c>
      <c r="AD468" s="701">
        <f t="shared" si="248"/>
        <v>27.304788121956456</v>
      </c>
      <c r="AE468" s="702">
        <f t="shared" si="249"/>
        <v>-16.446600968184352</v>
      </c>
      <c r="AG468" s="701">
        <f t="shared" si="250"/>
        <v>-5.9265675948651788</v>
      </c>
      <c r="AH468" s="702">
        <f t="shared" si="251"/>
        <v>-64.006382038487715</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5">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1.0257662810420987</v>
      </c>
      <c r="N469" s="694">
        <f t="shared" si="238"/>
        <v>-0.22461045253226422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-6.3626953132430835</v>
      </c>
      <c r="X469" s="699">
        <f t="shared" si="244"/>
        <v>-152.85636971781895</v>
      </c>
      <c r="Y469" s="702">
        <f t="shared" si="245"/>
        <v>27.14363028218105</v>
      </c>
      <c r="AA469" s="174">
        <f t="shared" si="246"/>
        <v>53703</v>
      </c>
      <c r="AB469" s="174">
        <f t="shared" si="247"/>
        <v>2884012209</v>
      </c>
      <c r="AD469" s="701">
        <f t="shared" si="248"/>
        <v>27.301410034012903</v>
      </c>
      <c r="AE469" s="702">
        <f t="shared" si="249"/>
        <v>-16.520553492729153</v>
      </c>
      <c r="AG469" s="701">
        <f t="shared" si="250"/>
        <v>-5.9619613195492294</v>
      </c>
      <c r="AH469" s="702">
        <f t="shared" si="251"/>
        <v>-63.891473406476095</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5">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1.026063441685287</v>
      </c>
      <c r="N470" s="694">
        <f t="shared" si="238"/>
        <v>-0.22587459724490611</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-6.4260012513466434</v>
      </c>
      <c r="X470" s="699">
        <f t="shared" si="244"/>
        <v>-153.18768761600529</v>
      </c>
      <c r="Y470" s="702">
        <f t="shared" si="245"/>
        <v>26.812312383994708</v>
      </c>
      <c r="AA470" s="174">
        <f t="shared" si="246"/>
        <v>54015.75</v>
      </c>
      <c r="AB470" s="174">
        <f t="shared" si="247"/>
        <v>2917701248.0625</v>
      </c>
      <c r="AD470" s="701">
        <f t="shared" si="248"/>
        <v>27.297935221495123</v>
      </c>
      <c r="AE470" s="702">
        <f t="shared" si="249"/>
        <v>-16.596290086231051</v>
      </c>
      <c r="AG470" s="701">
        <f t="shared" si="250"/>
        <v>-5.9978510280217012</v>
      </c>
      <c r="AH470" s="702">
        <f t="shared" si="251"/>
        <v>-63.774061891312606</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5">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1.0263622410903082</v>
      </c>
      <c r="N471" s="694">
        <f t="shared" si="238"/>
        <v>-0.22713800792806529</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-6.4890596415236885</v>
      </c>
      <c r="X471" s="699">
        <f t="shared" si="244"/>
        <v>-153.51857552833204</v>
      </c>
      <c r="Y471" s="702">
        <f t="shared" si="245"/>
        <v>26.481424471667964</v>
      </c>
      <c r="AA471" s="174">
        <f t="shared" si="246"/>
        <v>54328.5</v>
      </c>
      <c r="AB471" s="174">
        <f t="shared" si="247"/>
        <v>2951585912.25</v>
      </c>
      <c r="AD471" s="701">
        <f t="shared" si="248"/>
        <v>27.294443688289924</v>
      </c>
      <c r="AE471" s="702">
        <f t="shared" si="249"/>
        <v>-16.672054159282268</v>
      </c>
      <c r="AG471" s="701">
        <f t="shared" si="250"/>
        <v>-6.0333964804293263</v>
      </c>
      <c r="AH471" s="702">
        <f t="shared" si="251"/>
        <v>-63.656878229041723</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5">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1.0266626778263286</v>
      </c>
      <c r="N472" s="694">
        <f t="shared" si="238"/>
        <v>-0.22840068119107559</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-6.5518734586101068</v>
      </c>
      <c r="X472" s="699">
        <f t="shared" si="244"/>
        <v>-153.84903256637625</v>
      </c>
      <c r="Y472" s="702">
        <f t="shared" si="245"/>
        <v>26.150967433623748</v>
      </c>
      <c r="AA472" s="174">
        <f t="shared" si="246"/>
        <v>54641.25</v>
      </c>
      <c r="AB472" s="174">
        <f t="shared" si="247"/>
        <v>2985666201.5625</v>
      </c>
      <c r="AD472" s="701">
        <f t="shared" si="248"/>
        <v>27.290935465777725</v>
      </c>
      <c r="AE472" s="702">
        <f t="shared" si="249"/>
        <v>-16.747843816762856</v>
      </c>
      <c r="AG472" s="701">
        <f t="shared" si="250"/>
        <v>-6.0686013897134474</v>
      </c>
      <c r="AH472" s="702">
        <f t="shared" si="251"/>
        <v>-63.539923525992322</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5">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1.0269647504563535</v>
      </c>
      <c r="N473" s="694">
        <f t="shared" si="238"/>
        <v>-0.22966261365663315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-6.6144456213123881</v>
      </c>
      <c r="X473" s="699">
        <f t="shared" si="244"/>
        <v>-154.1790578706098</v>
      </c>
      <c r="Y473" s="702">
        <f t="shared" si="245"/>
        <v>25.820942129390204</v>
      </c>
      <c r="AA473" s="174">
        <f t="shared" si="246"/>
        <v>54954</v>
      </c>
      <c r="AB473" s="174">
        <f t="shared" si="247"/>
        <v>3019942116</v>
      </c>
      <c r="AD473" s="701">
        <f t="shared" si="248"/>
        <v>27.287410585812637</v>
      </c>
      <c r="AE473" s="702">
        <f t="shared" si="249"/>
        <v>-16.823657201891535</v>
      </c>
      <c r="AG473" s="701">
        <f t="shared" si="250"/>
        <v>-6.1034694105811926</v>
      </c>
      <c r="AH473" s="702">
        <f t="shared" si="251"/>
        <v>-63.42319884257973</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5">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1.027275517281294</v>
      </c>
      <c r="N474" s="694">
        <f t="shared" si="238"/>
        <v>-0.23095302928840397</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-6.6782211624494838</v>
      </c>
      <c r="X474" s="699">
        <f t="shared" si="244"/>
        <v>-154.51628591275679</v>
      </c>
      <c r="Y474" s="702">
        <f t="shared" si="245"/>
        <v>25.483714087243214</v>
      </c>
      <c r="AA474" s="174">
        <f t="shared" si="246"/>
        <v>55274</v>
      </c>
      <c r="AB474" s="174">
        <f t="shared" si="247"/>
        <v>3055215076</v>
      </c>
      <c r="AD474" s="701">
        <f t="shared" si="248"/>
        <v>27.283786786565422</v>
      </c>
      <c r="AE474" s="702">
        <f t="shared" si="249"/>
        <v>-16.90125071310289</v>
      </c>
      <c r="AG474" s="701">
        <f t="shared" si="250"/>
        <v>-6.138800781868837</v>
      </c>
      <c r="AH474" s="702">
        <f t="shared" si="251"/>
        <v>-63.304007449834373</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5">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1.0275879936608716</v>
      </c>
      <c r="N475" s="694">
        <f t="shared" si="238"/>
        <v>-0.23224266226873813</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-6.7417497232907317</v>
      </c>
      <c r="X475" s="699">
        <f t="shared" si="244"/>
        <v>-154.85306024302156</v>
      </c>
      <c r="Y475" s="702">
        <f t="shared" si="245"/>
        <v>25.146939756978441</v>
      </c>
      <c r="AA475" s="174">
        <f t="shared" si="246"/>
        <v>55594</v>
      </c>
      <c r="AB475" s="174">
        <f t="shared" si="247"/>
        <v>3090692836</v>
      </c>
      <c r="AD475" s="701">
        <f t="shared" si="248"/>
        <v>27.280145617557572</v>
      </c>
      <c r="AE475" s="702">
        <f t="shared" si="249"/>
        <v>-16.978865250486319</v>
      </c>
      <c r="AG475" s="701">
        <f t="shared" si="250"/>
        <v>-6.1737870242516024</v>
      </c>
      <c r="AH475" s="702">
        <f t="shared" si="251"/>
        <v>-63.185058967741632</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5">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1.0279021780360016</v>
      </c>
      <c r="N476" s="694">
        <f t="shared" si="238"/>
        <v>-0.23353150902364966</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-6.8050342563323039</v>
      </c>
      <c r="X476" s="699">
        <f t="shared" si="244"/>
        <v>-155.18938003203331</v>
      </c>
      <c r="Y476" s="702">
        <f t="shared" si="245"/>
        <v>24.810619967966687</v>
      </c>
      <c r="AA476" s="174">
        <f t="shared" si="246"/>
        <v>55914</v>
      </c>
      <c r="AB476" s="174">
        <f t="shared" si="247"/>
        <v>3126375396</v>
      </c>
      <c r="AD476" s="701">
        <f t="shared" si="248"/>
        <v>27.276487114365793</v>
      </c>
      <c r="AE476" s="702">
        <f t="shared" si="249"/>
        <v>-17.056498943098827</v>
      </c>
      <c r="AG476" s="701">
        <f t="shared" si="250"/>
        <v>-6.2084318714231017</v>
      </c>
      <c r="AH476" s="702">
        <f t="shared" si="251"/>
        <v>-63.066354389233247</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5">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1.0282180688409888</v>
      </c>
      <c r="N477" s="694">
        <f t="shared" si="238"/>
        <v>-0.23481956599395704</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-6.8680776581812939</v>
      </c>
      <c r="X477" s="699">
        <f t="shared" si="244"/>
        <v>-155.52524448035985</v>
      </c>
      <c r="Y477" s="702">
        <f t="shared" si="245"/>
        <v>24.474755519640155</v>
      </c>
      <c r="AA477" s="174">
        <f t="shared" si="246"/>
        <v>56234</v>
      </c>
      <c r="AB477" s="174">
        <f t="shared" si="247"/>
        <v>3162262756</v>
      </c>
      <c r="AD477" s="701">
        <f t="shared" si="248"/>
        <v>27.272811313030608</v>
      </c>
      <c r="AE477" s="702">
        <f t="shared" si="249"/>
        <v>-17.134149957652266</v>
      </c>
      <c r="AG477" s="701">
        <f t="shared" si="250"/>
        <v>-6.2427389986551987</v>
      </c>
      <c r="AH477" s="702">
        <f t="shared" si="251"/>
        <v>-62.947894661079815</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5">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1.0285431285861979</v>
      </c>
      <c r="N478" s="694">
        <f t="shared" si="238"/>
        <v>-0.23613699033361835</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-6.9323519304729864</v>
      </c>
      <c r="X478" s="699">
        <f t="shared" si="244"/>
        <v>-155.86850847463498</v>
      </c>
      <c r="Y478" s="702">
        <f t="shared" si="245"/>
        <v>24.131491525365021</v>
      </c>
      <c r="AA478" s="174">
        <f t="shared" si="246"/>
        <v>56561.5</v>
      </c>
      <c r="AB478" s="174">
        <f t="shared" si="247"/>
        <v>3199203282.25</v>
      </c>
      <c r="AD478" s="701">
        <f t="shared" si="248"/>
        <v>27.269031487151661</v>
      </c>
      <c r="AE478" s="702">
        <f t="shared" si="249"/>
        <v>-17.21363697891578</v>
      </c>
      <c r="AG478" s="701">
        <f t="shared" si="250"/>
        <v>-6.2775042887571857</v>
      </c>
      <c r="AH478" s="702">
        <f t="shared" si="251"/>
        <v>-62.826912999230338</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5">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1.0288699723481485</v>
      </c>
      <c r="N479" s="694">
        <f t="shared" si="238"/>
        <v>-0.23745357993801966</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-6.9963796015225359</v>
      </c>
      <c r="X479" s="699">
        <f t="shared" si="244"/>
        <v>-156.2112939339417</v>
      </c>
      <c r="Y479" s="702">
        <f t="shared" si="245"/>
        <v>23.788706066058296</v>
      </c>
      <c r="AA479" s="174">
        <f t="shared" si="246"/>
        <v>56889</v>
      </c>
      <c r="AB479" s="174">
        <f t="shared" si="247"/>
        <v>3236358321</v>
      </c>
      <c r="AD479" s="701">
        <f t="shared" si="248"/>
        <v>27.265233620594188</v>
      </c>
      <c r="AE479" s="702">
        <f t="shared" si="249"/>
        <v>-17.293138374610855</v>
      </c>
      <c r="AG479" s="701">
        <f t="shared" si="250"/>
        <v>-6.3119234501605961</v>
      </c>
      <c r="AH479" s="702">
        <f t="shared" si="251"/>
        <v>-62.706189662292935</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5">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1.0291985984271836</v>
      </c>
      <c r="N480" s="694">
        <f t="shared" si="238"/>
        <v>-0.2387693310402329</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-7.060163603111751</v>
      </c>
      <c r="X480" s="699">
        <f t="shared" si="244"/>
        <v>-156.5536000960046</v>
      </c>
      <c r="Y480" s="702">
        <f t="shared" si="245"/>
        <v>23.446399903995399</v>
      </c>
      <c r="AA480" s="174">
        <f t="shared" si="246"/>
        <v>57216.5</v>
      </c>
      <c r="AB480" s="174">
        <f t="shared" si="247"/>
        <v>3273727872.25</v>
      </c>
      <c r="AD480" s="701">
        <f t="shared" si="248"/>
        <v>27.261417753419529</v>
      </c>
      <c r="AE480" s="702">
        <f t="shared" si="249"/>
        <v>-17.372652295516772</v>
      </c>
      <c r="AG480" s="701">
        <f t="shared" si="250"/>
        <v>-6.346000240769067</v>
      </c>
      <c r="AH480" s="702">
        <f t="shared" si="251"/>
        <v>-62.585725521324044</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5">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1.0295290051165542</v>
      </c>
      <c r="N481" s="694">
        <f t="shared" si="238"/>
        <v>-0.24008423988973923</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-7.1237068113400532</v>
      </c>
      <c r="X481" s="699">
        <f t="shared" si="244"/>
        <v>-156.89542622958683</v>
      </c>
      <c r="Y481" s="702">
        <f t="shared" si="245"/>
        <v>23.104573770413168</v>
      </c>
      <c r="AA481" s="174">
        <f t="shared" si="246"/>
        <v>57544</v>
      </c>
      <c r="AB481" s="174">
        <f t="shared" si="247"/>
        <v>3311311936</v>
      </c>
      <c r="AD481" s="701">
        <f t="shared" si="248"/>
        <v>27.257583926143866</v>
      </c>
      <c r="AE481" s="702">
        <f t="shared" si="249"/>
        <v>-17.452176929455408</v>
      </c>
      <c r="AG481" s="701">
        <f t="shared" si="250"/>
        <v>-6.3797383597969812</v>
      </c>
      <c r="AH481" s="702">
        <f t="shared" si="251"/>
        <v>-62.465521400921283</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5">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1.0298688188278879</v>
      </c>
      <c r="N482" s="694">
        <f t="shared" si="238"/>
        <v>-0.24142838585702714</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-7.188459020893001</v>
      </c>
      <c r="X482" s="699">
        <f t="shared" si="244"/>
        <v>-157.2445830684407</v>
      </c>
      <c r="Y482" s="702">
        <f t="shared" si="245"/>
        <v>22.755416931559296</v>
      </c>
      <c r="AA482" s="174">
        <f t="shared" si="246"/>
        <v>57879</v>
      </c>
      <c r="AB482" s="174">
        <f t="shared" si="247"/>
        <v>3349978641</v>
      </c>
      <c r="AD482" s="701">
        <f t="shared" si="248"/>
        <v>27.253643762238639</v>
      </c>
      <c r="AE482" s="702">
        <f t="shared" si="249"/>
        <v>-17.533531970643995</v>
      </c>
      <c r="AG482" s="701">
        <f t="shared" si="250"/>
        <v>-6.4139025096377464</v>
      </c>
      <c r="AH482" s="702">
        <f t="shared" si="251"/>
        <v>-62.34283434713911</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5">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1.0302104920029904</v>
      </c>
      <c r="N483" s="694">
        <f t="shared" si="238"/>
        <v>-0.24277164266777049</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-7.2529651969893107</v>
      </c>
      <c r="X483" s="699">
        <f t="shared" si="244"/>
        <v>-157.59323619082991</v>
      </c>
      <c r="Y483" s="702">
        <f t="shared" si="245"/>
        <v>22.406763809170087</v>
      </c>
      <c r="AA483" s="174">
        <f t="shared" si="246"/>
        <v>58214</v>
      </c>
      <c r="AB483" s="174">
        <f t="shared" si="247"/>
        <v>3388869796</v>
      </c>
      <c r="AD483" s="701">
        <f t="shared" si="248"/>
        <v>27.249684893373729</v>
      </c>
      <c r="AE483" s="702">
        <f t="shared" si="249"/>
        <v>-17.614894499909294</v>
      </c>
      <c r="AG483" s="701">
        <f t="shared" si="250"/>
        <v>-6.4477199458539891</v>
      </c>
      <c r="AH483" s="702">
        <f t="shared" si="251"/>
        <v>-62.220420960393021</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5">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1.030554022792384</v>
      </c>
      <c r="N484" s="694">
        <f t="shared" si="238"/>
        <v>-0.24411400636138966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-7.317228245573375</v>
      </c>
      <c r="X484" s="699">
        <f t="shared" si="244"/>
        <v>-157.94138491208494</v>
      </c>
      <c r="Y484" s="702">
        <f t="shared" si="245"/>
        <v>22.058615087915058</v>
      </c>
      <c r="AA484" s="174">
        <f t="shared" si="246"/>
        <v>58549</v>
      </c>
      <c r="AB484" s="174">
        <f t="shared" si="247"/>
        <v>3427985401</v>
      </c>
      <c r="AD484" s="701">
        <f t="shared" si="248"/>
        <v>27.245707364309744</v>
      </c>
      <c r="AE484" s="702">
        <f t="shared" si="249"/>
        <v>-17.69626269165655</v>
      </c>
      <c r="AG484" s="701">
        <f t="shared" si="250"/>
        <v>-6.4811944452489882</v>
      </c>
      <c r="AH484" s="702">
        <f t="shared" si="251"/>
        <v>-62.098281978729972</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5">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1.0308994093390078</v>
      </c>
      <c r="N485" s="694">
        <f t="shared" si="238"/>
        <v>-0.24545547299544485</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-7.3812510172530033</v>
      </c>
      <c r="X485" s="699">
        <f t="shared" si="244"/>
        <v>-158.28902857962734</v>
      </c>
      <c r="Y485" s="702">
        <f t="shared" si="245"/>
        <v>21.710971420372658</v>
      </c>
      <c r="AA485" s="174">
        <f t="shared" si="246"/>
        <v>58884</v>
      </c>
      <c r="AB485" s="174">
        <f t="shared" si="247"/>
        <v>3467325456</v>
      </c>
      <c r="AD485" s="701">
        <f t="shared" si="248"/>
        <v>27.241711220252377</v>
      </c>
      <c r="AE485" s="702">
        <f t="shared" si="249"/>
        <v>-17.777634756679781</v>
      </c>
      <c r="AG485" s="701">
        <f t="shared" si="250"/>
        <v>-6.5143297257695458</v>
      </c>
      <c r="AH485" s="702">
        <f t="shared" si="251"/>
        <v>-61.976418093543899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5">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1.0312549647364886</v>
      </c>
      <c r="N486" s="694">
        <f t="shared" si="238"/>
        <v>-0.24682804110656731</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-7.4465566588947265</v>
      </c>
      <c r="X486" s="699">
        <f t="shared" si="244"/>
        <v>-158.64445024800619</v>
      </c>
      <c r="Y486" s="702">
        <f t="shared" si="245"/>
        <v>21.355549751993806</v>
      </c>
      <c r="AA486" s="174">
        <f t="shared" si="246"/>
        <v>59227</v>
      </c>
      <c r="AB486" s="174">
        <f t="shared" si="247"/>
        <v>3507837529</v>
      </c>
      <c r="AD486" s="701">
        <f t="shared" si="248"/>
        <v>27.237600406447502</v>
      </c>
      <c r="AE486" s="702">
        <f t="shared" si="249"/>
        <v>-17.86095221696727</v>
      </c>
      <c r="AG486" s="701">
        <f t="shared" si="250"/>
        <v>-6.5479086522048426</v>
      </c>
      <c r="AH486" s="702">
        <f t="shared" si="251"/>
        <v>-61.851929729244326</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5">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1.0316124616184053</v>
      </c>
      <c r="N487" s="694">
        <f t="shared" si="238"/>
        <v>-0.24819966049569314</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-7.5116162867435072</v>
      </c>
      <c r="X487" s="699">
        <f t="shared" si="244"/>
        <v>-158.99934116921611</v>
      </c>
      <c r="Y487" s="702">
        <f t="shared" si="245"/>
        <v>21.000658830783891</v>
      </c>
      <c r="AA487" s="174">
        <f t="shared" si="246"/>
        <v>59570</v>
      </c>
      <c r="AB487" s="174">
        <f t="shared" si="247"/>
        <v>3548584900</v>
      </c>
      <c r="AD487" s="701">
        <f t="shared" si="248"/>
        <v>27.233470175248996</v>
      </c>
      <c r="AE487" s="702">
        <f t="shared" si="249"/>
        <v>-17.944270054330424</v>
      </c>
      <c r="AG487" s="701">
        <f t="shared" si="250"/>
        <v>-6.58113966956138</v>
      </c>
      <c r="AH487" s="702">
        <f t="shared" si="251"/>
        <v>-61.72773107858734</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5">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1.0319718979670447</v>
      </c>
      <c r="N488" s="694">
        <f t="shared" si="238"/>
        <v>-0.24957032699052251</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-7.5764327887706546</v>
      </c>
      <c r="X488" s="699">
        <f t="shared" si="244"/>
        <v>-159.35370074438688</v>
      </c>
      <c r="Y488" s="702">
        <f t="shared" si="245"/>
        <v>20.646299255613116</v>
      </c>
      <c r="AA488" s="174">
        <f t="shared" si="246"/>
        <v>59913</v>
      </c>
      <c r="AB488" s="174">
        <f t="shared" si="247"/>
        <v>3589567569</v>
      </c>
      <c r="AD488" s="701">
        <f t="shared" si="248"/>
        <v>27.229320576550315</v>
      </c>
      <c r="AE488" s="702">
        <f t="shared" si="249"/>
        <v>-18.027586460657712</v>
      </c>
      <c r="AG488" s="701">
        <f t="shared" si="250"/>
        <v>-6.6140265849680349</v>
      </c>
      <c r="AH488" s="702">
        <f t="shared" si="251"/>
        <v>-61.603822738116378</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5">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1.0323332717565641</v>
      </c>
      <c r="N489" s="694">
        <f t="shared" si="238"/>
        <v>-0.25094003643887214</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-7.6410089977701423</v>
      </c>
      <c r="X489" s="699">
        <f t="shared" si="244"/>
        <v>-159.70752840792693</v>
      </c>
      <c r="Y489" s="702">
        <f t="shared" si="245"/>
        <v>20.29247159207307</v>
      </c>
      <c r="AA489" s="174">
        <f t="shared" si="246"/>
        <v>60256</v>
      </c>
      <c r="AB489" s="174">
        <f t="shared" si="247"/>
        <v>3630785536</v>
      </c>
      <c r="AD489" s="701">
        <f t="shared" si="248"/>
        <v>27.225151660681959</v>
      </c>
      <c r="AE489" s="702">
        <f t="shared" si="249"/>
        <v>-18.110899663747073</v>
      </c>
      <c r="AG489" s="701">
        <f t="shared" si="250"/>
        <v>-6.6465731462807431</v>
      </c>
      <c r="AH489" s="702">
        <f t="shared" si="251"/>
        <v>-61.480205257365988</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5">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1.0327050777172739</v>
      </c>
      <c r="N490" s="694">
        <f t="shared" si="238"/>
        <v>-0.25234069736296744</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-7.7068454912444393</v>
      </c>
      <c r="X490" s="699">
        <f t="shared" si="244"/>
        <v>-160.06905739058899</v>
      </c>
      <c r="Y490" s="702">
        <f t="shared" si="245"/>
        <v>19.930942609411005</v>
      </c>
      <c r="AA490" s="174">
        <f t="shared" si="246"/>
        <v>60607</v>
      </c>
      <c r="AB490" s="174">
        <f t="shared" si="247"/>
        <v>3673208449</v>
      </c>
      <c r="AD490" s="701">
        <f t="shared" si="248"/>
        <v>27.220865565337071</v>
      </c>
      <c r="AE490" s="702">
        <f t="shared" si="249"/>
        <v>-18.196150903482867</v>
      </c>
      <c r="AG490" s="701">
        <f t="shared" si="250"/>
        <v>-6.6795303062665283</v>
      </c>
      <c r="AH490" s="702">
        <f t="shared" si="251"/>
        <v>-61.354006209819978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5">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1.0330789082308529</v>
      </c>
      <c r="N491" s="694">
        <f t="shared" si="238"/>
        <v>-0.25374034734341933</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-7.7724361828296562</v>
      </c>
      <c r="X491" s="699">
        <f t="shared" si="244"/>
        <v>-160.43002826632903</v>
      </c>
      <c r="Y491" s="702">
        <f t="shared" si="245"/>
        <v>19.569971733670968</v>
      </c>
      <c r="AA491" s="174">
        <f t="shared" si="246"/>
        <v>60958</v>
      </c>
      <c r="AB491" s="174">
        <f t="shared" si="247"/>
        <v>3715877764</v>
      </c>
      <c r="AD491" s="701">
        <f t="shared" si="248"/>
        <v>27.216559349212183</v>
      </c>
      <c r="AE491" s="702">
        <f t="shared" si="249"/>
        <v>-18.281395144981399</v>
      </c>
      <c r="AG491" s="701">
        <f t="shared" si="250"/>
        <v>-6.7121388067708887</v>
      </c>
      <c r="AH491" s="702">
        <f t="shared" si="251"/>
        <v>-61.228112765948417</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5">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1.0334547611002824</v>
      </c>
      <c r="N492" s="694">
        <f t="shared" si="238"/>
        <v>-0.25513898199639268</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-7.8377839372825351</v>
      </c>
      <c r="X492" s="699">
        <f t="shared" si="244"/>
        <v>-160.79044053413764</v>
      </c>
      <c r="Y492" s="702">
        <f t="shared" si="245"/>
        <v>19.209559465862355</v>
      </c>
      <c r="AA492" s="174">
        <f t="shared" si="246"/>
        <v>61309</v>
      </c>
      <c r="AB492" s="174">
        <f t="shared" si="247"/>
        <v>3758793481</v>
      </c>
      <c r="AD492" s="701">
        <f t="shared" si="248"/>
        <v>27.212233067585746</v>
      </c>
      <c r="AE492" s="702">
        <f t="shared" si="249"/>
        <v>-18.366630599834615</v>
      </c>
      <c r="AG492" s="701">
        <f t="shared" si="250"/>
        <v>-6.744402479484064</v>
      </c>
      <c r="AH492" s="702">
        <f t="shared" si="251"/>
        <v>-61.102525368282542</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5">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1.0338326341198627</v>
      </c>
      <c r="N493" s="694">
        <f t="shared" si="238"/>
        <v>-0.25653659696029929</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-7.9028915644900302</v>
      </c>
      <c r="X493" s="699">
        <f t="shared" si="244"/>
        <v>-161.15029372740179</v>
      </c>
      <c r="Y493" s="702">
        <f t="shared" si="245"/>
        <v>18.849706272598212</v>
      </c>
      <c r="AA493" s="174">
        <f t="shared" si="246"/>
        <v>61660</v>
      </c>
      <c r="AB493" s="174">
        <f t="shared" si="247"/>
        <v>3801955600</v>
      </c>
      <c r="AD493" s="701">
        <f t="shared" si="248"/>
        <v>27.207886776164131</v>
      </c>
      <c r="AE493" s="702">
        <f t="shared" si="249"/>
        <v>-18.451855515020902</v>
      </c>
      <c r="AG493" s="701">
        <f t="shared" si="250"/>
        <v>-6.7763250965113775</v>
      </c>
      <c r="AH493" s="702">
        <f t="shared" si="251"/>
        <v>-60.977244412122786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5">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1.0342212070616859</v>
      </c>
      <c r="N494" s="694">
        <f t="shared" si="238"/>
        <v>-0.25796500705848829</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-7.9692375997703699</v>
      </c>
      <c r="X494" s="699">
        <f t="shared" si="244"/>
        <v>-161.51776991859606</v>
      </c>
      <c r="Y494" s="702">
        <f t="shared" si="245"/>
        <v>18.482230081403941</v>
      </c>
      <c r="AA494" s="174">
        <f t="shared" si="246"/>
        <v>62019</v>
      </c>
      <c r="AB494" s="174">
        <f t="shared" si="247"/>
        <v>3846356361</v>
      </c>
      <c r="AD494" s="701">
        <f t="shared" si="248"/>
        <v>27.203420783380395</v>
      </c>
      <c r="AE494" s="702">
        <f t="shared" si="249"/>
        <v>-18.539010184613829</v>
      </c>
      <c r="AG494" s="701">
        <f t="shared" si="250"/>
        <v>-6.8086263608322142</v>
      </c>
      <c r="AH494" s="702">
        <f t="shared" si="251"/>
        <v>-60.849425410882702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5">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1.034611888594777</v>
      </c>
      <c r="N495" s="694">
        <f t="shared" si="238"/>
        <v>-0.25939234129844535</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-8.0353382129116842</v>
      </c>
      <c r="X495" s="699">
        <f t="shared" si="244"/>
        <v>-161.88466038052232</v>
      </c>
      <c r="Y495" s="702">
        <f t="shared" si="245"/>
        <v>18.11533961947768</v>
      </c>
      <c r="AA495" s="174">
        <f t="shared" si="246"/>
        <v>62378</v>
      </c>
      <c r="AB495" s="174">
        <f t="shared" si="247"/>
        <v>3891014884</v>
      </c>
      <c r="AD495" s="701">
        <f t="shared" si="248"/>
        <v>27.198933977476042</v>
      </c>
      <c r="AE495" s="702">
        <f t="shared" si="249"/>
        <v>-18.626150228509573</v>
      </c>
      <c r="AG495" s="701">
        <f t="shared" si="250"/>
        <v>-6.8405786421991097</v>
      </c>
      <c r="AH495" s="702">
        <f t="shared" si="251"/>
        <v>-60.721927668796091</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5">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1.0350046763313567</v>
      </c>
      <c r="N496" s="694">
        <f t="shared" si="238"/>
        <v>-0.26081859508601546</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-8.1011962407378562</v>
      </c>
      <c r="X496" s="699">
        <f t="shared" si="244"/>
        <v>-162.25096472228498</v>
      </c>
      <c r="Y496" s="702">
        <f t="shared" si="245"/>
        <v>17.749035277715024</v>
      </c>
      <c r="AA496" s="174">
        <f t="shared" si="246"/>
        <v>62737</v>
      </c>
      <c r="AB496" s="174">
        <f t="shared" si="247"/>
        <v>3935931169</v>
      </c>
      <c r="AD496" s="701">
        <f t="shared" si="248"/>
        <v>27.194426419366099</v>
      </c>
      <c r="AE496" s="702">
        <f t="shared" si="249"/>
        <v>-18.713273880016004</v>
      </c>
      <c r="AG496" s="701">
        <f t="shared" si="250"/>
        <v>-6.8721857913189126</v>
      </c>
      <c r="AH496" s="702">
        <f t="shared" si="251"/>
        <v>-60.59475146209143</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5">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1.0353995678744057</v>
      </c>
      <c r="N497" s="694">
        <f t="shared" si="238"/>
        <v>-0.26224376385157888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-8.166814465649912</v>
      </c>
      <c r="X497" s="699">
        <f t="shared" si="244"/>
        <v>-162.61668258842127</v>
      </c>
      <c r="Y497" s="702">
        <f t="shared" si="245"/>
        <v>17.38331741157873</v>
      </c>
      <c r="AA497" s="174">
        <f t="shared" si="246"/>
        <v>63096</v>
      </c>
      <c r="AB497" s="174">
        <f t="shared" si="247"/>
        <v>3981105216</v>
      </c>
      <c r="AD497" s="701">
        <f t="shared" si="248"/>
        <v>27.189898170383159</v>
      </c>
      <c r="AE497" s="702">
        <f t="shared" si="249"/>
        <v>-18.800379407270501</v>
      </c>
      <c r="AG497" s="701">
        <f t="shared" si="250"/>
        <v>-6.903451599098406</v>
      </c>
      <c r="AH497" s="702">
        <f t="shared" si="251"/>
        <v>-60.467897019685395</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5">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1.0358057085959858</v>
      </c>
      <c r="N498" s="694">
        <f t="shared" si="238"/>
        <v>-0.26370055626112293</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-8.2336953432727924</v>
      </c>
      <c r="X498" s="699">
        <f t="shared" si="244"/>
        <v>-162.99019765371207</v>
      </c>
      <c r="Y498" s="702">
        <f t="shared" si="245"/>
        <v>17.009802346287927</v>
      </c>
      <c r="AA498" s="174">
        <f t="shared" si="246"/>
        <v>63463.25</v>
      </c>
      <c r="AB498" s="174">
        <f t="shared" si="247"/>
        <v>4027584100.5625</v>
      </c>
      <c r="AD498" s="701">
        <f t="shared" si="248"/>
        <v>27.185244514776208</v>
      </c>
      <c r="AE498" s="702">
        <f t="shared" si="249"/>
        <v>-18.889466139247858</v>
      </c>
      <c r="AG498" s="701">
        <f t="shared" si="250"/>
        <v>-6.9350866043136916</v>
      </c>
      <c r="AH498" s="702">
        <f t="shared" si="251"/>
        <v>-60.338460529469458</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5">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1.0362140458242444</v>
      </c>
      <c r="N499" s="694">
        <f t="shared" si="238"/>
        <v>-0.26515620361174963</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-8.3003309914575691</v>
      </c>
      <c r="X499" s="699">
        <f t="shared" si="244"/>
        <v>-163.36309833734666</v>
      </c>
      <c r="Y499" s="702">
        <f t="shared" si="245"/>
        <v>16.636901662653344</v>
      </c>
      <c r="AA499" s="174">
        <f t="shared" si="246"/>
        <v>63830.5</v>
      </c>
      <c r="AB499" s="174">
        <f t="shared" si="247"/>
        <v>4074332730.25</v>
      </c>
      <c r="AD499" s="701">
        <f t="shared" si="248"/>
        <v>27.180569337525927</v>
      </c>
      <c r="AE499" s="702">
        <f t="shared" si="249"/>
        <v>-18.978530345730132</v>
      </c>
      <c r="AG499" s="701">
        <f t="shared" si="250"/>
        <v>-6.9663722388270655</v>
      </c>
      <c r="AH499" s="702">
        <f t="shared" si="251"/>
        <v>-60.209361099568135</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5">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1.0366245769635016</v>
      </c>
      <c r="N500" s="694">
        <f t="shared" si="238"/>
        <v>-0.26661070109150015</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-8.3667242205818368</v>
      </c>
      <c r="X500" s="699">
        <f t="shared" si="244"/>
        <v>-163.73538437040406</v>
      </c>
      <c r="Y500" s="702">
        <f t="shared" si="245"/>
        <v>16.264615629595937</v>
      </c>
      <c r="AA500" s="174">
        <f t="shared" si="246"/>
        <v>64197.75</v>
      </c>
      <c r="AB500" s="174">
        <f t="shared" si="247"/>
        <v>4121351105.0625</v>
      </c>
      <c r="AD500" s="701">
        <f t="shared" si="248"/>
        <v>27.175872705571258</v>
      </c>
      <c r="AE500" s="702">
        <f t="shared" si="249"/>
        <v>-19.067570280045512</v>
      </c>
      <c r="AG500" s="701">
        <f t="shared" si="250"/>
        <v>-6.9973123748732391</v>
      </c>
      <c r="AH500" s="702">
        <f t="shared" si="251"/>
        <v>-60.080598828057035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5">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1.0370372994082513</v>
      </c>
      <c r="N501" s="694">
        <f t="shared" si="238"/>
        <v>-0.26806404391547578</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-8.4328777870322824</v>
      </c>
      <c r="X501" s="699">
        <f t="shared" si="244"/>
        <v>-164.10705552043797</v>
      </c>
      <c r="Y501" s="702">
        <f t="shared" si="245"/>
        <v>15.892944479562033</v>
      </c>
      <c r="AA501" s="174">
        <f t="shared" si="246"/>
        <v>64565</v>
      </c>
      <c r="AB501" s="174">
        <f t="shared" si="247"/>
        <v>4168639225</v>
      </c>
      <c r="AD501" s="701">
        <f t="shared" si="248"/>
        <v>27.171154686258081</v>
      </c>
      <c r="AE501" s="702">
        <f t="shared" si="249"/>
        <v>-19.156584229862251</v>
      </c>
      <c r="AG501" s="701">
        <f t="shared" si="250"/>
        <v>-7.027910824599056</v>
      </c>
      <c r="AH501" s="702">
        <f t="shared" si="251"/>
        <v>-59.952173765639266</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5">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1.037462122777874</v>
      </c>
      <c r="N502" s="694">
        <f t="shared" si="238"/>
        <v>-0.26955081247833318</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-8.5003620377420557</v>
      </c>
      <c r="X502" s="699">
        <f t="shared" si="244"/>
        <v>-164.48694476998708</v>
      </c>
      <c r="Y502" s="702">
        <f t="shared" si="245"/>
        <v>15.513055230012924</v>
      </c>
      <c r="AA502" s="174">
        <f t="shared" si="246"/>
        <v>64941</v>
      </c>
      <c r="AB502" s="174">
        <f t="shared" si="247"/>
        <v>4217333481</v>
      </c>
      <c r="AD502" s="701">
        <f t="shared" si="248"/>
        <v>27.166302169639998</v>
      </c>
      <c r="AE502" s="702">
        <f t="shared" si="249"/>
        <v>-19.247690328688346</v>
      </c>
      <c r="AG502" s="701">
        <f t="shared" si="250"/>
        <v>-7.058888229146608</v>
      </c>
      <c r="AH502" s="702">
        <f t="shared" si="251"/>
        <v>-59.821038242612083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5">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1.037889237557247</v>
      </c>
      <c r="N503" s="694">
        <f t="shared" si="238"/>
        <v>-0.27103636064527181</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-8.5676007491376893</v>
      </c>
      <c r="X503" s="699">
        <f t="shared" si="244"/>
        <v>-164.86618910897727</v>
      </c>
      <c r="Y503" s="702">
        <f t="shared" si="245"/>
        <v>15.133810891022733</v>
      </c>
      <c r="AA503" s="174">
        <f t="shared" si="246"/>
        <v>65317</v>
      </c>
      <c r="AB503" s="174">
        <f t="shared" si="247"/>
        <v>4266310489</v>
      </c>
      <c r="AD503" s="701">
        <f t="shared" si="248"/>
        <v>27.161427378508343</v>
      </c>
      <c r="AE503" s="702">
        <f t="shared" si="249"/>
        <v>-19.338765664016154</v>
      </c>
      <c r="AG503" s="701">
        <f t="shared" si="250"/>
        <v>-7.0895153711629941</v>
      </c>
      <c r="AH503" s="702">
        <f t="shared" si="251"/>
        <v>-59.690256148559534</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5">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1.0383186409186405</v>
      </c>
      <c r="N504" s="694">
        <f t="shared" si="238"/>
        <v>-0.27252068336961643</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-8.6345967119686424</v>
      </c>
      <c r="X504" s="699">
        <f t="shared" si="244"/>
        <v>-165.24478840308174</v>
      </c>
      <c r="Y504" s="702">
        <f t="shared" si="245"/>
        <v>14.755211596918258</v>
      </c>
      <c r="AA504" s="174">
        <f t="shared" si="246"/>
        <v>65693</v>
      </c>
      <c r="AB504" s="174">
        <f t="shared" si="247"/>
        <v>4315570249</v>
      </c>
      <c r="AD504" s="701">
        <f t="shared" si="248"/>
        <v>27.156530386387775</v>
      </c>
      <c r="AE504" s="702">
        <f t="shared" si="249"/>
        <v>-19.429808504385107</v>
      </c>
      <c r="AG504" s="701">
        <f t="shared" si="250"/>
        <v>-7.1197961542680197</v>
      </c>
      <c r="AH504" s="702">
        <f t="shared" si="251"/>
        <v>-59.559827390403875</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5">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1.038750330023861</v>
      </c>
      <c r="N505" s="694">
        <f t="shared" si="238"/>
        <v>-0.27400377563461337</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-8.701352663277321</v>
      </c>
      <c r="X505" s="699">
        <f t="shared" si="244"/>
        <v>-165.62274255558106</v>
      </c>
      <c r="Y505" s="702">
        <f t="shared" si="245"/>
        <v>14.377257444418944</v>
      </c>
      <c r="AA505" s="174">
        <f t="shared" si="246"/>
        <v>66069</v>
      </c>
      <c r="AB505" s="174">
        <f t="shared" si="247"/>
        <v>4365112761</v>
      </c>
      <c r="AD505" s="701">
        <f t="shared" si="248"/>
        <v>27.151611267199737</v>
      </c>
      <c r="AE505" s="702">
        <f t="shared" si="249"/>
        <v>-19.520817152337923</v>
      </c>
      <c r="AG505" s="701">
        <f t="shared" si="250"/>
        <v>-7.1497344214790992</v>
      </c>
      <c r="AH505" s="702">
        <f t="shared" si="251"/>
        <v>-59.429751827551712</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5">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1.0391944282649537</v>
      </c>
      <c r="N506" s="694">
        <f t="shared" si="238"/>
        <v>-0.27552010240378633</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-8.7694164565617463</v>
      </c>
      <c r="X506" s="699">
        <f t="shared" si="244"/>
        <v>-166.00882428543247</v>
      </c>
      <c r="Y506" s="702">
        <f t="shared" si="245"/>
        <v>13.991175714567532</v>
      </c>
      <c r="AA506" s="174">
        <f t="shared" si="246"/>
        <v>66453.75</v>
      </c>
      <c r="AB506" s="174">
        <f t="shared" si="247"/>
        <v>4416100889.0625</v>
      </c>
      <c r="AD506" s="701">
        <f t="shared" si="248"/>
        <v>27.146554845901086</v>
      </c>
      <c r="AE506" s="702">
        <f t="shared" si="249"/>
        <v>-19.613906556449702</v>
      </c>
      <c r="AG506" s="701">
        <f t="shared" si="250"/>
        <v>-7.1800187723972471</v>
      </c>
      <c r="AH506" s="702">
        <f t="shared" si="251"/>
        <v>-59.29701466481152</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5">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1.0396409138260752</v>
      </c>
      <c r="N507" s="694">
        <f t="shared" si="238"/>
        <v>-0.27703513024649812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-8.8372345695475847</v>
      </c>
      <c r="X507" s="699">
        <f t="shared" si="244"/>
        <v>-166.39423041086161</v>
      </c>
      <c r="Y507" s="702">
        <f t="shared" si="245"/>
        <v>13.60576958913839</v>
      </c>
      <c r="AA507" s="174">
        <f t="shared" si="246"/>
        <v>66838.5</v>
      </c>
      <c r="AB507" s="174">
        <f t="shared" si="247"/>
        <v>4467385082.25</v>
      </c>
      <c r="AD507" s="701">
        <f t="shared" si="248"/>
        <v>27.141475413528507</v>
      </c>
      <c r="AE507" s="702">
        <f t="shared" si="249"/>
        <v>-19.706956667441393</v>
      </c>
      <c r="AG507" s="701">
        <f t="shared" si="250"/>
        <v>-7.209952433068807</v>
      </c>
      <c r="AH507" s="702">
        <f t="shared" si="251"/>
        <v>-59.164646881675871</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5">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1.0400897836327674</v>
      </c>
      <c r="N508" s="694">
        <f t="shared" si="238"/>
        <v>-0.27854885388512168</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-8.9048097687040997</v>
      </c>
      <c r="X508" s="699">
        <f t="shared" si="244"/>
        <v>-166.77896094660719</v>
      </c>
      <c r="Y508" s="702">
        <f t="shared" si="245"/>
        <v>13.221039053392815</v>
      </c>
      <c r="AA508" s="174">
        <f t="shared" si="246"/>
        <v>67223.25</v>
      </c>
      <c r="AB508" s="174">
        <f t="shared" si="247"/>
        <v>4518965340.5625</v>
      </c>
      <c r="AD508" s="701">
        <f t="shared" si="248"/>
        <v>27.136373050498964</v>
      </c>
      <c r="AE508" s="702">
        <f t="shared" si="249"/>
        <v>-19.799965771586411</v>
      </c>
      <c r="AG508" s="701">
        <f t="shared" si="250"/>
        <v>-7.2395393322607955</v>
      </c>
      <c r="AH508" s="702">
        <f t="shared" si="251"/>
        <v>-59.032648179985983</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5">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1.0405410345994748</v>
      </c>
      <c r="N509" s="694">
        <f t="shared" si="238"/>
        <v>-0.28006126807501969</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-8.9721447672261139</v>
      </c>
      <c r="X509" s="699">
        <f t="shared" si="244"/>
        <v>-167.16301594602271</v>
      </c>
      <c r="Y509" s="702">
        <f t="shared" si="245"/>
        <v>12.836984053977289</v>
      </c>
      <c r="AA509" s="174">
        <f t="shared" si="246"/>
        <v>67608</v>
      </c>
      <c r="AB509" s="174">
        <f t="shared" si="247"/>
        <v>4570841664</v>
      </c>
      <c r="AD509" s="701">
        <f t="shared" si="248"/>
        <v>27.131247837613945</v>
      </c>
      <c r="AE509" s="702">
        <f t="shared" si="249"/>
        <v>-19.892932188790407</v>
      </c>
      <c r="AG509" s="701">
        <f t="shared" si="250"/>
        <v>-7.2687833377258357</v>
      </c>
      <c r="AH509" s="702">
        <f t="shared" si="251"/>
        <v>-58.901018214119468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5">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1.0410053032741744</v>
      </c>
      <c r="N510" s="694">
        <f t="shared" si="238"/>
        <v>-0.28160769918431139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-9.0408089355068277</v>
      </c>
      <c r="X510" s="699">
        <f t="shared" si="244"/>
        <v>-167.55535535946257</v>
      </c>
      <c r="Y510" s="702">
        <f t="shared" si="245"/>
        <v>12.444644640537433</v>
      </c>
      <c r="AA510" s="174">
        <f t="shared" si="246"/>
        <v>68001.75</v>
      </c>
      <c r="AB510" s="174">
        <f t="shared" si="247"/>
        <v>4624238003.0625</v>
      </c>
      <c r="AD510" s="701">
        <f t="shared" si="248"/>
        <v>27.125979163554032</v>
      </c>
      <c r="AE510" s="702">
        <f t="shared" si="249"/>
        <v>-19.988027343958834</v>
      </c>
      <c r="AG510" s="701">
        <f t="shared" si="250"/>
        <v>-7.2983603676536104</v>
      </c>
      <c r="AH510" s="702">
        <f t="shared" si="251"/>
        <v>-58.766690550243439</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5">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1.0414720592371227</v>
      </c>
      <c r="N511" s="694">
        <f t="shared" si="238"/>
        <v>-0.28315274785938743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-9.1092271187119458</v>
      </c>
      <c r="X511" s="699">
        <f t="shared" si="244"/>
        <v>-167.94698749708499</v>
      </c>
      <c r="Y511" s="702">
        <f t="shared" si="245"/>
        <v>12.05301250291501</v>
      </c>
      <c r="AA511" s="174">
        <f t="shared" si="246"/>
        <v>68395.5</v>
      </c>
      <c r="AB511" s="174">
        <f t="shared" si="247"/>
        <v>4677944420.25</v>
      </c>
      <c r="AD511" s="701">
        <f t="shared" si="248"/>
        <v>27.120686730550403</v>
      </c>
      <c r="AE511" s="702">
        <f t="shared" si="249"/>
        <v>-20.08307433565308</v>
      </c>
      <c r="AG511" s="701">
        <f t="shared" si="250"/>
        <v>-7.3275862805648204</v>
      </c>
      <c r="AH511" s="702">
        <f t="shared" si="251"/>
        <v>-58.632748194806886</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5">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1.041941299145646</v>
      </c>
      <c r="N512" s="694">
        <f t="shared" si="238"/>
        <v>-0.28469640858647499</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-9.1774020601106301</v>
      </c>
      <c r="X512" s="699">
        <f t="shared" si="244"/>
        <v>-168.33791253754208</v>
      </c>
      <c r="Y512" s="702">
        <f t="shared" si="245"/>
        <v>11.662087462457919</v>
      </c>
      <c r="AA512" s="174">
        <f t="shared" si="246"/>
        <v>68789.25</v>
      </c>
      <c r="AB512" s="174">
        <f t="shared" si="247"/>
        <v>4731960915.5625</v>
      </c>
      <c r="AD512" s="701">
        <f t="shared" si="248"/>
        <v>27.115370626382486</v>
      </c>
      <c r="AE512" s="702">
        <f t="shared" si="249"/>
        <v>-20.178071467069476</v>
      </c>
      <c r="AG512" s="701">
        <f t="shared" si="250"/>
        <v>-7.3564650317894342</v>
      </c>
      <c r="AH512" s="702">
        <f t="shared" si="251"/>
        <v>-58.499190630101928</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5">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1.0424130196453165</v>
      </c>
      <c r="N513" s="694">
        <f t="shared" si="238"/>
        <v>-0.28623867588816143</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-9.245336450136838</v>
      </c>
      <c r="X513" s="699">
        <f t="shared" si="244"/>
        <v>-168.72813069907059</v>
      </c>
      <c r="Y513" s="702">
        <f t="shared" si="245"/>
        <v>11.27186930092941</v>
      </c>
      <c r="AA513" s="174">
        <f t="shared" si="246"/>
        <v>69183</v>
      </c>
      <c r="AB513" s="174">
        <f t="shared" si="247"/>
        <v>4786287489</v>
      </c>
      <c r="AD513" s="701">
        <f t="shared" si="248"/>
        <v>27.110030939200648</v>
      </c>
      <c r="AE513" s="702">
        <f t="shared" si="249"/>
        <v>-20.273017074723459</v>
      </c>
      <c r="AG513" s="701">
        <f t="shared" si="250"/>
        <v>-7.3850005151721376</v>
      </c>
      <c r="AH513" s="702">
        <f t="shared" si="251"/>
        <v>-58.366017291093861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5">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1.0428983870068764</v>
      </c>
      <c r="N514" s="694">
        <f t="shared" si="238"/>
        <v>-0.28781572564152025</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-9.3146204185673227</v>
      </c>
      <c r="X514" s="699">
        <f t="shared" si="244"/>
        <v>-169.12678417597223</v>
      </c>
      <c r="Y514" s="702">
        <f t="shared" si="245"/>
        <v>10.873215824027767</v>
      </c>
      <c r="AA514" s="174">
        <f t="shared" si="246"/>
        <v>69586</v>
      </c>
      <c r="AB514" s="174">
        <f t="shared" si="247"/>
        <v>4842211396</v>
      </c>
      <c r="AD514" s="701">
        <f t="shared" si="248"/>
        <v>27.104541483579077</v>
      </c>
      <c r="AE514" s="702">
        <f t="shared" si="249"/>
        <v>-20.370138095093484</v>
      </c>
      <c r="AG514" s="701">
        <f t="shared" si="250"/>
        <v>-7.4138548977874787</v>
      </c>
      <c r="AH514" s="702">
        <f t="shared" si="251"/>
        <v>-58.230112668479485</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5">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1.043386345729403</v>
      </c>
      <c r="N515" s="694">
        <f t="shared" si="238"/>
        <v>-0.28939130423806558</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-9.3836579397410844</v>
      </c>
      <c r="X515" s="699">
        <f t="shared" si="244"/>
        <v>-169.52469775844332</v>
      </c>
      <c r="Y515" s="702">
        <f t="shared" si="245"/>
        <v>10.475302241556676</v>
      </c>
      <c r="AA515" s="174">
        <f t="shared" si="246"/>
        <v>69989</v>
      </c>
      <c r="AB515" s="174">
        <f t="shared" si="247"/>
        <v>4898460121</v>
      </c>
      <c r="AD515" s="701">
        <f t="shared" si="248"/>
        <v>27.099027511890622</v>
      </c>
      <c r="AE515" s="702">
        <f t="shared" si="249"/>
        <v>-20.467201719774113</v>
      </c>
      <c r="AG515" s="701">
        <f t="shared" si="250"/>
        <v>-7.4423577568941468</v>
      </c>
      <c r="AH515" s="702">
        <f t="shared" si="251"/>
        <v>-58.094609191417412</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5">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1.0438768921789123</v>
      </c>
      <c r="N516" s="694">
        <f t="shared" si="238"/>
        <v>-0.29096540592378828</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-9.4524517347380659</v>
      </c>
      <c r="X516" s="699">
        <f t="shared" si="244"/>
        <v>-169.92187180488003</v>
      </c>
      <c r="Y516" s="702">
        <f t="shared" si="245"/>
        <v>10.078128195119973</v>
      </c>
      <c r="AA516" s="174">
        <f t="shared" si="246"/>
        <v>70392</v>
      </c>
      <c r="AB516" s="174">
        <f t="shared" si="247"/>
        <v>4955033664</v>
      </c>
      <c r="AD516" s="701">
        <f t="shared" si="248"/>
        <v>27.093489119774596</v>
      </c>
      <c r="AE516" s="702">
        <f t="shared" si="249"/>
        <v>-20.564206268368931</v>
      </c>
      <c r="AG516" s="701">
        <f t="shared" si="250"/>
        <v>-7.470513075440099</v>
      </c>
      <c r="AH516" s="702">
        <f t="shared" si="251"/>
        <v>-57.959506107415642</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5">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1.0443700227089949</v>
      </c>
      <c r="N517" s="694">
        <f t="shared" si="238"/>
        <v>-0.29253802498473697</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-9.5210044722546208</v>
      </c>
      <c r="X517" s="699">
        <f t="shared" si="244"/>
        <v>-170.31830671417691</v>
      </c>
      <c r="Y517" s="702">
        <f t="shared" si="245"/>
        <v>9.6816932858230871</v>
      </c>
      <c r="AA517" s="174">
        <f t="shared" si="246"/>
        <v>70795</v>
      </c>
      <c r="AB517" s="174">
        <f t="shared" si="247"/>
        <v>5011932025</v>
      </c>
      <c r="AD517" s="701">
        <f t="shared" si="248"/>
        <v>27.087926403225886</v>
      </c>
      <c r="AE517" s="702">
        <f t="shared" si="249"/>
        <v>-20.661150093543153</v>
      </c>
      <c r="AG517" s="701">
        <f t="shared" si="250"/>
        <v>-7.4983247743627963</v>
      </c>
      <c r="AH517" s="702">
        <f t="shared" si="251"/>
        <v>-57.824802616902019</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5">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1.0448771419065535</v>
      </c>
      <c r="N518" s="694">
        <f t="shared" si="238"/>
        <v>-0.29414520016435397</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-9.5908839991668913</v>
      </c>
      <c r="X518" s="699">
        <f t="shared" si="244"/>
        <v>-170.72307661371048</v>
      </c>
      <c r="Y518" s="702">
        <f t="shared" si="245"/>
        <v>9.2769233862895248</v>
      </c>
      <c r="AA518" s="174">
        <f t="shared" si="246"/>
        <v>71207.25</v>
      </c>
      <c r="AB518" s="174">
        <f t="shared" si="247"/>
        <v>5070472452.5625</v>
      </c>
      <c r="AD518" s="701">
        <f t="shared" si="248"/>
        <v>27.082210938590912</v>
      </c>
      <c r="AE518" s="702">
        <f t="shared" si="249"/>
        <v>-20.760254542349852</v>
      </c>
      <c r="AG518" s="701">
        <f t="shared" si="250"/>
        <v>-7.5264233147608568</v>
      </c>
      <c r="AH518" s="702">
        <f t="shared" si="251"/>
        <v>-57.687419871566647</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5">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1.045386957411792</v>
      </c>
      <c r="N519" s="694">
        <f t="shared" si="238"/>
        <v>-0.29575081190986924</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-9.6605167628004036</v>
      </c>
      <c r="X519" s="699">
        <f t="shared" si="244"/>
        <v>-171.1270740271745</v>
      </c>
      <c r="Y519" s="702">
        <f t="shared" si="245"/>
        <v>8.8729259728254988</v>
      </c>
      <c r="AA519" s="174">
        <f t="shared" si="246"/>
        <v>71619.5</v>
      </c>
      <c r="AB519" s="174">
        <f t="shared" si="247"/>
        <v>5129352780.25</v>
      </c>
      <c r="AD519" s="701">
        <f t="shared" si="248"/>
        <v>27.07647022437499</v>
      </c>
      <c r="AE519" s="702">
        <f t="shared" si="249"/>
        <v>-20.859292063428157</v>
      </c>
      <c r="AG519" s="701">
        <f t="shared" si="250"/>
        <v>-7.5541703874077601</v>
      </c>
      <c r="AH519" s="702">
        <f t="shared" si="251"/>
        <v>-57.550453435387297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5">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1.0458994652818283</v>
      </c>
      <c r="N520" s="694">
        <f t="shared" si="238"/>
        <v>-0.29735485423510832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-9.7299054581625732</v>
      </c>
      <c r="X520" s="699">
        <f t="shared" si="244"/>
        <v>-171.53029950845982</v>
      </c>
      <c r="Y520" s="702">
        <f t="shared" si="245"/>
        <v>8.4697004915401806</v>
      </c>
      <c r="AA520" s="174">
        <f t="shared" si="246"/>
        <v>72031.75</v>
      </c>
      <c r="AB520" s="174">
        <f t="shared" si="247"/>
        <v>5188573008.0625</v>
      </c>
      <c r="AD520" s="701">
        <f t="shared" si="248"/>
        <v>27.070704364412158</v>
      </c>
      <c r="AE520" s="702">
        <f t="shared" si="249"/>
        <v>-20.958260995566025</v>
      </c>
      <c r="AG520" s="701">
        <f t="shared" si="250"/>
        <v>-7.5815699963342373</v>
      </c>
      <c r="AH520" s="702">
        <f t="shared" si="251"/>
        <v>-57.413902307021438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5">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1.0464146615607022</v>
      </c>
      <c r="N521" s="694">
        <f t="shared" si="238"/>
        <v>-0.29895732119789797</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-9.7990527284710698</v>
      </c>
      <c r="X521" s="699">
        <f t="shared" si="244"/>
        <v>-171.93275365269821</v>
      </c>
      <c r="Y521" s="702">
        <f t="shared" si="245"/>
        <v>8.0672463473017899</v>
      </c>
      <c r="AA521" s="174">
        <f t="shared" si="246"/>
        <v>72444</v>
      </c>
      <c r="AB521" s="174">
        <f t="shared" si="247"/>
        <v>5248133136</v>
      </c>
      <c r="AD521" s="701">
        <f t="shared" si="248"/>
        <v>27.064913462873633</v>
      </c>
      <c r="AE521" s="702">
        <f t="shared" si="249"/>
        <v>-21.057159710330918</v>
      </c>
      <c r="AG521" s="701">
        <f t="shared" si="250"/>
        <v>-7.6086260831347268</v>
      </c>
      <c r="AH521" s="702">
        <f t="shared" si="251"/>
        <v>-57.277765438536328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5">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1.0469445080738584</v>
      </c>
      <c r="N522" s="694">
        <f t="shared" si="238"/>
        <v>-0.30059507945528791</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-9.8695463161005215</v>
      </c>
      <c r="X522" s="699">
        <f t="shared" si="244"/>
        <v>-172.34368451744621</v>
      </c>
      <c r="Y522" s="702">
        <f t="shared" si="245"/>
        <v>7.6563154825537936</v>
      </c>
      <c r="AA522" s="174">
        <f t="shared" si="246"/>
        <v>72865.75</v>
      </c>
      <c r="AB522" s="174">
        <f t="shared" si="247"/>
        <v>5309417523.0625</v>
      </c>
      <c r="AD522" s="701">
        <f t="shared" si="248"/>
        <v>27.058963309387206</v>
      </c>
      <c r="AE522" s="702">
        <f t="shared" si="249"/>
        <v>-21.158263145971507</v>
      </c>
      <c r="AG522" s="701">
        <f t="shared" si="250"/>
        <v>-7.6359542161165521</v>
      </c>
      <c r="AH522" s="702">
        <f t="shared" si="251"/>
        <v>-57.138918944370005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5">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1.0474771599108206</v>
      </c>
      <c r="N523" s="694">
        <f t="shared" si="238"/>
        <v>-0.30223117646690911</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-9.9397926598072512</v>
      </c>
      <c r="X523" s="699">
        <f t="shared" si="244"/>
        <v>-172.75380947475759</v>
      </c>
      <c r="Y523" s="702">
        <f t="shared" si="245"/>
        <v>7.2461905252424117</v>
      </c>
      <c r="AA523" s="174">
        <f t="shared" si="246"/>
        <v>73287.5</v>
      </c>
      <c r="AB523" s="174">
        <f t="shared" si="247"/>
        <v>5371057656.25</v>
      </c>
      <c r="AD523" s="701">
        <f t="shared" si="248"/>
        <v>27.052987168492532</v>
      </c>
      <c r="AE523" s="702">
        <f t="shared" si="249"/>
        <v>-21.259289744409898</v>
      </c>
      <c r="AG523" s="701">
        <f t="shared" si="250"/>
        <v>-7.6629309633112266</v>
      </c>
      <c r="AH523" s="702">
        <f t="shared" si="251"/>
        <v>-57.000503659634468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5">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1.0480126127941756</v>
      </c>
      <c r="N524" s="694">
        <f t="shared" si="238"/>
        <v>-0.30386560601339047</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-10.009794429922181</v>
      </c>
      <c r="X524" s="699">
        <f t="shared" si="244"/>
        <v>-173.16312929094673</v>
      </c>
      <c r="Y524" s="702">
        <f t="shared" si="245"/>
        <v>6.8368707090532723</v>
      </c>
      <c r="AA524" s="174">
        <f t="shared" si="246"/>
        <v>73709.25</v>
      </c>
      <c r="AB524" s="174">
        <f t="shared" si="247"/>
        <v>5433053535.5625</v>
      </c>
      <c r="AD524" s="701">
        <f t="shared" si="248"/>
        <v>27.046985152745087</v>
      </c>
      <c r="AE524" s="702">
        <f t="shared" si="249"/>
        <v>-21.360237863429305</v>
      </c>
      <c r="AG524" s="701">
        <f t="shared" si="250"/>
        <v>-7.68956035056204</v>
      </c>
      <c r="AH524" s="702">
        <f t="shared" si="251"/>
        <v>-56.862518318550855</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5">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1.0485508624327771</v>
      </c>
      <c r="N525" s="694">
        <f t="shared" ref="N525:N588" si="270">-ATAN(G525/z_RHP)</f>
        <v>-0.30549836192366675</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-10.079554245591515</v>
      </c>
      <c r="X525" s="699">
        <f t="shared" ref="X525:X588" si="276">((L525+R525+N525+V525)-(J525+P525+T525))*radconv</f>
        <v>-173.57164477422353</v>
      </c>
      <c r="Y525" s="702">
        <f t="shared" ref="Y525:Y588" si="277">IF(X525&gt;0,X525,X525+180)</f>
        <v>6.4283552257764711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-7.7158463407964275</v>
      </c>
      <c r="AH525" s="702">
        <f t="shared" ref="AH525:AH588" si="283">(L525+N525-(J525+V525))*radconv</f>
        <v>-56.724961609386952</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5">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1.0491047668794538</v>
      </c>
      <c r="N526" s="694">
        <f t="shared" si="270"/>
        <v>-0.30716809164361064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-10.150720171615292</v>
      </c>
      <c r="X526" s="699">
        <f t="shared" si="276"/>
        <v>-173.98901417842546</v>
      </c>
      <c r="Y526" s="702">
        <f t="shared" si="277"/>
        <v>6.0109858215745362</v>
      </c>
      <c r="AA526" s="174">
        <f t="shared" si="278"/>
        <v>74562.75</v>
      </c>
      <c r="AB526" s="174">
        <f t="shared" si="279"/>
        <v>5559603687.5625</v>
      </c>
      <c r="AD526" s="701">
        <f t="shared" si="280"/>
        <v>27.03476010696809</v>
      </c>
      <c r="AE526" s="702">
        <f t="shared" si="281"/>
        <v>-21.564280970624036</v>
      </c>
      <c r="AG526" s="701">
        <f t="shared" si="282"/>
        <v>-7.7424039569074035</v>
      </c>
      <c r="AH526" s="702">
        <f t="shared" si="283"/>
        <v>-56.58458591105267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5">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1.0496615931357438</v>
      </c>
      <c r="N527" s="694">
        <f t="shared" si="270"/>
        <v>-0.30883605448764095</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-10.221637929302043</v>
      </c>
      <c r="X527" s="699">
        <f t="shared" si="276"/>
        <v>-174.40554250002089</v>
      </c>
      <c r="Y527" s="702">
        <f t="shared" si="277"/>
        <v>5.5944574999791143</v>
      </c>
      <c r="AA527" s="174">
        <f t="shared" si="278"/>
        <v>74994.5</v>
      </c>
      <c r="AB527" s="174">
        <f t="shared" si="279"/>
        <v>5624175030.25</v>
      </c>
      <c r="AD527" s="701">
        <f t="shared" si="280"/>
        <v>27.02853608112536</v>
      </c>
      <c r="AE527" s="702">
        <f t="shared" si="281"/>
        <v>-21.667368803233764</v>
      </c>
      <c r="AG527" s="701">
        <f t="shared" si="282"/>
        <v>-7.7686099067330066</v>
      </c>
      <c r="AH527" s="702">
        <f t="shared" si="283"/>
        <v>-56.4446564876934</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5">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1.0502213365542257</v>
      </c>
      <c r="N528" s="694">
        <f t="shared" si="270"/>
        <v>-0.31050224399267129</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-10.292310170259141</v>
      </c>
      <c r="X528" s="699">
        <f t="shared" si="276"/>
        <v>-174.82123073732211</v>
      </c>
      <c r="Y528" s="702">
        <f t="shared" si="277"/>
        <v>5.1787692626778892</v>
      </c>
      <c r="AA528" s="174">
        <f t="shared" si="278"/>
        <v>75426.25</v>
      </c>
      <c r="AB528" s="174">
        <f t="shared" si="279"/>
        <v>5689119189.0625</v>
      </c>
      <c r="AD528" s="701">
        <f t="shared" si="280"/>
        <v>27.022285419528398</v>
      </c>
      <c r="AE528" s="702">
        <f t="shared" si="281"/>
        <v>-21.77036776532049</v>
      </c>
      <c r="AG528" s="701">
        <f t="shared" si="282"/>
        <v>-7.7944682452733636</v>
      </c>
      <c r="AH528" s="702">
        <f t="shared" si="283"/>
        <v>-56.305171790252722</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5">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1.0507839924730595</v>
      </c>
      <c r="N529" s="694">
        <f t="shared" si="270"/>
        <v>-0.31216665374873565</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-10.362739495414443</v>
      </c>
      <c r="X529" s="699">
        <f t="shared" si="276"/>
        <v>-175.23607993118418</v>
      </c>
      <c r="Y529" s="702">
        <f t="shared" si="277"/>
        <v>4.7639200688158212</v>
      </c>
      <c r="AA529" s="174">
        <f t="shared" si="278"/>
        <v>75858</v>
      </c>
      <c r="AB529" s="174">
        <f t="shared" si="279"/>
        <v>5754436164</v>
      </c>
      <c r="AD529" s="701">
        <f t="shared" si="280"/>
        <v>27.016008244509976</v>
      </c>
      <c r="AE529" s="702">
        <f t="shared" si="281"/>
        <v>-21.873276263470554</v>
      </c>
      <c r="AG529" s="701">
        <f t="shared" si="282"/>
        <v>-7.8199829639380525</v>
      </c>
      <c r="AH529" s="702">
        <f t="shared" si="283"/>
        <v>-56.166130224423597</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5">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1.0513626899674713</v>
      </c>
      <c r="N530" s="694">
        <f t="shared" si="270"/>
        <v>-0.31386776512878467</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-10.434551313590338</v>
      </c>
      <c r="X530" s="699">
        <f t="shared" si="276"/>
        <v>-175.65967038668401</v>
      </c>
      <c r="Y530" s="702">
        <f t="shared" si="277"/>
        <v>4.340329613315987</v>
      </c>
      <c r="AA530" s="174">
        <f t="shared" si="278"/>
        <v>76299.75</v>
      </c>
      <c r="AB530" s="174">
        <f t="shared" si="279"/>
        <v>5821651850.0625</v>
      </c>
      <c r="AD530" s="701">
        <f t="shared" si="280"/>
        <v>27.009558366592596</v>
      </c>
      <c r="AE530" s="702">
        <f t="shared" si="281"/>
        <v>-21.978473022321449</v>
      </c>
      <c r="AG530" s="701">
        <f t="shared" si="282"/>
        <v>-7.8457370905888055</v>
      </c>
      <c r="AH530" s="702">
        <f t="shared" si="283"/>
        <v>-56.024325177037497</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5">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1.0519444265216049</v>
      </c>
      <c r="N531" s="694">
        <f t="shared" si="270"/>
        <v>-0.31556699995583626</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-10.506114184807572</v>
      </c>
      <c r="X531" s="699">
        <f t="shared" si="276"/>
        <v>-176.08238481878456</v>
      </c>
      <c r="Y531" s="702">
        <f t="shared" si="277"/>
        <v>3.9176151812154387</v>
      </c>
      <c r="AA531" s="174">
        <f t="shared" si="278"/>
        <v>76741.5</v>
      </c>
      <c r="AB531" s="174">
        <f t="shared" si="279"/>
        <v>5889257822.25</v>
      </c>
      <c r="AD531" s="701">
        <f t="shared" si="280"/>
        <v>27.003080992825794</v>
      </c>
      <c r="AE531" s="702">
        <f t="shared" si="281"/>
        <v>-22.083571804138359</v>
      </c>
      <c r="AG531" s="701">
        <f t="shared" si="282"/>
        <v>-7.8711397508704026</v>
      </c>
      <c r="AH531" s="702">
        <f t="shared" si="283"/>
        <v>-55.882980509811681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5">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1.0525291970963637</v>
      </c>
      <c r="N532" s="694">
        <f t="shared" si="270"/>
        <v>-0.31726435153684623</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-10.577430738559045</v>
      </c>
      <c r="X532" s="699">
        <f t="shared" si="276"/>
        <v>-176.50422447515396</v>
      </c>
      <c r="Y532" s="702">
        <f t="shared" si="277"/>
        <v>3.4957755248460387</v>
      </c>
      <c r="AA532" s="174">
        <f t="shared" si="278"/>
        <v>77183.25</v>
      </c>
      <c r="AB532" s="174">
        <f t="shared" si="279"/>
        <v>5957254080.5625</v>
      </c>
      <c r="AD532" s="701">
        <f t="shared" si="280"/>
        <v>26.996576255108302</v>
      </c>
      <c r="AE532" s="702">
        <f t="shared" si="281"/>
        <v>-22.188571002819543</v>
      </c>
      <c r="AG532" s="701">
        <f t="shared" si="282"/>
        <v>-7.896195021678829</v>
      </c>
      <c r="AH532" s="702">
        <f t="shared" si="283"/>
        <v>-55.74209437604712</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5">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1.0531169966375915</v>
      </c>
      <c r="N533" s="694">
        <f t="shared" si="270"/>
        <v>-0.3189598132370029</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-10.648503554305789</v>
      </c>
      <c r="X533" s="699">
        <f t="shared" si="276"/>
        <v>-176.92519064642684</v>
      </c>
      <c r="Y533" s="702">
        <f t="shared" si="277"/>
        <v>3.0748093535731584</v>
      </c>
      <c r="AA533" s="174">
        <f t="shared" si="278"/>
        <v>77625</v>
      </c>
      <c r="AB533" s="174">
        <f t="shared" si="279"/>
        <v>6025640625</v>
      </c>
      <c r="AD533" s="701">
        <f t="shared" si="280"/>
        <v>26.990044285603712</v>
      </c>
      <c r="AE533" s="702">
        <f t="shared" si="281"/>
        <v>-22.293469044612852</v>
      </c>
      <c r="AG533" s="701">
        <f t="shared" si="282"/>
        <v>-7.9209069157504821</v>
      </c>
      <c r="AH533" s="702">
        <f t="shared" si="283"/>
        <v>-55.601664884799732</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5">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1.0537215649078275</v>
      </c>
      <c r="N534" s="694">
        <f t="shared" si="270"/>
        <v>-0.32069265199589897</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-10.720975837219012</v>
      </c>
      <c r="X534" s="699">
        <f t="shared" si="276"/>
        <v>-177.35502183571342</v>
      </c>
      <c r="Y534" s="702">
        <f t="shared" si="277"/>
        <v>2.6449781642865844</v>
      </c>
      <c r="AA534" s="174">
        <f t="shared" si="278"/>
        <v>78077</v>
      </c>
      <c r="AB534" s="174">
        <f t="shared" si="279"/>
        <v>6096017929</v>
      </c>
      <c r="AD534" s="701">
        <f t="shared" si="280"/>
        <v>26.983332704912939</v>
      </c>
      <c r="AE534" s="702">
        <f t="shared" si="281"/>
        <v>-22.400694740159814</v>
      </c>
      <c r="AG534" s="701">
        <f t="shared" si="282"/>
        <v>-7.945840903434509</v>
      </c>
      <c r="AH534" s="702">
        <f t="shared" si="283"/>
        <v>-55.458447625599021</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5">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1.0543292935854349</v>
      </c>
      <c r="N535" s="694">
        <f t="shared" si="270"/>
        <v>-0.32242349828692923</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-10.793198248803566</v>
      </c>
      <c r="X535" s="699">
        <f t="shared" si="276"/>
        <v>-177.78394140212052</v>
      </c>
      <c r="Y535" s="702">
        <f t="shared" si="277"/>
        <v>2.2160585978794813</v>
      </c>
      <c r="AA535" s="174">
        <f t="shared" si="278"/>
        <v>78529</v>
      </c>
      <c r="AB535" s="174">
        <f t="shared" si="279"/>
        <v>6166803841</v>
      </c>
      <c r="AD535" s="701">
        <f t="shared" si="280"/>
        <v>26.97659289478451</v>
      </c>
      <c r="AE535" s="702">
        <f t="shared" si="281"/>
        <v>-22.507811297048463</v>
      </c>
      <c r="AG535" s="701">
        <f t="shared" si="282"/>
        <v>-7.9704236942490194</v>
      </c>
      <c r="AH535" s="702">
        <f t="shared" si="283"/>
        <v>-55.315704304130712</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5">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1.0549401772084825</v>
      </c>
      <c r="N536" s="694">
        <f t="shared" si="270"/>
        <v>-0.32415234519190034</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-10.865173397933683</v>
      </c>
      <c r="X536" s="699">
        <f t="shared" si="276"/>
        <v>-178.21195086213726</v>
      </c>
      <c r="Y536" s="702">
        <f t="shared" si="277"/>
        <v>1.7880491378627426</v>
      </c>
      <c r="AA536" s="174">
        <f t="shared" si="278"/>
        <v>78981</v>
      </c>
      <c r="AB536" s="174">
        <f t="shared" si="279"/>
        <v>6237998361</v>
      </c>
      <c r="AD536" s="701">
        <f t="shared" si="280"/>
        <v>26.969824997571166</v>
      </c>
      <c r="AE536" s="702">
        <f t="shared" si="281"/>
        <v>-22.614817129764809</v>
      </c>
      <c r="AG536" s="701">
        <f t="shared" si="282"/>
        <v>-7.9946593866146385</v>
      </c>
      <c r="AH536" s="702">
        <f t="shared" si="283"/>
        <v>-55.1734327591615</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5">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1.0555542102993609</v>
      </c>
      <c r="N537" s="694">
        <f t="shared" si="270"/>
        <v>-0.32587918585640063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-10.93690384412244</v>
      </c>
      <c r="X537" s="699">
        <f t="shared" si="276"/>
        <v>-178.63905177550095</v>
      </c>
      <c r="Y537" s="702">
        <f t="shared" si="277"/>
        <v>1.3609482244990545</v>
      </c>
      <c r="AA537" s="174">
        <f t="shared" si="278"/>
        <v>79433</v>
      </c>
      <c r="AB537" s="174">
        <f t="shared" si="279"/>
        <v>6309601489</v>
      </c>
      <c r="AD537" s="701">
        <f t="shared" si="280"/>
        <v>26.963029155858283</v>
      </c>
      <c r="AE537" s="702">
        <f t="shared" si="281"/>
        <v>-22.721710685084041</v>
      </c>
      <c r="AG537" s="701">
        <f t="shared" si="282"/>
        <v>-8.0185520141822604</v>
      </c>
      <c r="AH537" s="702">
        <f t="shared" si="283"/>
        <v>-55.031630786435805</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5">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1.0561857617644315</v>
      </c>
      <c r="N538" s="694">
        <f t="shared" si="270"/>
        <v>-0.32764405740969904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-11.010049918720735</v>
      </c>
      <c r="X538" s="699">
        <f t="shared" si="276"/>
        <v>-179.07513550205661</v>
      </c>
      <c r="Y538" s="702">
        <f t="shared" si="277"/>
        <v>0.9248644979433891</v>
      </c>
      <c r="AA538" s="174">
        <f t="shared" si="278"/>
        <v>79895.5</v>
      </c>
      <c r="AB538" s="174">
        <f t="shared" si="279"/>
        <v>6383290920.25</v>
      </c>
      <c r="AD538" s="701">
        <f t="shared" si="280"/>
        <v>26.956046669336288</v>
      </c>
      <c r="AE538" s="702">
        <f t="shared" si="281"/>
        <v>-22.830969580025005</v>
      </c>
      <c r="AG538" s="701">
        <f t="shared" si="282"/>
        <v>-8.0426486991505435</v>
      </c>
      <c r="AH538" s="702">
        <f t="shared" si="283"/>
        <v>-54.887018459497234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5">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1.0568205990690294</v>
      </c>
      <c r="N539" s="694">
        <f t="shared" si="270"/>
        <v>-0.3294068141141448</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-11.082945058484553</v>
      </c>
      <c r="X539" s="699">
        <f t="shared" si="276"/>
        <v>-179.51027141912454</v>
      </c>
      <c r="Y539" s="702">
        <f t="shared" si="277"/>
        <v>0.48972858087546456</v>
      </c>
      <c r="AA539" s="174">
        <f t="shared" si="278"/>
        <v>80358</v>
      </c>
      <c r="AB539" s="174">
        <f t="shared" si="279"/>
        <v>6457408164</v>
      </c>
      <c r="AD539" s="701">
        <f t="shared" si="280"/>
        <v>26.949035227656548</v>
      </c>
      <c r="AE539" s="702">
        <f t="shared" si="281"/>
        <v>-22.94010773069839</v>
      </c>
      <c r="AG539" s="701">
        <f t="shared" si="282"/>
        <v>-8.0663945378530233</v>
      </c>
      <c r="AH539" s="702">
        <f t="shared" si="283"/>
        <v>-54.742892972943025</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5">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1.0574587162952687</v>
      </c>
      <c r="N540" s="694">
        <f t="shared" si="270"/>
        <v>-0.33116744883366667</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-11.155591853251959</v>
      </c>
      <c r="X540" s="699">
        <f t="shared" si="276"/>
        <v>-179.94446133224275</v>
      </c>
      <c r="Y540" s="702">
        <f t="shared" si="277"/>
        <v>5.553866775724714E-2</v>
      </c>
      <c r="AA540" s="174">
        <f t="shared" si="278"/>
        <v>80820.5</v>
      </c>
      <c r="AB540" s="174">
        <f t="shared" si="279"/>
        <v>6531953220.25</v>
      </c>
      <c r="AD540" s="701">
        <f t="shared" si="280"/>
        <v>26.941994984240409</v>
      </c>
      <c r="AE540" s="702">
        <f t="shared" si="281"/>
        <v>-23.049123573346261</v>
      </c>
      <c r="AG540" s="701">
        <f t="shared" si="282"/>
        <v>-8.0897936494958707</v>
      </c>
      <c r="AH540" s="702">
        <f t="shared" si="283"/>
        <v>-54.599251833874007</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5">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1.0581001075090004</v>
      </c>
      <c r="N541" s="694">
        <f t="shared" si="270"/>
        <v>-0.33292595450198542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-11.22799284419626</v>
      </c>
      <c r="X541" s="699">
        <f t="shared" si="276"/>
        <v>-180.37770709032321</v>
      </c>
      <c r="Y541" s="702">
        <f t="shared" si="277"/>
        <v>-0.37770709032321292</v>
      </c>
      <c r="AA541" s="174">
        <f t="shared" si="278"/>
        <v>81283</v>
      </c>
      <c r="AB541" s="174">
        <f t="shared" si="279"/>
        <v>6606926089</v>
      </c>
      <c r="AD541" s="701">
        <f t="shared" si="280"/>
        <v>26.934926092704558</v>
      </c>
      <c r="AE541" s="702">
        <f t="shared" si="281"/>
        <v>-23.158015576492154</v>
      </c>
      <c r="AG541" s="701">
        <f t="shared" si="282"/>
        <v>-8.1128500878684591</v>
      </c>
      <c r="AH541" s="702">
        <f t="shared" si="283"/>
        <v>-54.456092507828153</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5">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1.0587597895466798</v>
      </c>
      <c r="N542" s="694">
        <f t="shared" si="270"/>
        <v>-0.33472312239186147</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-11.301824829968973</v>
      </c>
      <c r="X542" s="699">
        <f t="shared" si="276"/>
        <v>-180.82004753020811</v>
      </c>
      <c r="Y542" s="702">
        <f t="shared" si="277"/>
        <v>-0.82004753020811449</v>
      </c>
      <c r="AA542" s="174">
        <f t="shared" si="278"/>
        <v>81756.25</v>
      </c>
      <c r="AB542" s="174">
        <f t="shared" si="279"/>
        <v>6684084414.0625</v>
      </c>
      <c r="AD542" s="701">
        <f t="shared" si="280"/>
        <v>26.927663402968022</v>
      </c>
      <c r="AE542" s="702">
        <f t="shared" si="281"/>
        <v>-23.269308827891763</v>
      </c>
      <c r="AG542" s="701">
        <f t="shared" si="282"/>
        <v>-8.1360918810387197</v>
      </c>
      <c r="AH542" s="702">
        <f t="shared" si="283"/>
        <v>-54.310101750225492</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5">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1.0594228869148126</v>
      </c>
      <c r="N543" s="694">
        <f t="shared" si="270"/>
        <v>-0.33651804636265897</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-11.375404685182058</v>
      </c>
      <c r="X543" s="699">
        <f t="shared" si="276"/>
        <v>-181.26140346612073</v>
      </c>
      <c r="Y543" s="702">
        <f t="shared" si="277"/>
        <v>-1.2614034661207256</v>
      </c>
      <c r="AA543" s="174">
        <f t="shared" si="278"/>
        <v>82229.5</v>
      </c>
      <c r="AB543" s="174">
        <f t="shared" si="279"/>
        <v>6761690670.25</v>
      </c>
      <c r="AD543" s="701">
        <f t="shared" si="280"/>
        <v>26.920371043869086</v>
      </c>
      <c r="AE543" s="702">
        <f t="shared" si="281"/>
        <v>-23.380469272165239</v>
      </c>
      <c r="AG543" s="701">
        <f t="shared" si="282"/>
        <v>-8.1589832695343052</v>
      </c>
      <c r="AH543" s="702">
        <f t="shared" si="283"/>
        <v>-54.164609967215199</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5">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1.0600893932044202</v>
      </c>
      <c r="N544" s="694">
        <f t="shared" si="270"/>
        <v>-0.33831071907044952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-11.448734982333487</v>
      </c>
      <c r="X544" s="699">
        <f t="shared" si="276"/>
        <v>-181.70177701359989</v>
      </c>
      <c r="Y544" s="702">
        <f t="shared" si="277"/>
        <v>-1.7017770135998944</v>
      </c>
      <c r="AA544" s="174">
        <f t="shared" si="278"/>
        <v>82702.75</v>
      </c>
      <c r="AB544" s="174">
        <f t="shared" si="279"/>
        <v>6839744857.5625</v>
      </c>
      <c r="AD544" s="701">
        <f t="shared" si="280"/>
        <v>26.91304918052915</v>
      </c>
      <c r="AE544" s="702">
        <f t="shared" si="281"/>
        <v>-23.491495368848419</v>
      </c>
      <c r="AG544" s="701">
        <f t="shared" si="282"/>
        <v>-8.1815283922400592</v>
      </c>
      <c r="AH544" s="702">
        <f t="shared" si="283"/>
        <v>-54.01961431696148</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5">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1.0607593019897261</v>
      </c>
      <c r="N545" s="694">
        <f t="shared" si="270"/>
        <v>-0.34010113324759311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-11.521818245980702</v>
      </c>
      <c r="X545" s="699">
        <f t="shared" si="276"/>
        <v>-182.14117033150802</v>
      </c>
      <c r="Y545" s="702">
        <f t="shared" si="277"/>
        <v>-2.1411703315080217</v>
      </c>
      <c r="AA545" s="174">
        <f t="shared" si="278"/>
        <v>83176</v>
      </c>
      <c r="AB545" s="174">
        <f t="shared" si="279"/>
        <v>6918246976</v>
      </c>
      <c r="AD545" s="701">
        <f t="shared" si="280"/>
        <v>26.905697978221941</v>
      </c>
      <c r="AE545" s="702">
        <f t="shared" si="281"/>
        <v>-23.602385609802393</v>
      </c>
      <c r="AG545" s="701">
        <f t="shared" si="282"/>
        <v>-8.2037313219444368</v>
      </c>
      <c r="AH545" s="702">
        <f t="shared" si="283"/>
        <v>-53.875111917784686</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5">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1.0614486537618908</v>
      </c>
      <c r="N546" s="694">
        <f t="shared" si="270"/>
        <v>-0.34193176156480476</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-11.596385504732513</v>
      </c>
      <c r="X546" s="699">
        <f t="shared" si="276"/>
        <v>-182.58999565480232</v>
      </c>
      <c r="Y546" s="702">
        <f t="shared" si="277"/>
        <v>-2.5899956548023226</v>
      </c>
      <c r="AA546" s="174">
        <f t="shared" si="278"/>
        <v>83660.5</v>
      </c>
      <c r="AB546" s="174">
        <f t="shared" si="279"/>
        <v>6999079260.25</v>
      </c>
      <c r="AD546" s="701">
        <f t="shared" si="280"/>
        <v>26.898141803969299</v>
      </c>
      <c r="AE546" s="702">
        <f t="shared" si="281"/>
        <v>-23.715769630428877</v>
      </c>
      <c r="AG546" s="701">
        <f t="shared" si="282"/>
        <v>-8.2261117481247137</v>
      </c>
      <c r="AH546" s="702">
        <f t="shared" si="283"/>
        <v>-53.727682367124153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5">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1.0621415580365761</v>
      </c>
      <c r="N547" s="694">
        <f t="shared" si="270"/>
        <v>-0.34376000752548119</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-11.67069905192584</v>
      </c>
      <c r="X547" s="699">
        <f t="shared" si="276"/>
        <v>-183.03779830494199</v>
      </c>
      <c r="Y547" s="702">
        <f t="shared" si="277"/>
        <v>-3.0377983049419868</v>
      </c>
      <c r="AA547" s="174">
        <f t="shared" si="278"/>
        <v>84145</v>
      </c>
      <c r="AB547" s="174">
        <f t="shared" si="279"/>
        <v>7080381025</v>
      </c>
      <c r="AD547" s="701">
        <f t="shared" si="280"/>
        <v>26.890555230283123</v>
      </c>
      <c r="AE547" s="702">
        <f t="shared" si="281"/>
        <v>-23.829008161268778</v>
      </c>
      <c r="AG547" s="701">
        <f t="shared" si="282"/>
        <v>-8.2481419512194751</v>
      </c>
      <c r="AH547" s="702">
        <f t="shared" si="283"/>
        <v>-53.580763562672011</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5">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1.06283800786575</v>
      </c>
      <c r="N548" s="694">
        <f t="shared" si="270"/>
        <v>-0.34558586357929127</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-11.744761448479036</v>
      </c>
      <c r="X548" s="699">
        <f t="shared" si="276"/>
        <v>-183.48458073292022</v>
      </c>
      <c r="Y548" s="702">
        <f t="shared" si="277"/>
        <v>-3.4845807329202216</v>
      </c>
      <c r="AA548" s="174">
        <f t="shared" si="278"/>
        <v>84629.5</v>
      </c>
      <c r="AB548" s="174">
        <f t="shared" si="279"/>
        <v>7162152270.25</v>
      </c>
      <c r="AD548" s="701">
        <f t="shared" si="280"/>
        <v>26.88293843490554</v>
      </c>
      <c r="AE548" s="702">
        <f t="shared" si="281"/>
        <v>-23.94209968474993</v>
      </c>
      <c r="AG548" s="701">
        <f t="shared" si="282"/>
        <v>-8.2698260947073621</v>
      </c>
      <c r="AH548" s="702">
        <f t="shared" si="283"/>
        <v>-53.434352291353804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5">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1.0635379962840741</v>
      </c>
      <c r="N549" s="694">
        <f t="shared" si="270"/>
        <v>-0.34740932225936894</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-11.818575208027024</v>
      </c>
      <c r="X549" s="699">
        <f t="shared" si="276"/>
        <v>-183.93034543290253</v>
      </c>
      <c r="Y549" s="702">
        <f t="shared" si="277"/>
        <v>-3.9303454329025271</v>
      </c>
      <c r="AA549" s="174">
        <f t="shared" si="278"/>
        <v>85114</v>
      </c>
      <c r="AB549" s="174">
        <f t="shared" si="279"/>
        <v>7244392996</v>
      </c>
      <c r="AD549" s="701">
        <f t="shared" si="280"/>
        <v>26.875291595681674</v>
      </c>
      <c r="AE549" s="702">
        <f t="shared" si="281"/>
        <v>-24.055042715785369</v>
      </c>
      <c r="AG549" s="701">
        <f t="shared" si="282"/>
        <v>-8.2911682751262994</v>
      </c>
      <c r="AH549" s="702">
        <f t="shared" si="283"/>
        <v>-53.28844530217058</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5">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1.0642575298459922</v>
      </c>
      <c r="N550" s="694">
        <f t="shared" si="270"/>
        <v>-0.34927169308404771</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-11.893810224496965</v>
      </c>
      <c r="X550" s="699">
        <f t="shared" si="276"/>
        <v>-184.38518068730141</v>
      </c>
      <c r="Y550" s="702">
        <f t="shared" si="277"/>
        <v>-4.3851806873014141</v>
      </c>
      <c r="AA550" s="174">
        <f t="shared" si="278"/>
        <v>85609.5</v>
      </c>
      <c r="AB550" s="174">
        <f t="shared" si="279"/>
        <v>7328986490.25</v>
      </c>
      <c r="AD550" s="701">
        <f t="shared" si="280"/>
        <v>26.867440254685672</v>
      </c>
      <c r="AE550" s="702">
        <f t="shared" si="281"/>
        <v>-24.170394882781693</v>
      </c>
      <c r="AG550" s="701">
        <f t="shared" si="282"/>
        <v>-8.312645507951741</v>
      </c>
      <c r="AH550" s="702">
        <f t="shared" si="283"/>
        <v>-53.139743826723269</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5">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1.0649807497100583</v>
      </c>
      <c r="N551" s="694">
        <f t="shared" si="270"/>
        <v>-0.35113154091008197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-11.968790357608912</v>
      </c>
      <c r="X551" s="699">
        <f t="shared" si="276"/>
        <v>-184.83895688676589</v>
      </c>
      <c r="Y551" s="702">
        <f t="shared" si="277"/>
        <v>-4.8389568867658852</v>
      </c>
      <c r="AA551" s="174">
        <f t="shared" si="278"/>
        <v>86105</v>
      </c>
      <c r="AB551" s="174">
        <f t="shared" si="279"/>
        <v>7414071025</v>
      </c>
      <c r="AD551" s="701">
        <f t="shared" si="280"/>
        <v>26.859557866647904</v>
      </c>
      <c r="AE551" s="702">
        <f t="shared" si="281"/>
        <v>-24.285588697248553</v>
      </c>
      <c r="AG551" s="701">
        <f t="shared" si="282"/>
        <v>-8.3337735317270738</v>
      </c>
      <c r="AH551" s="702">
        <f t="shared" si="283"/>
        <v>-52.991562798352327</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5">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1.0657076483713801</v>
      </c>
      <c r="N552" s="694">
        <f t="shared" si="270"/>
        <v>-0.35298885802059177</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-12.043518150753984</v>
      </c>
      <c r="X552" s="699">
        <f t="shared" si="276"/>
        <v>-185.29167683243909</v>
      </c>
      <c r="Y552" s="702">
        <f t="shared" si="277"/>
        <v>-5.2916768324390944</v>
      </c>
      <c r="AA552" s="174">
        <f t="shared" si="278"/>
        <v>86600.5</v>
      </c>
      <c r="AB552" s="174">
        <f t="shared" si="279"/>
        <v>7499646600.25</v>
      </c>
      <c r="AD552" s="701">
        <f t="shared" si="280"/>
        <v>26.851644622037661</v>
      </c>
      <c r="AE552" s="702">
        <f t="shared" si="281"/>
        <v>-24.400622671535956</v>
      </c>
      <c r="AG552" s="701">
        <f t="shared" si="282"/>
        <v>-8.3545565197659819</v>
      </c>
      <c r="AH552" s="702">
        <f t="shared" si="283"/>
        <v>-52.843898625448112</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5">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1.0664382183074042</v>
      </c>
      <c r="N553" s="694">
        <f t="shared" si="270"/>
        <v>-0.35484363678952335</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-12.117996100922477</v>
      </c>
      <c r="X553" s="699">
        <f t="shared" si="276"/>
        <v>-185.74334336810418</v>
      </c>
      <c r="Y553" s="702">
        <f t="shared" si="277"/>
        <v>-5.7433433681041777</v>
      </c>
      <c r="AA553" s="174">
        <f t="shared" si="278"/>
        <v>87096</v>
      </c>
      <c r="AB553" s="174">
        <f t="shared" si="279"/>
        <v>7585713216</v>
      </c>
      <c r="AD553" s="701">
        <f t="shared" si="280"/>
        <v>26.843700711370076</v>
      </c>
      <c r="AE553" s="702">
        <f t="shared" si="281"/>
        <v>-24.515495350553444</v>
      </c>
      <c r="AG553" s="701">
        <f t="shared" si="282"/>
        <v>-8.3749985778489719</v>
      </c>
      <c r="AH553" s="702">
        <f t="shared" si="283"/>
        <v>-52.696747680846407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5">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1.067189907578336</v>
      </c>
      <c r="N554" s="694">
        <f t="shared" si="270"/>
        <v>-0.35673976149680486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-12.19398393743047</v>
      </c>
      <c r="X554" s="699">
        <f t="shared" si="276"/>
        <v>-186.20463229890024</v>
      </c>
      <c r="Y554" s="702">
        <f t="shared" si="277"/>
        <v>-6.2046322989002363</v>
      </c>
      <c r="AA554" s="174">
        <f t="shared" si="278"/>
        <v>87603.25</v>
      </c>
      <c r="AB554" s="174">
        <f t="shared" si="279"/>
        <v>7674329410.5625</v>
      </c>
      <c r="AD554" s="701">
        <f t="shared" si="280"/>
        <v>26.835536856867396</v>
      </c>
      <c r="AE554" s="702">
        <f t="shared" si="281"/>
        <v>-24.632923490121538</v>
      </c>
      <c r="AG554" s="701">
        <f t="shared" si="282"/>
        <v>-8.3955764514120794</v>
      </c>
      <c r="AH554" s="702">
        <f t="shared" si="283"/>
        <v>-52.546635089422878</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5">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1.0679454282960061</v>
      </c>
      <c r="N555" s="694">
        <f t="shared" si="270"/>
        <v>-0.35863321016705263</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-12.269715093253792</v>
      </c>
      <c r="X555" s="699">
        <f t="shared" si="276"/>
        <v>-186.66482343075123</v>
      </c>
      <c r="Y555" s="702">
        <f t="shared" si="277"/>
        <v>-6.6648234307512269</v>
      </c>
      <c r="AA555" s="174">
        <f t="shared" si="278"/>
        <v>88110.5</v>
      </c>
      <c r="AB555" s="174">
        <f t="shared" si="279"/>
        <v>7763460210.25</v>
      </c>
      <c r="AD555" s="701">
        <f t="shared" si="280"/>
        <v>26.827341268797067</v>
      </c>
      <c r="AE555" s="702">
        <f t="shared" si="281"/>
        <v>-24.750179609555975</v>
      </c>
      <c r="AG555" s="701">
        <f t="shared" si="282"/>
        <v>-8.4158055306838957</v>
      </c>
      <c r="AH555" s="702">
        <f t="shared" si="283"/>
        <v>-52.397052554993465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5">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1.0687047723344918</v>
      </c>
      <c r="N556" s="694">
        <f t="shared" si="270"/>
        <v>-0.36052397491358928</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-12.345192104177762</v>
      </c>
      <c r="X556" s="699">
        <f t="shared" si="276"/>
        <v>-187.12391994627225</v>
      </c>
      <c r="Y556" s="702">
        <f t="shared" si="277"/>
        <v>-7.1239199462722524</v>
      </c>
      <c r="AA556" s="174">
        <f t="shared" si="278"/>
        <v>88617.75</v>
      </c>
      <c r="AB556" s="174">
        <f t="shared" si="279"/>
        <v>7853105615.0625</v>
      </c>
      <c r="AD556" s="701">
        <f t="shared" si="280"/>
        <v>26.819114151596146</v>
      </c>
      <c r="AE556" s="702">
        <f t="shared" si="281"/>
        <v>-24.867262249336424</v>
      </c>
      <c r="AG556" s="701">
        <f t="shared" si="282"/>
        <v>-8.4356900092791971</v>
      </c>
      <c r="AH556" s="702">
        <f t="shared" si="283"/>
        <v>-52.247996079513463</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5">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1.0694679315498861</v>
      </c>
      <c r="N557" s="694">
        <f t="shared" si="270"/>
        <v>-0.3624120479488393</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-12.420417460313031</v>
      </c>
      <c r="X557" s="699">
        <f t="shared" si="276"/>
        <v>-187.58192507014036</v>
      </c>
      <c r="Y557" s="702">
        <f t="shared" si="277"/>
        <v>-7.5819250701403575</v>
      </c>
      <c r="AA557" s="174">
        <f t="shared" si="278"/>
        <v>89125</v>
      </c>
      <c r="AB557" s="174">
        <f t="shared" si="279"/>
        <v>7943265625</v>
      </c>
      <c r="AD557" s="701">
        <f t="shared" si="280"/>
        <v>26.810855709682386</v>
      </c>
      <c r="AE557" s="702">
        <f t="shared" si="281"/>
        <v>-24.984169982754462</v>
      </c>
      <c r="AG557" s="701">
        <f t="shared" si="282"/>
        <v>-8.4552340123941452</v>
      </c>
      <c r="AH557" s="702">
        <f t="shared" si="283"/>
        <v>-52.099461631919937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5">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1.0702527089277822</v>
      </c>
      <c r="N558" s="694">
        <f t="shared" si="270"/>
        <v>-0.36434106255608484</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-12.497127429885516</v>
      </c>
      <c r="X558" s="699">
        <f t="shared" si="276"/>
        <v>-188.04941327989823</v>
      </c>
      <c r="Y558" s="702">
        <f t="shared" si="277"/>
        <v>-8.0494132798982321</v>
      </c>
      <c r="AA558" s="174">
        <f t="shared" si="278"/>
        <v>89644</v>
      </c>
      <c r="AB558" s="174">
        <f t="shared" si="279"/>
        <v>8036046736</v>
      </c>
      <c r="AD558" s="701">
        <f t="shared" si="280"/>
        <v>26.802373759867013</v>
      </c>
      <c r="AE558" s="702">
        <f t="shared" si="281"/>
        <v>-25.103603295982019</v>
      </c>
      <c r="AG558" s="701">
        <f t="shared" si="282"/>
        <v>-8.4748825703643043</v>
      </c>
      <c r="AH558" s="702">
        <f t="shared" si="283"/>
        <v>-51.948022583381913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5">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1.0710414629754001</v>
      </c>
      <c r="N559" s="694">
        <f t="shared" si="270"/>
        <v>-0.36626724312845277</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-12.573579083784098</v>
      </c>
      <c r="X559" s="699">
        <f t="shared" si="276"/>
        <v>-188.51576590985547</v>
      </c>
      <c r="Y559" s="702">
        <f t="shared" si="277"/>
        <v>-8.5157659098554745</v>
      </c>
      <c r="AA559" s="174">
        <f t="shared" si="278"/>
        <v>90163</v>
      </c>
      <c r="AB559" s="174">
        <f t="shared" si="279"/>
        <v>8129366569</v>
      </c>
      <c r="AD559" s="701">
        <f t="shared" si="280"/>
        <v>26.793859450130494</v>
      </c>
      <c r="AE559" s="702">
        <f t="shared" si="281"/>
        <v>-25.222850586391669</v>
      </c>
      <c r="AG559" s="701">
        <f t="shared" si="282"/>
        <v>-8.4941832201117133</v>
      </c>
      <c r="AH559" s="702">
        <f t="shared" si="283"/>
        <v>-51.797121390037347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5">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1.0718341849135438</v>
      </c>
      <c r="N560" s="694">
        <f t="shared" si="270"/>
        <v>-0.36819058164547169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-12.649774948682479</v>
      </c>
      <c r="X560" s="699">
        <f t="shared" si="276"/>
        <v>-188.98098654331596</v>
      </c>
      <c r="Y560" s="702">
        <f t="shared" si="277"/>
        <v>-8.9809865433159644</v>
      </c>
      <c r="AA560" s="174">
        <f t="shared" si="278"/>
        <v>90682</v>
      </c>
      <c r="AB560" s="174">
        <f t="shared" si="279"/>
        <v>8223225124</v>
      </c>
      <c r="AD560" s="701">
        <f t="shared" si="280"/>
        <v>26.785312999255879</v>
      </c>
      <c r="AE560" s="702">
        <f t="shared" si="281"/>
        <v>-25.341910428042727</v>
      </c>
      <c r="AG560" s="701">
        <f t="shared" si="282"/>
        <v>-8.5131401665704036</v>
      </c>
      <c r="AH560" s="702">
        <f t="shared" si="283"/>
        <v>-51.646753636050811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5">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1.07263086594487</v>
      </c>
      <c r="N561" s="694">
        <f t="shared" si="270"/>
        <v>-0.37011107019442763</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-12.725717506431685</v>
      </c>
      <c r="X561" s="699">
        <f t="shared" si="276"/>
        <v>-189.44507880475493</v>
      </c>
      <c r="Y561" s="702">
        <f t="shared" si="277"/>
        <v>-9.4450788047549281</v>
      </c>
      <c r="AA561" s="174">
        <f t="shared" si="278"/>
        <v>91201</v>
      </c>
      <c r="AB561" s="174">
        <f t="shared" si="279"/>
        <v>8317622401</v>
      </c>
      <c r="AD561" s="701">
        <f t="shared" si="280"/>
        <v>26.776734625932505</v>
      </c>
      <c r="AE561" s="702">
        <f t="shared" si="281"/>
        <v>-25.460781428036761</v>
      </c>
      <c r="AG561" s="701">
        <f t="shared" si="282"/>
        <v>-8.5317575454922299</v>
      </c>
      <c r="AH561" s="702">
        <f t="shared" si="283"/>
        <v>-51.496914875497424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5">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1.0734500556143001</v>
      </c>
      <c r="N562" s="694">
        <f t="shared" si="270"/>
        <v>-0.37207300539062838</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-12.8031563440511</v>
      </c>
      <c r="X562" s="699">
        <f t="shared" si="276"/>
        <v>-189.91873753718306</v>
      </c>
      <c r="Y562" s="702">
        <f t="shared" si="277"/>
        <v>-9.9187375371830626</v>
      </c>
      <c r="AA562" s="174">
        <f t="shared" si="278"/>
        <v>91732</v>
      </c>
      <c r="AB562" s="174">
        <f t="shared" si="279"/>
        <v>8414759824</v>
      </c>
      <c r="AD562" s="701">
        <f t="shared" si="280"/>
        <v>26.767925098558717</v>
      </c>
      <c r="AE562" s="702">
        <f t="shared" si="281"/>
        <v>-25.582204030153409</v>
      </c>
      <c r="AG562" s="701">
        <f t="shared" si="282"/>
        <v>-8.5504581909902608</v>
      </c>
      <c r="AH562" s="702">
        <f t="shared" si="283"/>
        <v>-51.344154449543232</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5">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1.0742733708857735</v>
      </c>
      <c r="N563" s="694">
        <f t="shared" si="270"/>
        <v>-0.37403194089190417</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-12.880335142995119</v>
      </c>
      <c r="X563" s="699">
        <f t="shared" si="276"/>
        <v>-190.39122291797705</v>
      </c>
      <c r="Y563" s="702">
        <f t="shared" si="277"/>
        <v>-10.391222917977046</v>
      </c>
      <c r="AA563" s="174">
        <f t="shared" si="278"/>
        <v>92263</v>
      </c>
      <c r="AB563" s="174">
        <f t="shared" si="279"/>
        <v>8512461169</v>
      </c>
      <c r="AD563" s="701">
        <f t="shared" si="280"/>
        <v>26.759082618243497</v>
      </c>
      <c r="AE563" s="702">
        <f t="shared" si="281"/>
        <v>-25.703426110266367</v>
      </c>
      <c r="AG563" s="701">
        <f t="shared" si="282"/>
        <v>-8.5688119275202439</v>
      </c>
      <c r="AH563" s="702">
        <f t="shared" si="283"/>
        <v>-51.191938256275563</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5">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1.0751008022810968</v>
      </c>
      <c r="N564" s="694">
        <f t="shared" si="270"/>
        <v>-0.37598786857254662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-12.9572564234597</v>
      </c>
      <c r="X564" s="699">
        <f t="shared" si="276"/>
        <v>-190.86253895505195</v>
      </c>
      <c r="Y564" s="702">
        <f t="shared" si="277"/>
        <v>-10.862538955051946</v>
      </c>
      <c r="AA564" s="174">
        <f t="shared" si="278"/>
        <v>92794</v>
      </c>
      <c r="AB564" s="174">
        <f t="shared" si="279"/>
        <v>8610726436</v>
      </c>
      <c r="AD564" s="701">
        <f t="shared" si="280"/>
        <v>26.750207418780757</v>
      </c>
      <c r="AE564" s="702">
        <f t="shared" si="281"/>
        <v>-25.824446279610026</v>
      </c>
      <c r="AG564" s="701">
        <f t="shared" si="282"/>
        <v>-8.5868229683911927</v>
      </c>
      <c r="AH564" s="702">
        <f t="shared" si="283"/>
        <v>-51.040261445694348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5">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1.07593234030392</v>
      </c>
      <c r="N565" s="694">
        <f t="shared" si="270"/>
        <v>-0.37794078042383522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-13.033922661700529</v>
      </c>
      <c r="X565" s="699">
        <f t="shared" si="276"/>
        <v>-191.3326896963699</v>
      </c>
      <c r="Y565" s="702">
        <f t="shared" si="277"/>
        <v>-11.332689696369897</v>
      </c>
      <c r="AA565" s="174">
        <f t="shared" si="278"/>
        <v>93325</v>
      </c>
      <c r="AB565" s="174">
        <f t="shared" si="279"/>
        <v>8709555625</v>
      </c>
      <c r="AD565" s="701">
        <f t="shared" si="280"/>
        <v>26.7412997337862</v>
      </c>
      <c r="AE565" s="702">
        <f t="shared" si="281"/>
        <v>-25.945263182733125</v>
      </c>
      <c r="AG565" s="701">
        <f t="shared" si="282"/>
        <v>-8.6044954569546466</v>
      </c>
      <c r="AH565" s="702">
        <f t="shared" si="283"/>
        <v>-50.889119140965988</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5">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1.0767876959822644</v>
      </c>
      <c r="N566" s="694">
        <f t="shared" si="270"/>
        <v>-0.37993653338390654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-13.112132081756805</v>
      </c>
      <c r="X566" s="699">
        <f t="shared" si="276"/>
        <v>-191.81270551594204</v>
      </c>
      <c r="Y566" s="702">
        <f t="shared" si="277"/>
        <v>-11.812705515942042</v>
      </c>
      <c r="AA566" s="174">
        <f t="shared" si="278"/>
        <v>93868.5</v>
      </c>
      <c r="AB566" s="174">
        <f t="shared" si="279"/>
        <v>8811295292.25</v>
      </c>
      <c r="AD566" s="701">
        <f t="shared" si="280"/>
        <v>26.732148959526153</v>
      </c>
      <c r="AE566" s="702">
        <f t="shared" si="281"/>
        <v>-26.068712294449778</v>
      </c>
      <c r="AG566" s="701">
        <f t="shared" si="282"/>
        <v>-8.6222376163964505</v>
      </c>
      <c r="AH566" s="702">
        <f t="shared" si="283"/>
        <v>-50.734967283461131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5">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1.0776473337198389</v>
      </c>
      <c r="N567" s="694">
        <f t="shared" si="270"/>
        <v>-0.38192911025137999</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-13.190079424277554</v>
      </c>
      <c r="X567" s="699">
        <f t="shared" si="276"/>
        <v>-192.29150923546459</v>
      </c>
      <c r="Y567" s="702">
        <f t="shared" si="277"/>
        <v>-12.291509235464588</v>
      </c>
      <c r="AA567" s="174">
        <f t="shared" si="278"/>
        <v>94412</v>
      </c>
      <c r="AB567" s="174">
        <f t="shared" si="279"/>
        <v>8913625744</v>
      </c>
      <c r="AD567" s="701">
        <f t="shared" si="280"/>
        <v>26.722964646881067</v>
      </c>
      <c r="AE567" s="702">
        <f t="shared" si="281"/>
        <v>-26.191945687875471</v>
      </c>
      <c r="AG567" s="701">
        <f t="shared" si="282"/>
        <v>-8.6396336616020584</v>
      </c>
      <c r="AH567" s="702">
        <f t="shared" si="283"/>
        <v>-50.581364974595758</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5">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1.0785112432774744</v>
      </c>
      <c r="N568" s="694">
        <f t="shared" si="270"/>
        <v>-0.38391850281732098</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-13.267767209308873</v>
      </c>
      <c r="X568" s="699">
        <f t="shared" si="276"/>
        <v>-192.76910531805939</v>
      </c>
      <c r="Y568" s="702">
        <f t="shared" si="277"/>
        <v>-12.769105318059388</v>
      </c>
      <c r="AA568" s="174">
        <f t="shared" si="278"/>
        <v>94955.5</v>
      </c>
      <c r="AB568" s="174">
        <f t="shared" si="279"/>
        <v>9016546980.25</v>
      </c>
      <c r="AD568" s="701">
        <f t="shared" si="280"/>
        <v>26.713747045658103</v>
      </c>
      <c r="AE568" s="702">
        <f t="shared" si="281"/>
        <v>-26.314962013629163</v>
      </c>
      <c r="AG568" s="701">
        <f t="shared" si="282"/>
        <v>-8.6566878167190904</v>
      </c>
      <c r="AH568" s="702">
        <f t="shared" si="283"/>
        <v>-50.428306906954539</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5">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1.0793794143979818</v>
      </c>
      <c r="N569" s="694">
        <f t="shared" si="270"/>
        <v>-0.38590470299982982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-13.345197913791733</v>
      </c>
      <c r="X569" s="699">
        <f t="shared" si="276"/>
        <v>-193.24549826560531</v>
      </c>
      <c r="Y569" s="702">
        <f t="shared" si="277"/>
        <v>-13.245498265605306</v>
      </c>
      <c r="AA569" s="174">
        <f t="shared" si="278"/>
        <v>95499</v>
      </c>
      <c r="AB569" s="174">
        <f t="shared" si="279"/>
        <v>9120059001</v>
      </c>
      <c r="AD569" s="701">
        <f t="shared" si="280"/>
        <v>26.704496405390159</v>
      </c>
      <c r="AE569" s="702">
        <f t="shared" si="281"/>
        <v>-26.43775995601623</v>
      </c>
      <c r="AG569" s="701">
        <f t="shared" si="282"/>
        <v>-8.6734042350244795</v>
      </c>
      <c r="AH569" s="702">
        <f t="shared" si="283"/>
        <v>-50.27578774983197</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5">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1.0811697355983199</v>
      </c>
      <c r="N570" s="694">
        <f t="shared" si="270"/>
        <v>-0.38996030370856827</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-13.502900745575367</v>
      </c>
      <c r="X570" s="699">
        <f t="shared" si="276"/>
        <v>-194.21690290778409</v>
      </c>
      <c r="Y570" s="702">
        <f t="shared" si="277"/>
        <v>-14.216902907784089</v>
      </c>
      <c r="AA570" s="174">
        <f t="shared" si="278"/>
        <v>96611.5</v>
      </c>
      <c r="AB570" s="174">
        <f t="shared" si="279"/>
        <v>9333781932.25</v>
      </c>
      <c r="AD570" s="701">
        <f t="shared" si="280"/>
        <v>26.685459121465051</v>
      </c>
      <c r="AE570" s="702">
        <f t="shared" si="281"/>
        <v>-26.688430923819713</v>
      </c>
      <c r="AG570" s="701">
        <f t="shared" si="282"/>
        <v>-8.7065852815918774</v>
      </c>
      <c r="AH570" s="702">
        <f t="shared" si="283"/>
        <v>-49.965251520685563</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5">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1.0829777808012191</v>
      </c>
      <c r="N571" s="694">
        <f t="shared" si="270"/>
        <v>-0.39400242896360194</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-13.659556958219358</v>
      </c>
      <c r="X571" s="699">
        <f t="shared" si="276"/>
        <v>-195.18332502356239</v>
      </c>
      <c r="Y571" s="702">
        <f t="shared" si="277"/>
        <v>-15.183325023562389</v>
      </c>
      <c r="AA571" s="174">
        <f t="shared" si="278"/>
        <v>97724</v>
      </c>
      <c r="AB571" s="174">
        <f t="shared" si="279"/>
        <v>9549980176</v>
      </c>
      <c r="AD571" s="701">
        <f t="shared" si="280"/>
        <v>26.666286585408393</v>
      </c>
      <c r="AE571" s="702">
        <f t="shared" si="281"/>
        <v>-26.938170972321526</v>
      </c>
      <c r="AG571" s="701">
        <f t="shared" si="282"/>
        <v>-8.7384024315469038</v>
      </c>
      <c r="AH571" s="702">
        <f t="shared" si="283"/>
        <v>-49.656904646463573</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5">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1.0848455144891864</v>
      </c>
      <c r="N572" s="694">
        <f t="shared" si="270"/>
        <v>-0.39812319577023453</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-13.8187415799762</v>
      </c>
      <c r="X572" s="699">
        <f t="shared" si="276"/>
        <v>-196.16678539115733</v>
      </c>
      <c r="Y572" s="702">
        <f t="shared" si="277"/>
        <v>-16.166785391157333</v>
      </c>
      <c r="AA572" s="174">
        <f t="shared" si="278"/>
        <v>98862</v>
      </c>
      <c r="AB572" s="174">
        <f t="shared" si="279"/>
        <v>9773695044</v>
      </c>
      <c r="AD572" s="701">
        <f t="shared" si="280"/>
        <v>26.646536868786399</v>
      </c>
      <c r="AE572" s="702">
        <f t="shared" si="281"/>
        <v>-27.192661768120008</v>
      </c>
      <c r="AG572" s="701">
        <f t="shared" si="282"/>
        <v>-8.7695721167139649</v>
      </c>
      <c r="AH572" s="702">
        <f t="shared" si="283"/>
        <v>-49.343706797909512</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5">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1.0867316061311321</v>
      </c>
      <c r="N573" s="694">
        <f t="shared" si="270"/>
        <v>-0.40222972840365107</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-13.976872022202379</v>
      </c>
      <c r="X573" s="699">
        <f t="shared" si="276"/>
        <v>-197.14511746057545</v>
      </c>
      <c r="Y573" s="702">
        <f t="shared" si="277"/>
        <v>-17.145117460575449</v>
      </c>
      <c r="AA573" s="174">
        <f t="shared" si="278"/>
        <v>100000</v>
      </c>
      <c r="AB573" s="174">
        <f t="shared" si="279"/>
        <v>10000000000</v>
      </c>
      <c r="AD573" s="701">
        <f t="shared" si="280"/>
        <v>26.62665012408587</v>
      </c>
      <c r="AE573" s="702">
        <f t="shared" si="281"/>
        <v>-27.446157804279956</v>
      </c>
      <c r="AG573" s="701">
        <f t="shared" si="282"/>
        <v>-8.7993833046409016</v>
      </c>
      <c r="AH573" s="702">
        <f t="shared" si="283"/>
        <v>-49.032701161001768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5">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1.0886813637065493</v>
      </c>
      <c r="N574" s="694">
        <f t="shared" si="270"/>
        <v>-0.40641888022659978</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-14.137682829012171</v>
      </c>
      <c r="X574" s="699">
        <f t="shared" si="276"/>
        <v>-198.14139493921942</v>
      </c>
      <c r="Y574" s="702">
        <f t="shared" si="277"/>
        <v>-18.141394939219424</v>
      </c>
      <c r="AA574" s="174">
        <f t="shared" si="278"/>
        <v>101165</v>
      </c>
      <c r="AB574" s="174">
        <f t="shared" si="279"/>
        <v>10234357225</v>
      </c>
      <c r="AD574" s="701">
        <f t="shared" si="280"/>
        <v>26.606151967583639</v>
      </c>
      <c r="AE574" s="702">
        <f t="shared" si="281"/>
        <v>-27.704627759026884</v>
      </c>
      <c r="AG574" s="701">
        <f t="shared" si="282"/>
        <v>-8.8285289658333621</v>
      </c>
      <c r="AH574" s="702">
        <f t="shared" si="283"/>
        <v>-48.716535013493491</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5">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1.0906501580393864</v>
      </c>
      <c r="N575" s="694">
        <f t="shared" si="270"/>
        <v>-0.41059298093140839</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-14.297429977056183</v>
      </c>
      <c r="X575" s="699">
        <f t="shared" si="276"/>
        <v>-199.13239172462306</v>
      </c>
      <c r="Y575" s="702">
        <f t="shared" si="277"/>
        <v>-19.132391724623062</v>
      </c>
      <c r="AA575" s="174">
        <f t="shared" si="278"/>
        <v>102330</v>
      </c>
      <c r="AB575" s="174">
        <f t="shared" si="279"/>
        <v>10471428900</v>
      </c>
      <c r="AD575" s="701">
        <f t="shared" si="280"/>
        <v>26.585514990620922</v>
      </c>
      <c r="AE575" s="702">
        <f t="shared" si="281"/>
        <v>-27.962035357591656</v>
      </c>
      <c r="AG575" s="701">
        <f t="shared" si="282"/>
        <v>-8.8563195896822364</v>
      </c>
      <c r="AH575" s="702">
        <f t="shared" si="283"/>
        <v>-48.40255949784185</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5">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1.092680748086589</v>
      </c>
      <c r="N576" s="694">
        <f t="shared" si="270"/>
        <v>-0.41484104933367583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-14.459527650026498</v>
      </c>
      <c r="X576" s="699">
        <f t="shared" si="276"/>
        <v>-200.13925285638356</v>
      </c>
      <c r="Y576" s="702">
        <f t="shared" si="277"/>
        <v>-20.139252856383564</v>
      </c>
      <c r="AA576" s="174">
        <f t="shared" si="278"/>
        <v>103520</v>
      </c>
      <c r="AB576" s="174">
        <f t="shared" si="279"/>
        <v>10716390400</v>
      </c>
      <c r="AD576" s="701">
        <f t="shared" si="280"/>
        <v>26.564294341545338</v>
      </c>
      <c r="AE576" s="702">
        <f t="shared" si="281"/>
        <v>-28.223860374764811</v>
      </c>
      <c r="AG576" s="701">
        <f t="shared" si="282"/>
        <v>-8.8833418908616668</v>
      </c>
      <c r="AH576" s="702">
        <f t="shared" si="283"/>
        <v>-48.084051476386975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5">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1.0947309833853387</v>
      </c>
      <c r="N577" s="694">
        <f t="shared" si="270"/>
        <v>-0.41907328212959899</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-14.620556689775963</v>
      </c>
      <c r="X577" s="699">
        <f t="shared" si="276"/>
        <v>-201.14070659741074</v>
      </c>
      <c r="Y577" s="702">
        <f t="shared" si="277"/>
        <v>-21.140706597410741</v>
      </c>
      <c r="AA577" s="174">
        <f t="shared" si="278"/>
        <v>104710</v>
      </c>
      <c r="AB577" s="174">
        <f t="shared" si="279"/>
        <v>10964184100</v>
      </c>
      <c r="AD577" s="701">
        <f t="shared" si="280"/>
        <v>26.542933914244195</v>
      </c>
      <c r="AE577" s="702">
        <f t="shared" si="281"/>
        <v>-28.484558150512125</v>
      </c>
      <c r="AG577" s="701">
        <f t="shared" si="282"/>
        <v>-8.9090186948028069</v>
      </c>
      <c r="AH577" s="702">
        <f t="shared" si="283"/>
        <v>-47.767714407034028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5">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1.09685318433884</v>
      </c>
      <c r="N578" s="694">
        <f t="shared" si="270"/>
        <v>-0.42339570511800001</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-14.784556679499596</v>
      </c>
      <c r="X578" s="699">
        <f t="shared" si="276"/>
        <v>-202.16184843152834</v>
      </c>
      <c r="Y578" s="702">
        <f t="shared" si="277"/>
        <v>-22.161848431528341</v>
      </c>
      <c r="AA578" s="174">
        <f t="shared" si="278"/>
        <v>105930</v>
      </c>
      <c r="AB578" s="174">
        <f t="shared" si="279"/>
        <v>11221164900</v>
      </c>
      <c r="AD578" s="701">
        <f t="shared" si="280"/>
        <v>26.520892539884656</v>
      </c>
      <c r="AE578" s="702">
        <f t="shared" si="281"/>
        <v>-28.750648859838716</v>
      </c>
      <c r="AG578" s="701">
        <f t="shared" si="282"/>
        <v>-8.9339802720200581</v>
      </c>
      <c r="AH578" s="702">
        <f t="shared" si="283"/>
        <v>-47.445595345458187</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5">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1.098995798806006</v>
      </c>
      <c r="N579" s="694">
        <f t="shared" si="270"/>
        <v>-0.4277013542021022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-14.947475085117519</v>
      </c>
      <c r="X579" s="699">
        <f t="shared" si="276"/>
        <v>-203.17741902127298</v>
      </c>
      <c r="Y579" s="702">
        <f t="shared" si="277"/>
        <v>-23.177419021272982</v>
      </c>
      <c r="AA579" s="174">
        <f t="shared" si="278"/>
        <v>107150</v>
      </c>
      <c r="AB579" s="174">
        <f t="shared" si="279"/>
        <v>11481122500</v>
      </c>
      <c r="AD579" s="701">
        <f t="shared" si="280"/>
        <v>26.498709644049327</v>
      </c>
      <c r="AE579" s="702">
        <f t="shared" si="281"/>
        <v>-29.015536954658625</v>
      </c>
      <c r="AG579" s="701">
        <f t="shared" si="282"/>
        <v>-8.9575960950313611</v>
      </c>
      <c r="AH579" s="702">
        <f t="shared" si="283"/>
        <v>-47.125634304432978</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5">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1.1012121485507695</v>
      </c>
      <c r="N580" s="694">
        <f t="shared" si="270"/>
        <v>-0.43209541817927616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-15.113298922833948</v>
      </c>
      <c r="X580" s="699">
        <f t="shared" si="276"/>
        <v>-204.2122443785214</v>
      </c>
      <c r="Y580" s="702">
        <f t="shared" si="277"/>
        <v>-24.212244378521405</v>
      </c>
      <c r="AA580" s="174">
        <f t="shared" si="278"/>
        <v>108400</v>
      </c>
      <c r="AB580" s="174">
        <f t="shared" si="279"/>
        <v>11750560000</v>
      </c>
      <c r="AD580" s="701">
        <f t="shared" si="280"/>
        <v>26.4758373140921</v>
      </c>
      <c r="AE580" s="702">
        <f t="shared" si="281"/>
        <v>-29.285682830833686</v>
      </c>
      <c r="AG580" s="701">
        <f t="shared" si="282"/>
        <v>-8.9804311536477073</v>
      </c>
      <c r="AH580" s="702">
        <f t="shared" si="283"/>
        <v>-46.799978084192468</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5">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1.1034496746264777</v>
      </c>
      <c r="N581" s="694">
        <f t="shared" si="270"/>
        <v>-0.43647174619535817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-15.278029483076512</v>
      </c>
      <c r="X581" s="699">
        <f t="shared" si="276"/>
        <v>-205.24134382747368</v>
      </c>
      <c r="Y581" s="702">
        <f t="shared" si="277"/>
        <v>-25.241343827473685</v>
      </c>
      <c r="AA581" s="174">
        <f t="shared" si="278"/>
        <v>109650</v>
      </c>
      <c r="AB581" s="174">
        <f t="shared" si="279"/>
        <v>12023122500</v>
      </c>
      <c r="AD581" s="701">
        <f t="shared" si="280"/>
        <v>26.452822154146599</v>
      </c>
      <c r="AE581" s="702">
        <f t="shared" si="281"/>
        <v>-29.554549494591388</v>
      </c>
      <c r="AG581" s="701">
        <f t="shared" si="282"/>
        <v>-9.0019219578051466</v>
      </c>
      <c r="AH581" s="702">
        <f t="shared" si="283"/>
        <v>-46.47645410959629</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5">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1.1057536337554938</v>
      </c>
      <c r="N582" s="694">
        <f t="shared" si="270"/>
        <v>-0.4409172675474351</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-15.44494953423786</v>
      </c>
      <c r="X582" s="699">
        <f t="shared" si="276"/>
        <v>-206.28519150289546</v>
      </c>
      <c r="Y582" s="702">
        <f t="shared" si="277"/>
        <v>-26.285191502895458</v>
      </c>
      <c r="AA582" s="174">
        <f t="shared" si="278"/>
        <v>110925</v>
      </c>
      <c r="AB582" s="174">
        <f t="shared" si="279"/>
        <v>12304355625</v>
      </c>
      <c r="AD582" s="701">
        <f t="shared" si="280"/>
        <v>26.429202530318634</v>
      </c>
      <c r="AE582" s="702">
        <f t="shared" si="281"/>
        <v>-29.82746778885916</v>
      </c>
      <c r="AG582" s="701">
        <f t="shared" si="282"/>
        <v>-9.0224917497247183</v>
      </c>
      <c r="AH582" s="702">
        <f t="shared" si="283"/>
        <v>-46.148586478248362</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5">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1.108079354392816</v>
      </c>
      <c r="N583" s="694">
        <f t="shared" si="270"/>
        <v>-0.4453442148913363</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-15.61077444533705</v>
      </c>
      <c r="X583" s="699">
        <f t="shared" si="276"/>
        <v>-207.32321420816234</v>
      </c>
      <c r="Y583" s="702">
        <f t="shared" si="277"/>
        <v>-27.323214208162341</v>
      </c>
      <c r="AA583" s="174">
        <f t="shared" si="278"/>
        <v>112200</v>
      </c>
      <c r="AB583" s="174">
        <f t="shared" si="279"/>
        <v>12588840000</v>
      </c>
      <c r="AD583" s="701">
        <f t="shared" si="280"/>
        <v>26.405440330230981</v>
      </c>
      <c r="AE583" s="702">
        <f t="shared" si="281"/>
        <v>-30.099039867859521</v>
      </c>
      <c r="AG583" s="701">
        <f t="shared" si="282"/>
        <v>-9.0417306666906665</v>
      </c>
      <c r="AH583" s="702">
        <f t="shared" si="283"/>
        <v>-45.822795876047856</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5">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1.1104914403912352</v>
      </c>
      <c r="N584" s="694">
        <f t="shared" si="270"/>
        <v>-0.44987328134761734</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-15.780032293496369</v>
      </c>
      <c r="X584" s="699">
        <f t="shared" si="276"/>
        <v>-208.38373544029491</v>
      </c>
      <c r="Y584" s="702">
        <f t="shared" si="277"/>
        <v>-28.383735440294913</v>
      </c>
      <c r="AA584" s="174">
        <f t="shared" si="278"/>
        <v>113510</v>
      </c>
      <c r="AB584" s="174">
        <f t="shared" si="279"/>
        <v>12884520100</v>
      </c>
      <c r="AD584" s="701">
        <f t="shared" si="280"/>
        <v>26.380880497390716</v>
      </c>
      <c r="AE584" s="702">
        <f t="shared" si="281"/>
        <v>-30.376657516397032</v>
      </c>
      <c r="AG584" s="701">
        <f t="shared" si="282"/>
        <v>-9.0601454987751069</v>
      </c>
      <c r="AH584" s="702">
        <f t="shared" si="283"/>
        <v>-45.490150552294757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5">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1.1129262062710448</v>
      </c>
      <c r="N585" s="694">
        <f t="shared" si="270"/>
        <v>-0.45438262334844653</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-15.948177294408186</v>
      </c>
      <c r="X585" s="699">
        <f t="shared" si="276"/>
        <v>-209.43825204535128</v>
      </c>
      <c r="Y585" s="702">
        <f t="shared" si="277"/>
        <v>-29.438252045351277</v>
      </c>
      <c r="AA585" s="174">
        <f t="shared" si="278"/>
        <v>114820</v>
      </c>
      <c r="AB585" s="174">
        <f t="shared" si="279"/>
        <v>13183632400</v>
      </c>
      <c r="AD585" s="701">
        <f t="shared" si="280"/>
        <v>26.356176570978391</v>
      </c>
      <c r="AE585" s="702">
        <f t="shared" si="281"/>
        <v>-30.652839990567301</v>
      </c>
      <c r="AG585" s="701">
        <f t="shared" si="282"/>
        <v>-9.0772232584535164</v>
      </c>
      <c r="AH585" s="702">
        <f t="shared" si="283"/>
        <v>-45.159545789719502</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5">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1.115430616618708</v>
      </c>
      <c r="N586" s="694">
        <f t="shared" si="270"/>
        <v>-0.45895767332273912</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-16.118408055968978</v>
      </c>
      <c r="X586" s="699">
        <f t="shared" si="276"/>
        <v>-210.50679176841888</v>
      </c>
      <c r="Y586" s="702">
        <f t="shared" si="277"/>
        <v>-30.506791768418879</v>
      </c>
      <c r="AA586" s="174">
        <f t="shared" si="278"/>
        <v>116155</v>
      </c>
      <c r="AB586" s="174">
        <f t="shared" si="279"/>
        <v>13491984025</v>
      </c>
      <c r="AD586" s="701">
        <f t="shared" si="280"/>
        <v>26.330856279188275</v>
      </c>
      <c r="AE586" s="702">
        <f t="shared" si="281"/>
        <v>-30.932810187832494</v>
      </c>
      <c r="AG586" s="701">
        <f t="shared" si="282"/>
        <v>-9.0932849707632055</v>
      </c>
      <c r="AH586" s="702">
        <f t="shared" si="283"/>
        <v>-44.82465171931311</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5">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1.117958269249048</v>
      </c>
      <c r="N587" s="694">
        <f t="shared" si="270"/>
        <v>-0.46351213031089383</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-16.28752665802083</v>
      </c>
      <c r="X587" s="699">
        <f t="shared" si="276"/>
        <v>-211.56925046196005</v>
      </c>
      <c r="Y587" s="702">
        <f t="shared" si="277"/>
        <v>-31.569250461960053</v>
      </c>
      <c r="AA587" s="174">
        <f t="shared" si="278"/>
        <v>117490</v>
      </c>
      <c r="AB587" s="174">
        <f t="shared" si="279"/>
        <v>13803900100</v>
      </c>
      <c r="AD587" s="701">
        <f t="shared" si="280"/>
        <v>26.305393054210072</v>
      </c>
      <c r="AE587" s="702">
        <f t="shared" si="281"/>
        <v>-31.211277536343722</v>
      </c>
      <c r="AG587" s="701">
        <f t="shared" si="282"/>
        <v>-9.1080249108263871</v>
      </c>
      <c r="AH587" s="702">
        <f t="shared" si="283"/>
        <v>-44.491716338376996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5">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1.1205761892594976</v>
      </c>
      <c r="N588" s="694">
        <f t="shared" si="270"/>
        <v>-0.46816453133454855</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-16.459944995802907</v>
      </c>
      <c r="X588" s="699">
        <f t="shared" si="276"/>
        <v>-212.65332410045045</v>
      </c>
      <c r="Y588" s="702">
        <f t="shared" si="277"/>
        <v>-32.653324100450448</v>
      </c>
      <c r="AA588" s="174">
        <f t="shared" si="278"/>
        <v>118860</v>
      </c>
      <c r="AB588" s="174">
        <f t="shared" si="279"/>
        <v>14127699600</v>
      </c>
      <c r="AD588" s="701">
        <f t="shared" si="280"/>
        <v>26.279117158594254</v>
      </c>
      <c r="AE588" s="702">
        <f t="shared" si="281"/>
        <v>-31.495477473263026</v>
      </c>
      <c r="AG588" s="701">
        <f t="shared" si="282"/>
        <v>-9.1218104464734857</v>
      </c>
      <c r="AH588" s="702">
        <f t="shared" si="283"/>
        <v>-44.152004281064897</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5">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1.1232182505892527</v>
      </c>
      <c r="N589" s="694">
        <f t="shared" ref="N589:N613" si="302">-ATAN(G589/z_RHP)</f>
        <v>-0.4727951452140905</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-16.631236696297425</v>
      </c>
      <c r="X589" s="699">
        <f t="shared" ref="X589:X613" si="308">((L589+R589+N589+V589)-(J589+P589+T589))*radconv</f>
        <v>-213.73116176144799</v>
      </c>
      <c r="Y589" s="702">
        <f t="shared" ref="Y589:Y613" si="309">IF(X589&gt;0,X589,X589+180)</f>
        <v>-33.731161761447993</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-9.1342705543008726</v>
      </c>
      <c r="AH589" s="702">
        <f t="shared" ref="AH589:AH613" si="315">(L589+N589-(J589+V589))*radconv</f>
        <v>-43.814183604276145</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5">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1.1346671556779595</v>
      </c>
      <c r="N590" s="694">
        <f t="shared" si="302"/>
        <v>-0.49215688970198401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-17.344424404625666</v>
      </c>
      <c r="X590" s="699">
        <f t="shared" si="308"/>
        <v>-218.227156995044</v>
      </c>
      <c r="Y590" s="702">
        <f t="shared" si="309"/>
        <v>-38.227156995043998</v>
      </c>
      <c r="AA590" s="174">
        <f t="shared" si="310"/>
        <v>126030</v>
      </c>
      <c r="AB590" s="174">
        <f t="shared" si="311"/>
        <v>15883560900</v>
      </c>
      <c r="AD590" s="701">
        <f t="shared" si="312"/>
        <v>26.1393417947017</v>
      </c>
      <c r="AE590" s="702">
        <f t="shared" si="313"/>
        <v>-32.95677510173924</v>
      </c>
      <c r="AG590" s="701">
        <f t="shared" si="314"/>
        <v>-9.1730460049935836</v>
      </c>
      <c r="AH590" s="702">
        <f t="shared" si="315"/>
        <v>-42.402973694169674</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5">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1.1465328346364121</v>
      </c>
      <c r="N591" s="694">
        <f t="shared" si="302"/>
        <v>-0.51112486812200708</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-18.03936075794979</v>
      </c>
      <c r="X591" s="699">
        <f t="shared" si="308"/>
        <v>-222.61943814971426</v>
      </c>
      <c r="Y591" s="702">
        <f t="shared" si="309"/>
        <v>-42.619438149714256</v>
      </c>
      <c r="AA591" s="174">
        <f t="shared" si="310"/>
        <v>131830</v>
      </c>
      <c r="AB591" s="174">
        <f t="shared" si="311"/>
        <v>17379148900</v>
      </c>
      <c r="AD591" s="701">
        <f t="shared" si="312"/>
        <v>26.023740080693585</v>
      </c>
      <c r="AE591" s="702">
        <f t="shared" si="313"/>
        <v>-34.106611219246382</v>
      </c>
      <c r="AG591" s="701">
        <f t="shared" si="314"/>
        <v>-9.1907793799800448</v>
      </c>
      <c r="AH591" s="702">
        <f t="shared" si="315"/>
        <v>-41.017697086743823</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5">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1.1739300114709061</v>
      </c>
      <c r="N592" s="694">
        <f t="shared" si="302"/>
        <v>-0.55130910519389764</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-19.505315982687954</v>
      </c>
      <c r="X592" s="699">
        <f t="shared" si="308"/>
        <v>-231.91392150224161</v>
      </c>
      <c r="Y592" s="702">
        <f t="shared" si="309"/>
        <v>-51.913921502241607</v>
      </c>
      <c r="AA592" s="174">
        <f t="shared" si="310"/>
        <v>144540</v>
      </c>
      <c r="AB592" s="174">
        <f t="shared" si="311"/>
        <v>20891811600</v>
      </c>
      <c r="AD592" s="701">
        <f t="shared" si="312"/>
        <v>25.763765043160276</v>
      </c>
      <c r="AE592" s="702">
        <f t="shared" si="313"/>
        <v>-36.525312484200356</v>
      </c>
      <c r="AG592" s="701">
        <f t="shared" si="314"/>
        <v>-9.1645754348012876</v>
      </c>
      <c r="AH592" s="702">
        <f t="shared" si="315"/>
        <v>-38.042392565301384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5">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1.206075925285053</v>
      </c>
      <c r="N593" s="694">
        <f t="shared" si="302"/>
        <v>-0.59323734196227174</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-21.037634058630708</v>
      </c>
      <c r="X593" s="699">
        <f t="shared" si="308"/>
        <v>-241.6599734120976</v>
      </c>
      <c r="Y593" s="702">
        <f t="shared" si="309"/>
        <v>-61.6599734120976</v>
      </c>
      <c r="AA593" s="174">
        <f t="shared" si="310"/>
        <v>158490</v>
      </c>
      <c r="AB593" s="174">
        <f t="shared" si="311"/>
        <v>25119080100</v>
      </c>
      <c r="AD593" s="701">
        <f t="shared" si="312"/>
        <v>25.470245616071296</v>
      </c>
      <c r="AE593" s="702">
        <f t="shared" si="313"/>
        <v>-39.022104297143159</v>
      </c>
      <c r="AG593" s="701">
        <f t="shared" si="314"/>
        <v>-9.0463088081249783</v>
      </c>
      <c r="AH593" s="702">
        <f t="shared" si="315"/>
        <v>-34.811245839804968</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5">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1.2436105514773794</v>
      </c>
      <c r="N594" s="694">
        <f t="shared" si="302"/>
        <v>-0.63661905132547647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-22.644451154484742</v>
      </c>
      <c r="X594" s="699">
        <f t="shared" si="308"/>
        <v>-251.8997281576419</v>
      </c>
      <c r="Y594" s="702">
        <f t="shared" si="309"/>
        <v>-71.899728157641903</v>
      </c>
      <c r="AA594" s="174">
        <f t="shared" si="310"/>
        <v>173780</v>
      </c>
      <c r="AB594" s="174">
        <f t="shared" si="311"/>
        <v>30199488400</v>
      </c>
      <c r="AD594" s="701">
        <f t="shared" si="312"/>
        <v>25.141890801048167</v>
      </c>
      <c r="AE594" s="702">
        <f t="shared" si="313"/>
        <v>-41.574744849106672</v>
      </c>
      <c r="AG594" s="701">
        <f t="shared" si="314"/>
        <v>-8.8225311904239678</v>
      </c>
      <c r="AH594" s="702">
        <f t="shared" si="315"/>
        <v>-31.221327329228373</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5">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1.2873018414124511</v>
      </c>
      <c r="N595" s="694">
        <f t="shared" si="302"/>
        <v>-0.68119844138318275</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-24.345026124460869</v>
      </c>
      <c r="X595" s="699">
        <f t="shared" si="308"/>
        <v>-262.73741852771786</v>
      </c>
      <c r="Y595" s="702">
        <f t="shared" si="309"/>
        <v>-82.737418527717864</v>
      </c>
      <c r="AA595" s="174">
        <f t="shared" si="310"/>
        <v>190550</v>
      </c>
      <c r="AB595" s="174">
        <f t="shared" si="311"/>
        <v>36309302500</v>
      </c>
      <c r="AD595" s="701">
        <f t="shared" si="312"/>
        <v>24.777313356132204</v>
      </c>
      <c r="AE595" s="702">
        <f t="shared" si="313"/>
        <v>-44.16407882802968</v>
      </c>
      <c r="AG595" s="701">
        <f t="shared" si="314"/>
        <v>-8.4716632796785856</v>
      </c>
      <c r="AH595" s="702">
        <f t="shared" si="315"/>
        <v>-27.112446131204795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5">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1.3379213927977605</v>
      </c>
      <c r="N596" s="694">
        <f t="shared" si="302"/>
        <v>-0.72661412074960308</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-26.171676750045375</v>
      </c>
      <c r="X596" s="699">
        <f t="shared" si="308"/>
        <v>-274.330186934003</v>
      </c>
      <c r="Y596" s="702">
        <f t="shared" si="309"/>
        <v>-94.330186934002995</v>
      </c>
      <c r="AA596" s="174">
        <f t="shared" si="310"/>
        <v>208930</v>
      </c>
      <c r="AB596" s="174">
        <f t="shared" si="311"/>
        <v>43651744900</v>
      </c>
      <c r="AD596" s="701">
        <f t="shared" si="312"/>
        <v>24.376186454266442</v>
      </c>
      <c r="AE596" s="702">
        <f t="shared" si="313"/>
        <v>-46.766099675312738</v>
      </c>
      <c r="AG596" s="701">
        <f t="shared" si="314"/>
        <v>-7.9573565304127118</v>
      </c>
      <c r="AH596" s="702">
        <f t="shared" si="315"/>
        <v>-22.255199610166351</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5">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1.396371250417749</v>
      </c>
      <c r="N597" s="694">
        <f t="shared" si="302"/>
        <v>-0.77253748379007492</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-28.190605989842474</v>
      </c>
      <c r="X597" s="699">
        <f t="shared" si="308"/>
        <v>-286.96085213886408</v>
      </c>
      <c r="Y597" s="702">
        <f t="shared" si="309"/>
        <v>-106.96085213886408</v>
      </c>
      <c r="AA597" s="174">
        <f t="shared" si="310"/>
        <v>229090</v>
      </c>
      <c r="AB597" s="174">
        <f t="shared" si="311"/>
        <v>52482228100</v>
      </c>
      <c r="AD597" s="701">
        <f t="shared" si="312"/>
        <v>23.938225118154275</v>
      </c>
      <c r="AE597" s="702">
        <f t="shared" si="313"/>
        <v>-49.360242832493199</v>
      </c>
      <c r="AG597" s="701">
        <f t="shared" si="314"/>
        <v>-7.211669271108315</v>
      </c>
      <c r="AH597" s="702">
        <f t="shared" si="315"/>
        <v>-16.299522109950331</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5">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1.4635416530217662</v>
      </c>
      <c r="N598" s="694">
        <f t="shared" si="302"/>
        <v>-0.81855907126013538</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-30.533945059503868</v>
      </c>
      <c r="X598" s="699">
        <f t="shared" si="308"/>
        <v>-301.06811846868965</v>
      </c>
      <c r="Y598" s="702">
        <f t="shared" si="309"/>
        <v>-121.06811846868965</v>
      </c>
      <c r="AA598" s="174">
        <f t="shared" si="310"/>
        <v>251190</v>
      </c>
      <c r="AB598" s="174">
        <f t="shared" si="311"/>
        <v>63096416100</v>
      </c>
      <c r="AD598" s="701">
        <f t="shared" si="312"/>
        <v>23.464301545813719</v>
      </c>
      <c r="AE598" s="702">
        <f t="shared" si="313"/>
        <v>-51.923002738973317</v>
      </c>
      <c r="AG598" s="701">
        <f t="shared" si="314"/>
        <v>-6.0994332656212489</v>
      </c>
      <c r="AH598" s="702">
        <f t="shared" si="315"/>
        <v>-8.728050211407</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5">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1.540417942244426</v>
      </c>
      <c r="N599" s="694">
        <f t="shared" si="302"/>
        <v>-0.86429770484484725</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-33.502368112854825</v>
      </c>
      <c r="X599" s="699">
        <f t="shared" si="308"/>
        <v>-317.34751444770734</v>
      </c>
      <c r="Y599" s="702">
        <f t="shared" si="309"/>
        <v>-137.34751444770734</v>
      </c>
      <c r="AA599" s="174">
        <f t="shared" si="310"/>
        <v>275420</v>
      </c>
      <c r="AB599" s="174">
        <f t="shared" si="311"/>
        <v>75856176400</v>
      </c>
      <c r="AD599" s="701">
        <f t="shared" si="312"/>
        <v>22.955562257354515</v>
      </c>
      <c r="AE599" s="702">
        <f t="shared" si="313"/>
        <v>-54.434142428718481</v>
      </c>
      <c r="AG599" s="701">
        <f t="shared" si="314"/>
        <v>-4.3183940437358208</v>
      </c>
      <c r="AH599" s="702">
        <f t="shared" si="315"/>
        <v>1.2283438911269287</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5">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1.6280850463548822</v>
      </c>
      <c r="N600" s="694">
        <f t="shared" si="302"/>
        <v>-0.90940103102358827</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-37.890739615198981</v>
      </c>
      <c r="X600" s="699">
        <f t="shared" si="308"/>
        <v>-336.7571356904611</v>
      </c>
      <c r="Y600" s="702">
        <f t="shared" si="309"/>
        <v>-156.7571356904611</v>
      </c>
      <c r="AA600" s="174">
        <f t="shared" si="310"/>
        <v>302000</v>
      </c>
      <c r="AB600" s="174">
        <f t="shared" si="311"/>
        <v>91204000000</v>
      </c>
      <c r="AD600" s="701">
        <f t="shared" si="312"/>
        <v>22.413412245024659</v>
      </c>
      <c r="AE600" s="702">
        <f t="shared" si="313"/>
        <v>-56.876468905518337</v>
      </c>
      <c r="AG600" s="701">
        <f t="shared" si="314"/>
        <v>-1.073072956529435</v>
      </c>
      <c r="AH600" s="702">
        <f t="shared" si="315"/>
        <v>14.596350458135886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5">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1.7275572413324281</v>
      </c>
      <c r="N601" s="694">
        <f t="shared" si="302"/>
        <v>-0.95347615704936839</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-46.850577357873519</v>
      </c>
      <c r="X601" s="699">
        <f t="shared" si="308"/>
        <v>-360.0758386826746</v>
      </c>
      <c r="Y601" s="702">
        <f t="shared" si="309"/>
        <v>-180.0758386826746</v>
      </c>
      <c r="AA601" s="174">
        <f t="shared" si="310"/>
        <v>331130</v>
      </c>
      <c r="AB601" s="174">
        <f t="shared" si="311"/>
        <v>109647076900</v>
      </c>
      <c r="AD601" s="701">
        <f t="shared" si="312"/>
        <v>21.840462199252933</v>
      </c>
      <c r="AE601" s="702">
        <f t="shared" si="313"/>
        <v>-59.231846228384406</v>
      </c>
      <c r="AG601" s="701">
        <f t="shared" si="314"/>
        <v>6.7898241037613181</v>
      </c>
      <c r="AH601" s="702">
        <f t="shared" si="315"/>
        <v>32.227246244881663</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5">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1.8400761448390504</v>
      </c>
      <c r="N602" s="694">
        <f t="shared" si="302"/>
        <v>-0.99624790891744452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-51.578942233186467</v>
      </c>
      <c r="X602" s="699">
        <f t="shared" si="308"/>
        <v>-206.68497968587957</v>
      </c>
      <c r="Y602" s="702">
        <f t="shared" si="309"/>
        <v>-26.684979685879568</v>
      </c>
      <c r="AA602" s="174">
        <f t="shared" si="310"/>
        <v>363080</v>
      </c>
      <c r="AB602" s="174">
        <f t="shared" si="311"/>
        <v>131827086400</v>
      </c>
      <c r="AD602" s="701">
        <f t="shared" si="312"/>
        <v>21.238633749384725</v>
      </c>
      <c r="AE602" s="702">
        <f t="shared" si="313"/>
        <v>-61.489398060057276</v>
      </c>
      <c r="AG602" s="701">
        <f t="shared" si="314"/>
        <v>10.466692561276972</v>
      </c>
      <c r="AH602" s="702">
        <f t="shared" si="315"/>
        <v>-126.44258479597461</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5">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1.9668423856081627</v>
      </c>
      <c r="N603" s="694">
        <f t="shared" si="302"/>
        <v>-1.0374367507203486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-42.753159049807138</v>
      </c>
      <c r="X603" s="699">
        <f t="shared" si="308"/>
        <v>-233.62064309142463</v>
      </c>
      <c r="Y603" s="702">
        <f t="shared" si="309"/>
        <v>-53.620643091424625</v>
      </c>
      <c r="AA603" s="174">
        <f t="shared" si="310"/>
        <v>398110</v>
      </c>
      <c r="AB603" s="174">
        <f t="shared" si="311"/>
        <v>158491572100</v>
      </c>
      <c r="AD603" s="701">
        <f t="shared" si="312"/>
        <v>20.610685423701931</v>
      </c>
      <c r="AE603" s="702">
        <f t="shared" si="313"/>
        <v>-63.638566210118348</v>
      </c>
      <c r="AG603" s="701">
        <f t="shared" si="314"/>
        <v>0.63516801415205904</v>
      </c>
      <c r="AH603" s="702">
        <f t="shared" si="315"/>
        <v>-104.32345579349457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5">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2.1091882460527756</v>
      </c>
      <c r="N604" s="694">
        <f t="shared" si="302"/>
        <v>-1.0768365278767893</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-40.883904975681858</v>
      </c>
      <c r="X604" s="699">
        <f t="shared" si="308"/>
        <v>-257.94870492977765</v>
      </c>
      <c r="Y604" s="702">
        <f t="shared" si="309"/>
        <v>-77.948704929777648</v>
      </c>
      <c r="AA604" s="174">
        <f t="shared" si="310"/>
        <v>436520</v>
      </c>
      <c r="AB604" s="174">
        <f t="shared" si="311"/>
        <v>190549710400</v>
      </c>
      <c r="AD604" s="701">
        <f t="shared" si="312"/>
        <v>19.959167576517196</v>
      </c>
      <c r="AE604" s="702">
        <f t="shared" si="313"/>
        <v>-65.672917710223075</v>
      </c>
      <c r="AG604" s="701">
        <f t="shared" si="314"/>
        <v>-2.1944433600202338</v>
      </c>
      <c r="AH604" s="702">
        <f t="shared" si="315"/>
        <v>-84.307387287238001</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5">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2.2685102149071659</v>
      </c>
      <c r="N605" s="694">
        <f t="shared" si="302"/>
        <v>-1.1142866012476109</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-41.047730700058523</v>
      </c>
      <c r="X605" s="699">
        <f t="shared" si="308"/>
        <v>-279.2857468692934</v>
      </c>
      <c r="Y605" s="702">
        <f t="shared" si="309"/>
        <v>-99.285746869293405</v>
      </c>
      <c r="AA605" s="174">
        <f t="shared" si="310"/>
        <v>478630</v>
      </c>
      <c r="AB605" s="174">
        <f t="shared" si="311"/>
        <v>229086676900</v>
      </c>
      <c r="AD605" s="701">
        <f t="shared" si="312"/>
        <v>19.286745881814337</v>
      </c>
      <c r="AE605" s="702">
        <f t="shared" si="313"/>
        <v>-67.588373437493217</v>
      </c>
      <c r="AG605" s="701">
        <f t="shared" si="314"/>
        <v>-2.945752597696305</v>
      </c>
      <c r="AH605" s="702">
        <f t="shared" si="315"/>
        <v>-66.743781296996644</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5">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2.4463861394854978</v>
      </c>
      <c r="N606" s="694">
        <f t="shared" si="302"/>
        <v>-1.1496945627753081</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-42.215738511699293</v>
      </c>
      <c r="X606" s="699">
        <f t="shared" si="308"/>
        <v>-299.24265132303884</v>
      </c>
      <c r="Y606" s="702">
        <f t="shared" si="309"/>
        <v>-119.24265132303884</v>
      </c>
      <c r="AA606" s="174">
        <f t="shared" si="310"/>
        <v>524810</v>
      </c>
      <c r="AB606" s="174">
        <f t="shared" si="311"/>
        <v>275425536100</v>
      </c>
      <c r="AD606" s="701">
        <f t="shared" si="312"/>
        <v>18.595693084520853</v>
      </c>
      <c r="AE606" s="702">
        <f t="shared" si="313"/>
        <v>-69.384144047341096</v>
      </c>
      <c r="AG606" s="701">
        <f t="shared" si="314"/>
        <v>-2.6480470393889322</v>
      </c>
      <c r="AH606" s="702">
        <f t="shared" si="315"/>
        <v>-49.998099413782491</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5">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2.644427582224214</v>
      </c>
      <c r="N607" s="694">
        <f t="shared" si="302"/>
        <v>-1.1829952735734757</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-44.276817319635128</v>
      </c>
      <c r="X607" s="699">
        <f t="shared" si="308"/>
        <v>-320.62692597386302</v>
      </c>
      <c r="Y607" s="702">
        <f t="shared" si="309"/>
        <v>-140.62692597386302</v>
      </c>
      <c r="AA607" s="174">
        <f t="shared" si="310"/>
        <v>575440</v>
      </c>
      <c r="AB607" s="174">
        <f t="shared" si="311"/>
        <v>331131193600</v>
      </c>
      <c r="AD607" s="701">
        <f t="shared" si="312"/>
        <v>17.888510358934901</v>
      </c>
      <c r="AE607" s="702">
        <f t="shared" si="313"/>
        <v>-71.060482689137473</v>
      </c>
      <c r="AG607" s="701">
        <f t="shared" si="314"/>
        <v>-1.4120099757416771</v>
      </c>
      <c r="AH607" s="702">
        <f t="shared" si="315"/>
        <v>-31.245469451409424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5">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2.8644766564680868</v>
      </c>
      <c r="N608" s="694">
        <f t="shared" si="302"/>
        <v>-1.2141816476478804</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-48.347491672689983</v>
      </c>
      <c r="X608" s="699">
        <f t="shared" si="308"/>
        <v>-348.30137568370043</v>
      </c>
      <c r="Y608" s="702">
        <f t="shared" si="309"/>
        <v>-168.30137568370043</v>
      </c>
      <c r="AA608" s="174">
        <f t="shared" si="310"/>
        <v>630960</v>
      </c>
      <c r="AB608" s="174">
        <f t="shared" si="311"/>
        <v>398110521600</v>
      </c>
      <c r="AD608" s="701">
        <f t="shared" si="312"/>
        <v>17.167189523716445</v>
      </c>
      <c r="AE608" s="702">
        <f t="shared" si="313"/>
        <v>-72.62015908377316</v>
      </c>
      <c r="AG608" s="701">
        <f t="shared" si="314"/>
        <v>1.8793488256719424</v>
      </c>
      <c r="AH608" s="702">
        <f t="shared" si="315"/>
        <v>-5.6148327846886215</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5">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3.1084546566753555</v>
      </c>
      <c r="N609" s="694">
        <f t="shared" si="302"/>
        <v>-1.2432684988792202</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-66.666405442907347</v>
      </c>
      <c r="X609" s="699">
        <f t="shared" si="308"/>
        <v>-388.84602394271474</v>
      </c>
      <c r="Y609" s="702">
        <f t="shared" si="309"/>
        <v>-208.84602394271474</v>
      </c>
      <c r="AA609" s="174">
        <f t="shared" si="310"/>
        <v>691830</v>
      </c>
      <c r="AB609" s="174">
        <f t="shared" si="311"/>
        <v>478628748900</v>
      </c>
      <c r="AD609" s="701">
        <f t="shared" si="312"/>
        <v>16.433808127488739</v>
      </c>
      <c r="AE609" s="702">
        <f t="shared" si="313"/>
        <v>-74.066596163650985</v>
      </c>
      <c r="AG609" s="701">
        <f t="shared" si="314"/>
        <v>19.465991972897648</v>
      </c>
      <c r="AH609" s="702">
        <f t="shared" si="315"/>
        <v>33.475933538876291</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5">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3.3785647668443883</v>
      </c>
      <c r="N610" s="694">
        <f t="shared" si="302"/>
        <v>-1.2703111590742862</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-52.384215368918831</v>
      </c>
      <c r="X610" s="699">
        <f t="shared" si="308"/>
        <v>-254.91344154655866</v>
      </c>
      <c r="Y610" s="702">
        <f t="shared" si="309"/>
        <v>-74.913441546558659</v>
      </c>
      <c r="AA610" s="174">
        <f t="shared" si="310"/>
        <v>758580</v>
      </c>
      <c r="AB610" s="174">
        <f t="shared" si="311"/>
        <v>575443616400</v>
      </c>
      <c r="AD610" s="701">
        <f t="shared" si="312"/>
        <v>15.689933061058882</v>
      </c>
      <c r="AE610" s="702">
        <f t="shared" si="313"/>
        <v>-75.404801654260027</v>
      </c>
      <c r="AG610" s="701">
        <f t="shared" si="314"/>
        <v>4.5001588396326149</v>
      </c>
      <c r="AH610" s="702">
        <f t="shared" si="315"/>
        <v>-101.32585065110744</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5">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3.6770952769506935</v>
      </c>
      <c r="N611" s="694">
        <f t="shared" si="302"/>
        <v>-1.295373563337149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-50.226716961221797</v>
      </c>
      <c r="X611" s="699">
        <f t="shared" si="308"/>
        <v>-290.30726697353657</v>
      </c>
      <c r="Y611" s="702">
        <f t="shared" si="309"/>
        <v>-110.30726697353657</v>
      </c>
      <c r="AA611" s="174">
        <f t="shared" si="310"/>
        <v>831760</v>
      </c>
      <c r="AB611" s="174">
        <f t="shared" si="311"/>
        <v>691824697600</v>
      </c>
      <c r="AD611" s="701">
        <f t="shared" si="312"/>
        <v>14.937269713483872</v>
      </c>
      <c r="AE611" s="702">
        <f t="shared" si="313"/>
        <v>-76.639805737207752</v>
      </c>
      <c r="AG611" s="701">
        <f t="shared" si="314"/>
        <v>1.7101321610101681</v>
      </c>
      <c r="AH611" s="702">
        <f t="shared" si="315"/>
        <v>-66.227634122462575</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5">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4.0067065599771841</v>
      </c>
      <c r="N612" s="694">
        <f t="shared" si="302"/>
        <v>-1.3185482295270572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-51.596825192158647</v>
      </c>
      <c r="X612" s="699">
        <f t="shared" si="308"/>
        <v>-320.86903930360103</v>
      </c>
      <c r="Y612" s="702">
        <f t="shared" si="309"/>
        <v>-140.86903930360103</v>
      </c>
      <c r="AA612" s="174">
        <f t="shared" si="310"/>
        <v>912010</v>
      </c>
      <c r="AB612" s="174">
        <f t="shared" si="311"/>
        <v>831762240100</v>
      </c>
      <c r="AD612" s="701">
        <f t="shared" si="312"/>
        <v>14.176956283645154</v>
      </c>
      <c r="AE612" s="702">
        <f t="shared" si="313"/>
        <v>-77.777689946560542</v>
      </c>
      <c r="AG612" s="701">
        <f t="shared" si="314"/>
        <v>2.5015223715597292</v>
      </c>
      <c r="AH612" s="702">
        <f t="shared" si="315"/>
        <v>-35.405452406715234</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5">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4.3701897414683284</v>
      </c>
      <c r="N613" s="694">
        <f t="shared" si="302"/>
        <v>-1.339927878215732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-57.836377946798017</v>
      </c>
      <c r="X613" s="699">
        <f t="shared" si="308"/>
        <v>-363.16494944082314</v>
      </c>
      <c r="Y613" s="702">
        <f t="shared" si="309"/>
        <v>-183.16494944082314</v>
      </c>
      <c r="AA613" s="174">
        <f t="shared" si="310"/>
        <v>1000000</v>
      </c>
      <c r="AB613" s="174">
        <f t="shared" si="311"/>
        <v>1000000000000</v>
      </c>
      <c r="AD613" s="701">
        <f t="shared" si="312"/>
        <v>13.410262120479651</v>
      </c>
      <c r="AE613" s="702">
        <f t="shared" si="313"/>
        <v>-78.82423353298563</v>
      </c>
      <c r="AG613" s="701">
        <f t="shared" si="314"/>
        <v>8.2195652298723783</v>
      </c>
      <c r="AH613" s="702">
        <f t="shared" si="315"/>
        <v>7.6832331696025271</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5">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5">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5">
      <c r="G616" s="174" t="s">
        <v>739</v>
      </c>
      <c r="M616" s="693"/>
      <c r="N616" s="694"/>
      <c r="W616" s="698"/>
      <c r="X616" s="699"/>
      <c r="Y616" s="712"/>
      <c r="AG616" s="701"/>
      <c r="AH616" s="702"/>
    </row>
    <row r="617" spans="7:44" x14ac:dyDescent="0.25">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5">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5">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5">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5">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5">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5">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5">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5">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5">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8" thickBot="1" x14ac:dyDescent="0.3">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5">
      <c r="G628" s="201">
        <f>z_RHP</f>
        <v>235059.60852739401</v>
      </c>
      <c r="I628" s="714">
        <f>SQRT(1+(G628/pole1)^2)</f>
        <v>229.33551355552791</v>
      </c>
      <c r="J628" s="704">
        <f>ATAN(G628/pole1)</f>
        <v>1.5664358893144301</v>
      </c>
      <c r="K628" s="704">
        <f>SQRT(1+(G628/Zero1)^2)</f>
        <v>1.0080341799408361</v>
      </c>
      <c r="L628" s="705">
        <f>ATAN(G628/Zero1)</f>
        <v>0.12633887854447273</v>
      </c>
      <c r="M628" s="693">
        <v>1</v>
      </c>
      <c r="N628" s="694">
        <v>0</v>
      </c>
      <c r="O628" s="714">
        <f>SQRT(1+(G628/Pole2)^2)</f>
        <v>425353.84615502163</v>
      </c>
      <c r="P628" s="715">
        <f>ATAN(G628/Pole2)</f>
        <v>1.5707939758111003</v>
      </c>
      <c r="Q628" s="704">
        <f>SQRT(1+(G628/Zero2)^2)</f>
        <v>177.23359038887119</v>
      </c>
      <c r="R628" s="705">
        <f>ATAN(G628/Zero2)</f>
        <v>1.5651540255598273</v>
      </c>
      <c r="S628" s="692">
        <f>SQRT(1+(G628/pole4)^2)</f>
        <v>1.5479125091860568</v>
      </c>
      <c r="T628" s="695">
        <f>ATAN(G628/pole4)</f>
        <v>0.8684226683108156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5">
      <c r="G629" s="201">
        <v>195034.73926858415</v>
      </c>
      <c r="W629" s="698">
        <v>-25</v>
      </c>
    </row>
    <row r="631" spans="7:34" x14ac:dyDescent="0.25">
      <c r="J631" s="174" t="s">
        <v>743</v>
      </c>
      <c r="K631" s="174" t="s">
        <v>744</v>
      </c>
    </row>
    <row r="632" spans="7:34" x14ac:dyDescent="0.25">
      <c r="G632" s="174" t="s">
        <v>728</v>
      </c>
      <c r="H632" s="174" t="s">
        <v>745</v>
      </c>
      <c r="I632" s="176">
        <f>pole1</f>
        <v>1024.9692232299162</v>
      </c>
      <c r="J632" s="176" t="e">
        <f>W622</f>
        <v>#DIV/0!</v>
      </c>
      <c r="K632" s="176" t="e">
        <f>AG622</f>
        <v>#DIV/0!</v>
      </c>
    </row>
    <row r="633" spans="7:34" x14ac:dyDescent="0.25">
      <c r="G633" s="174" t="s">
        <v>729</v>
      </c>
      <c r="H633" s="174" t="s">
        <v>746</v>
      </c>
      <c r="I633" s="176">
        <f>Zero1</f>
        <v>1850638.8752762375</v>
      </c>
      <c r="J633" s="176" t="e">
        <f>W623</f>
        <v>#DIV/0!</v>
      </c>
      <c r="K633" s="176" t="e">
        <f>AG623</f>
        <v>#DIV/0!</v>
      </c>
    </row>
    <row r="634" spans="7:34" x14ac:dyDescent="0.25">
      <c r="G634" s="174" t="s">
        <v>730</v>
      </c>
      <c r="H634" s="174" t="s">
        <v>747</v>
      </c>
      <c r="I634" s="176">
        <f>Pole2</f>
        <v>0.5526213308116541</v>
      </c>
      <c r="J634" s="176" t="e">
        <f>W624</f>
        <v>#DIV/0!</v>
      </c>
      <c r="K634" s="176" t="e">
        <f>AG624</f>
        <v>#DIV/0!</v>
      </c>
    </row>
    <row r="635" spans="7:34" x14ac:dyDescent="0.25">
      <c r="G635" s="174" t="s">
        <v>741</v>
      </c>
      <c r="H635" s="174" t="s">
        <v>748</v>
      </c>
      <c r="I635" s="176">
        <f>Zero2</f>
        <v>1326.2911939479698</v>
      </c>
      <c r="J635" s="176" t="e">
        <f>W625</f>
        <v>#DIV/0!</v>
      </c>
      <c r="K635" s="176" t="e">
        <f>AG625</f>
        <v>#DIV/0!</v>
      </c>
    </row>
    <row r="636" spans="7:34" x14ac:dyDescent="0.25">
      <c r="G636" s="174" t="s">
        <v>706</v>
      </c>
      <c r="H636" s="174" t="s">
        <v>749</v>
      </c>
      <c r="I636" s="174">
        <f>pole3</f>
        <v>0</v>
      </c>
      <c r="J636" s="176" t="e">
        <f>W626</f>
        <v>#DIV/0!</v>
      </c>
      <c r="K636" s="176" t="e">
        <f>AG626</f>
        <v>#DIV/0!</v>
      </c>
    </row>
    <row r="637" spans="7:34" x14ac:dyDescent="0.25">
      <c r="I637" s="201"/>
      <c r="J637" s="176"/>
      <c r="K637" s="176"/>
    </row>
    <row r="639" spans="7:34" x14ac:dyDescent="0.25">
      <c r="G639" s="176">
        <f>W4*1000</f>
        <v>28348</v>
      </c>
    </row>
    <row r="640" spans="7:34" x14ac:dyDescent="0.25">
      <c r="G640" s="176">
        <f>W4*1000</f>
        <v>28348</v>
      </c>
    </row>
    <row r="687" spans="36:37" x14ac:dyDescent="0.25">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129540</xdr:rowOff>
                  </from>
                  <to>
                    <xdr:col>1</xdr:col>
                    <xdr:colOff>396240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baseColWidth="10" defaultColWidth="8.88671875" defaultRowHeight="13.2" x14ac:dyDescent="0.25"/>
  <cols>
    <col min="1" max="1" width="2.77734375" customWidth="1"/>
    <col min="2" max="2" width="3.5546875" customWidth="1"/>
    <col min="3" max="3" width="2.77734375" customWidth="1"/>
    <col min="4" max="4" width="3.77734375" customWidth="1"/>
    <col min="5" max="5" width="6.21875" customWidth="1"/>
    <col min="6" max="6" width="8.5546875" customWidth="1"/>
    <col min="7" max="8" width="7.77734375" customWidth="1"/>
    <col min="9" max="9" width="6.21875" customWidth="1"/>
    <col min="10" max="10" width="9.5546875" customWidth="1"/>
    <col min="11" max="11" width="9.21875" customWidth="1"/>
    <col min="12" max="12" width="1.77734375" customWidth="1"/>
    <col min="13" max="13" width="8.44140625" customWidth="1"/>
    <col min="14" max="15" width="9.5546875" customWidth="1"/>
    <col min="16" max="16" width="8.77734375" customWidth="1"/>
    <col min="17" max="18" width="8.5546875" customWidth="1"/>
    <col min="19" max="19" width="15.44140625" customWidth="1"/>
    <col min="20" max="20" width="10.44140625" customWidth="1"/>
    <col min="21" max="21" width="7.5546875" customWidth="1"/>
    <col min="22" max="22" width="9" customWidth="1"/>
    <col min="23" max="23" width="8.77734375" customWidth="1"/>
    <col min="24" max="24" width="10" customWidth="1"/>
    <col min="25" max="25" width="9.5546875" customWidth="1"/>
    <col min="26" max="26" width="1.77734375" customWidth="1"/>
    <col min="27" max="27" width="9.77734375" customWidth="1"/>
    <col min="28" max="28" width="10.44140625" customWidth="1"/>
    <col min="29" max="29" width="10.21875" customWidth="1"/>
    <col min="30" max="30" width="2" customWidth="1"/>
    <col min="31" max="31" width="9.21875" customWidth="1"/>
    <col min="32" max="32" width="9.44140625" customWidth="1"/>
    <col min="33" max="33" width="10.44140625" customWidth="1"/>
    <col min="34" max="34" width="2.21875" customWidth="1"/>
    <col min="36" max="36" width="8" customWidth="1"/>
    <col min="38" max="38" width="2.21875" customWidth="1"/>
    <col min="39" max="39" width="6.5546875" customWidth="1"/>
    <col min="40" max="40" width="7.5546875" customWidth="1"/>
    <col min="41" max="41" width="2" customWidth="1"/>
    <col min="42" max="42" width="6.44140625" customWidth="1"/>
    <col min="43" max="43" width="7.5546875" customWidth="1"/>
    <col min="44" max="44" width="2.21875" customWidth="1"/>
    <col min="45" max="48" width="7" customWidth="1"/>
    <col min="49" max="50" width="8.44140625" customWidth="1"/>
    <col min="51" max="52" width="11" customWidth="1"/>
    <col min="53" max="53" width="9.44140625" customWidth="1"/>
    <col min="54" max="54" width="10.77734375" customWidth="1"/>
    <col min="55" max="55" width="9.77734375" customWidth="1"/>
    <col min="56" max="56" width="11.77734375" customWidth="1"/>
    <col min="57" max="57" width="2" customWidth="1"/>
    <col min="60" max="60" width="2.21875" customWidth="1"/>
    <col min="61" max="61" width="9" customWidth="1"/>
    <col min="62" max="63" width="8.21875" customWidth="1"/>
    <col min="64" max="64" width="8.77734375" customWidth="1"/>
    <col min="65" max="66" width="7.5546875" customWidth="1"/>
    <col min="67" max="67" width="10.5546875" customWidth="1"/>
    <col min="68" max="68" width="8.77734375" customWidth="1"/>
    <col min="69" max="70" width="10.21875" customWidth="1"/>
    <col min="71" max="72" width="10.5546875" customWidth="1"/>
    <col min="73" max="73" width="8.77734375" customWidth="1"/>
    <col min="75" max="75" width="9.77734375" customWidth="1"/>
    <col min="76" max="76" width="11.5546875" customWidth="1"/>
    <col min="77" max="77" width="12.21875" customWidth="1"/>
    <col min="78" max="78" width="9.21875" customWidth="1"/>
    <col min="80" max="80" width="7.77734375" customWidth="1"/>
    <col min="81" max="81" width="10.44140625" customWidth="1"/>
    <col min="82" max="82" width="12.44140625" bestFit="1" customWidth="1"/>
    <col min="83" max="83" width="4.5546875" customWidth="1"/>
    <col min="84" max="84" width="5" customWidth="1"/>
    <col min="85" max="85" width="9.5546875" customWidth="1"/>
  </cols>
  <sheetData>
    <row r="1" spans="2:86" x14ac:dyDescent="0.25">
      <c r="B1" s="453" t="s">
        <v>526</v>
      </c>
      <c r="M1">
        <f>Vfwd2</f>
        <v>0.3</v>
      </c>
      <c r="BC1">
        <f>Ltc</f>
        <v>4.0000000000000001E-3</v>
      </c>
      <c r="BV1">
        <f>Ta</f>
        <v>55</v>
      </c>
    </row>
    <row r="2" spans="2:86" ht="13.8" thickBot="1" x14ac:dyDescent="0.3">
      <c r="M2">
        <f>Vfwd1</f>
        <v>0.22</v>
      </c>
      <c r="U2">
        <f>Isw_max</f>
        <v>0.75</v>
      </c>
    </row>
    <row r="3" spans="2:86" x14ac:dyDescent="0.25">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3">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5">
      <c r="E5" s="174">
        <v>0.1</v>
      </c>
      <c r="F5" s="221">
        <v>1.0000000000000001E-9</v>
      </c>
      <c r="G5" s="221"/>
      <c r="H5" s="221">
        <f t="shared" ref="H5:H36" si="0">F5*Vout</f>
        <v>1.5000000000000002E-8</v>
      </c>
      <c r="I5" s="551">
        <f t="shared" ref="I5:I36" si="1">Vin</f>
        <v>24</v>
      </c>
      <c r="J5" s="176">
        <f t="shared" ref="J5:J36" si="2">(T5+Vfwd1)*Nps</f>
        <v>695386.58000000007</v>
      </c>
      <c r="K5" s="451">
        <f t="shared" ref="K5:K36" si="3">(Vout+Vfwd1)*Nps+I5</f>
        <v>695410.58000000007</v>
      </c>
      <c r="L5" s="451"/>
      <c r="M5" s="220">
        <f t="shared" ref="M5:M36" si="4">(Vout+Vfwd1)*Nps/((Vout+Vfwd1)*Nps+I5)</f>
        <v>0.99996548801428931</v>
      </c>
      <c r="N5" s="176">
        <f t="shared" ref="N5:N36" si="5">M5*I5*Isw_max*0.5*Efficiency</f>
        <v>8.0997204529157436</v>
      </c>
      <c r="O5" s="176">
        <f>T5*F5</f>
        <v>1.5000000000000002E-8</v>
      </c>
      <c r="P5" s="221">
        <f t="shared" ref="P5:P36" si="6">N5/Vout</f>
        <v>0.5399813635277162</v>
      </c>
      <c r="Q5" s="221">
        <f t="shared" ref="Q5:Q36" si="7">MIN(Vout,N5/F5)</f>
        <v>15</v>
      </c>
      <c r="R5" s="221">
        <f t="shared" ref="R5:R36" si="8">Isw_max/2*I5*Nps*(Q5+Vfwd1)/Q5/(I5+Nps*(Q5+Vfwd1))</f>
        <v>0.59997929280857354</v>
      </c>
      <c r="S5" s="176">
        <f t="shared" ref="S5:S36" si="9">(SQRT(Isw_max^2*Nps^2*I5^2+4*Isw_max*F5/Efficiency*(Nps^2*Vfwd1*I5-Nps*I5^2)+4*(F5/Efficiency)^2*Nps^2*Vfwd1^2+8*(F5/Efficiency)^2*Nps*Vfwd1*I5+4*(F5/Efficiency)^2*I5^2)-2*F5/Efficiency*I5-2*F5/Efficiency*Nps*Vfwd1+Isw_max*Nps*I5)/(4*F5/Efficiency*Nps)</f>
        <v>8099999999.9994755</v>
      </c>
      <c r="T5" s="176">
        <f t="shared" ref="T5:T36" si="10">MIN(Vout, S5)</f>
        <v>15</v>
      </c>
      <c r="U5" s="221">
        <f t="shared" ref="U5:U36" si="11">MIN(2*Vout*F5/(Efficiency*I5*M5), Isw_max)</f>
        <v>1.3889368238567071E-9</v>
      </c>
      <c r="V5" s="221">
        <f t="shared" ref="V5:V36" si="12">L*U5/I5*1000000</f>
        <v>1.736171029820884E-9</v>
      </c>
      <c r="W5" s="221">
        <f t="shared" ref="W5:W36" si="13">L*U5/J5*1000000</f>
        <v>5.9920777757461481E-14</v>
      </c>
      <c r="X5" s="201">
        <f t="shared" ref="X5:X36" si="14">IF(1/((350000*L)*(1/I5+1/J5))&gt;Isw_min, 350, 0.001/((Isw_min*L)*(1/I5+1/J5)))</f>
        <v>350</v>
      </c>
      <c r="Y5" s="451">
        <f>MIN(1/(V5+W5)*1000, 350)</f>
        <v>350</v>
      </c>
      <c r="AA5" s="221">
        <f t="shared" ref="AA5:AA36" si="15">1/((X5*1000*L)*(1/I5+1/J5))</f>
        <v>2.2856354011755182</v>
      </c>
      <c r="AB5" s="177">
        <f t="shared" ref="AB5:AB36" si="16">L*AA5/J5*1000000</f>
        <v>9.8605673459021225E-5</v>
      </c>
      <c r="AC5" s="177">
        <f t="shared" ref="AC5:AC36" si="17">0.5*AB5*AA5*Nps*X5/1000</f>
        <v>1.8020156525828219</v>
      </c>
      <c r="AD5" s="177"/>
      <c r="AE5" s="177">
        <f t="shared" ref="AE5:AE36" si="18">L*Isw_min/J5*1000000</f>
        <v>6.4712206554230591E-6</v>
      </c>
      <c r="AF5" s="555">
        <f t="shared" ref="AF5:AF36" si="19">MAX(12, F5/(0.5*AE5/1000000*Isw_min*Nps)/1000)</f>
        <v>12</v>
      </c>
      <c r="AG5" s="538">
        <f t="shared" ref="AG5:AG36" si="20">0.5*AE5/1000000*Isw_min*Nps*X5*1000</f>
        <v>7.7611695137976321E-3</v>
      </c>
      <c r="AI5" s="177">
        <f t="shared" ref="AI5:AI36" si="21">SQRT(F5/Efficiency/(0.5*L/J5*Fsw_DCM*Nps))</f>
        <v>5.6755299498496358E-5</v>
      </c>
      <c r="AJ5" s="177">
        <f t="shared" ref="AJ5:AJ36" si="22">MAX(IF(F5&gt;AC5,U5,AI5),Isw_min)</f>
        <v>0.15</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0.1875</v>
      </c>
      <c r="AU5" s="5">
        <f>AS5-AT5</f>
        <v>83.145833333333329</v>
      </c>
      <c r="AV5" s="5">
        <f t="shared" ref="AV5:AV36" si="29">L*AJ5/J5*1000000</f>
        <v>6.4712206554230591E-6</v>
      </c>
      <c r="AW5" s="177">
        <f>AT5/AS5</f>
        <v>2.2500000000000003E-3</v>
      </c>
      <c r="AX5" s="177">
        <f t="shared" ref="AX5:AX36" si="30">0.5*L*AJ5^2*AN5*1000</f>
        <v>4.0499999999999998E-3</v>
      </c>
      <c r="AY5" s="177">
        <f t="shared" ref="AY5:AY36" si="31">AJ5*Nps/2*(1-AW5)</f>
        <v>3418.9649812499997</v>
      </c>
      <c r="AZ5" s="177">
        <f>AX5/AY5</f>
        <v>1.1845690208032751E-6</v>
      </c>
      <c r="BA5" s="469">
        <f t="shared" ref="BA5:BA36" si="32">L*Isw_max^2/(2*Vout_ripple*Vout)*1000000000*((1+M5)/2)^2</f>
        <v>3.7498705811702195</v>
      </c>
      <c r="BB5" s="469">
        <f t="shared" ref="BB5:BB36" si="33">L*F5^2/(2*Cout*Vout*Nps^2)*1000000000*((1+M5)/(1-M5))^2+F5*RCoutEsr</f>
        <v>3.0000001608724967E-9</v>
      </c>
      <c r="BC5" s="5">
        <f t="shared" ref="BC5:BC36" si="34">H5/Efficiency/I5*AU5/Vinripple1</f>
        <v>4.8116801697530857E-8</v>
      </c>
      <c r="BD5" s="469">
        <f t="shared" ref="BD5:BD36" si="35">((CB5/I5/Efficiency)*AU5/Cin+(CB5/I5/Efficiency)*RCinEsr)*1000</f>
        <v>5.7760995370370373E-6</v>
      </c>
      <c r="BE5" s="5"/>
      <c r="BF5" s="177">
        <f>AJ5*SQRT(AW5/3)</f>
        <v>4.107919181288746E-3</v>
      </c>
      <c r="BG5" s="177">
        <f t="shared" ref="BG5:BG36" si="36">AJ5*Nps*SQRT((1-AW5)/3)</f>
        <v>3952.3295792270569</v>
      </c>
      <c r="BH5" s="177"/>
      <c r="BI5" s="538">
        <f t="shared" ref="BI5:BI36" si="37">Rdson*BF5^2</f>
        <v>5.9062499999999996E-6</v>
      </c>
      <c r="BJ5" s="538">
        <f t="shared" ref="BJ5:BJ36" si="38">0.5*K5*AJ5*AN5*1000*Trise</f>
        <v>6.2586952200000017</v>
      </c>
      <c r="BK5" s="538">
        <f t="shared" ref="BK5:BK36" si="39">Qg*Vdd*AN5*1000</f>
        <v>1.4999999999999999E-4</v>
      </c>
      <c r="BL5" s="538">
        <f t="shared" ref="BL5:BL36" si="40">0.5*(Coss+Csw)*K5^2*AN5*1000</f>
        <v>290157.52486556192</v>
      </c>
      <c r="BM5">
        <f t="shared" ref="BM5:BM36" si="41">I5*IQ</f>
        <v>6.96E-3</v>
      </c>
      <c r="BN5">
        <f t="shared" ref="BN5:BN36" si="42">(I5-Vdd)*Qg*AN5</f>
        <v>5.7000000000000005E-7</v>
      </c>
      <c r="BO5" s="538">
        <f t="shared" ref="BO5:BO36" si="43">(BJ5+BK5+BL5+BM5+BN5+BI5*(1+RdsonTC*(Ta-25)))/(1-BI5*RdsonTC*ThetaJA)</f>
        <v>290164.1068707896</v>
      </c>
      <c r="BP5" s="469">
        <f>BO5*1000</f>
        <v>290164106.87078959</v>
      </c>
      <c r="BQ5" s="538">
        <f t="shared" ref="BQ5:BQ36" si="44">(Vfwd2*F5+BG5^2*Rdiode)*(1+Diode_TC/1000*(Ta-25))</f>
        <v>11934374.554564502</v>
      </c>
      <c r="BR5" s="538"/>
      <c r="BT5" s="469">
        <f>SUM(BQ5:BS5)*1000</f>
        <v>11934374554.564503</v>
      </c>
      <c r="BU5" s="538">
        <f t="shared" ref="BU5:BU36" si="45">Rdcr_pri*BF5^2</f>
        <v>1.6875000000000001E-6</v>
      </c>
      <c r="BV5" s="538">
        <f t="shared" ref="BV5:BV36" si="46">Rdcr_sec*BG5^2</f>
        <v>468627.27308499371</v>
      </c>
      <c r="BW5" s="538">
        <f t="shared" ref="BW5:BW36" si="47">AJ5^2.5*AN5^2.5*k_core</f>
        <v>0</v>
      </c>
      <c r="BX5" s="538">
        <f t="shared" ref="BX5:BX36" si="48">(BW5+(BU5+BV5)*(1+Ltc*(Ta-25)))/(1-(BU5+BV5)*Ltc*ThetaCa)</f>
        <v>-14.00037344106514</v>
      </c>
      <c r="BY5" s="538">
        <f t="shared" ref="BY5:BY36" si="49">0.5*Lleak*0.000000001*AJ5^2*AN5*1000</f>
        <v>1.3500000000000001E-5</v>
      </c>
      <c r="BZ5" s="469">
        <f>1000*(BX5+BY5)</f>
        <v>-14000.35994106514</v>
      </c>
      <c r="CA5" s="177">
        <f>SUM(BO5,BQ5:BS5,BX5, BY5)</f>
        <v>12224524.66107535</v>
      </c>
      <c r="CB5" s="5">
        <f>MIN(H5,O5)</f>
        <v>1.5000000000000002E-8</v>
      </c>
      <c r="CC5" s="177">
        <f>CB5/(CB5+CA5)</f>
        <v>1.2270415755110829E-15</v>
      </c>
      <c r="CD5" s="5">
        <f>CC5*100</f>
        <v>1.227041575511083E-13</v>
      </c>
      <c r="CG5" s="571">
        <f t="shared" ref="CG5:CG36" si="50">IF(ABS(F5-Ioutmax_Vinnom)&lt;Iout/200, AN5, -50)</f>
        <v>-50</v>
      </c>
      <c r="CH5">
        <f t="shared" ref="CH5:CH36" si="51">IF(ABS(F5-Ioutmax_Vinnom)&lt;Iout/200, N5*CC5, -50)</f>
        <v>-50</v>
      </c>
    </row>
    <row r="6" spans="2:86" x14ac:dyDescent="0.25">
      <c r="E6" s="174">
        <v>1</v>
      </c>
      <c r="F6" s="221">
        <f t="shared" ref="F6:F37" si="52">IF(PLOT_TYPE=1, E6/100*Iout_max, min_I*EXP(N6*rr/100))</f>
        <v>1E-3</v>
      </c>
      <c r="G6" s="221"/>
      <c r="H6" s="221">
        <f t="shared" si="0"/>
        <v>1.4999999999999999E-2</v>
      </c>
      <c r="I6" s="551">
        <f t="shared" si="1"/>
        <v>24</v>
      </c>
      <c r="J6" s="176">
        <f t="shared" si="2"/>
        <v>695386.58000000007</v>
      </c>
      <c r="K6" s="451">
        <f t="shared" si="3"/>
        <v>695410.58000000007</v>
      </c>
      <c r="L6" s="451"/>
      <c r="M6" s="221">
        <f t="shared" si="4"/>
        <v>0.99996548801428931</v>
      </c>
      <c r="N6" s="176">
        <f t="shared" si="5"/>
        <v>8.0997204529157436</v>
      </c>
      <c r="O6" s="176">
        <f t="shared" ref="O6:O69" si="53">T6*F6</f>
        <v>1.4999999999999999E-2</v>
      </c>
      <c r="P6" s="221">
        <f t="shared" si="6"/>
        <v>0.5399813635277162</v>
      </c>
      <c r="Q6" s="221">
        <f t="shared" si="7"/>
        <v>15</v>
      </c>
      <c r="R6" s="221">
        <f t="shared" si="8"/>
        <v>0.59997929280857354</v>
      </c>
      <c r="S6" s="176">
        <f t="shared" si="9"/>
        <v>8099.9994747237151</v>
      </c>
      <c r="T6" s="176">
        <f t="shared" si="10"/>
        <v>15</v>
      </c>
      <c r="U6" s="221">
        <f t="shared" si="11"/>
        <v>1.3889368238567067E-3</v>
      </c>
      <c r="V6" s="221">
        <f t="shared" si="12"/>
        <v>1.7361710298208833E-3</v>
      </c>
      <c r="W6" s="221">
        <f t="shared" si="13"/>
        <v>5.9920777757461472E-8</v>
      </c>
      <c r="X6" s="201">
        <f t="shared" si="14"/>
        <v>350</v>
      </c>
      <c r="Y6" s="451">
        <f t="shared" ref="Y6:Y69" si="54">MIN(1/(V6+W6)*1000, 350)</f>
        <v>350</v>
      </c>
      <c r="AA6" s="221">
        <f t="shared" si="15"/>
        <v>2.2856354011755182</v>
      </c>
      <c r="AB6" s="177">
        <f t="shared" si="16"/>
        <v>9.8605673459021225E-5</v>
      </c>
      <c r="AC6" s="177">
        <f t="shared" si="17"/>
        <v>1.8020156525828219</v>
      </c>
      <c r="AD6" s="177"/>
      <c r="AE6" s="177">
        <f t="shared" si="18"/>
        <v>6.4712206554230591E-6</v>
      </c>
      <c r="AF6" s="555">
        <f t="shared" si="19"/>
        <v>45.096296296296309</v>
      </c>
      <c r="AG6" s="538">
        <f t="shared" si="20"/>
        <v>7.7611695137976321E-3</v>
      </c>
      <c r="AI6" s="177">
        <f t="shared" si="21"/>
        <v>5.6755299498496364E-2</v>
      </c>
      <c r="AJ6" s="177">
        <f t="shared" si="22"/>
        <v>0.15</v>
      </c>
      <c r="AK6" s="177">
        <f t="shared" si="23"/>
        <v>1.0257693121693121</v>
      </c>
      <c r="AM6" s="555">
        <f t="shared" si="24"/>
        <v>1</v>
      </c>
      <c r="AN6" s="469">
        <f t="shared" si="25"/>
        <v>45.096296296296309</v>
      </c>
      <c r="AP6">
        <f t="shared" si="26"/>
        <v>1</v>
      </c>
      <c r="AQ6" s="469">
        <f t="shared" si="27"/>
        <v>45.096296296296309</v>
      </c>
      <c r="AR6" s="469"/>
      <c r="AS6" s="5">
        <f t="shared" ref="AS6:AS69" si="55">1/AN6*1000</f>
        <v>22.174770039421805</v>
      </c>
      <c r="AT6" s="5">
        <f t="shared" si="28"/>
        <v>0.1875</v>
      </c>
      <c r="AU6" s="5">
        <f t="shared" ref="AU6:AU69" si="56">AS6-AT6</f>
        <v>21.987270039421805</v>
      </c>
      <c r="AV6" s="5">
        <f t="shared" si="29"/>
        <v>6.4712206554230591E-6</v>
      </c>
      <c r="AW6" s="177">
        <f t="shared" ref="AW6:AW69" si="57">AT6/AS6</f>
        <v>8.4555555555555582E-3</v>
      </c>
      <c r="AX6" s="177">
        <f t="shared" si="30"/>
        <v>1.5220000000000003E-2</v>
      </c>
      <c r="AY6" s="177">
        <f t="shared" si="31"/>
        <v>3397.7005591666666</v>
      </c>
      <c r="AZ6" s="177">
        <f t="shared" ref="AZ6:AZ69" si="58">AX6/AY6</f>
        <v>4.4795001016019256E-6</v>
      </c>
      <c r="BA6" s="469">
        <f t="shared" si="32"/>
        <v>3.7498705811702195</v>
      </c>
      <c r="BB6" s="469">
        <f t="shared" si="33"/>
        <v>3.1608724965213023E-3</v>
      </c>
      <c r="BC6" s="5">
        <f t="shared" si="34"/>
        <v>1.2724114606146876E-2</v>
      </c>
      <c r="BD6" s="469">
        <f t="shared" si="35"/>
        <v>1.5289770860709586</v>
      </c>
      <c r="BE6" s="5"/>
      <c r="BF6" s="177">
        <f t="shared" ref="BF6:BF69" si="59">AJ6*SQRT(AW6/3)</f>
        <v>7.9634582102668609E-3</v>
      </c>
      <c r="BG6" s="177">
        <f t="shared" si="36"/>
        <v>3940.0195538571352</v>
      </c>
      <c r="BH6" s="177"/>
      <c r="BI6" s="538">
        <f t="shared" si="37"/>
        <v>2.2195833333333335E-5</v>
      </c>
      <c r="BJ6" s="538">
        <f t="shared" si="38"/>
        <v>23.520331172444454</v>
      </c>
      <c r="BK6" s="538">
        <f t="shared" si="39"/>
        <v>5.6370370370370385E-4</v>
      </c>
      <c r="BL6" s="538">
        <f t="shared" si="40"/>
        <v>1090419.1428281122</v>
      </c>
      <c r="BM6">
        <f t="shared" si="41"/>
        <v>6.96E-3</v>
      </c>
      <c r="BN6">
        <f t="shared" si="42"/>
        <v>2.1420740740740747E-6</v>
      </c>
      <c r="BO6" s="538">
        <f t="shared" si="43"/>
        <v>1090447.1362344667</v>
      </c>
      <c r="BP6" s="469">
        <f t="shared" ref="BP6:BP69" si="60">BO6*1000</f>
        <v>1090447136.2344668</v>
      </c>
      <c r="BQ6" s="538">
        <f t="shared" si="44"/>
        <v>11860148.121055802</v>
      </c>
      <c r="BR6" s="538"/>
      <c r="BT6" s="469">
        <f t="shared" ref="BT6:BT69" si="61">SUM(BQ6:BS6)*1000</f>
        <v>11860148121.055801</v>
      </c>
      <c r="BU6" s="538">
        <f t="shared" si="45"/>
        <v>6.3416666666666672E-6</v>
      </c>
      <c r="BV6" s="538">
        <f t="shared" si="46"/>
        <v>465712.62254329736</v>
      </c>
      <c r="BW6" s="538">
        <f t="shared" si="47"/>
        <v>0</v>
      </c>
      <c r="BX6" s="538">
        <f t="shared" si="48"/>
        <v>-14.000375778299224</v>
      </c>
      <c r="BY6" s="538">
        <f t="shared" si="49"/>
        <v>5.0733333333333358E-5</v>
      </c>
      <c r="BZ6" s="469">
        <f t="shared" ref="BZ6:BZ69" si="62">1000*(BX6+BY6)</f>
        <v>-14000.32504496589</v>
      </c>
      <c r="CA6" s="177">
        <f t="shared" ref="CA6:CA69" si="63">SUM(BO6,BQ6:BS6,BX6, BY6)</f>
        <v>12950581.256965224</v>
      </c>
      <c r="CB6" s="5">
        <f t="shared" ref="CB6:CB69" si="64">MIN(H6,O6)</f>
        <v>1.4999999999999999E-2</v>
      </c>
      <c r="CC6" s="177">
        <f t="shared" ref="CC6:CC69" si="65">CB6/(CB6+CA6)</f>
        <v>1.1582491692841044E-9</v>
      </c>
      <c r="CD6" s="5">
        <f t="shared" ref="CD6:CD69" si="66">CC6*100</f>
        <v>1.1582491692841044E-7</v>
      </c>
      <c r="CG6" s="571">
        <f t="shared" si="50"/>
        <v>-50</v>
      </c>
      <c r="CH6">
        <f t="shared" si="51"/>
        <v>-50</v>
      </c>
    </row>
    <row r="7" spans="2:86" x14ac:dyDescent="0.25">
      <c r="E7" s="174">
        <v>2</v>
      </c>
      <c r="F7" s="221">
        <f t="shared" si="52"/>
        <v>2E-3</v>
      </c>
      <c r="G7" s="221"/>
      <c r="H7" s="221">
        <f t="shared" si="0"/>
        <v>0.03</v>
      </c>
      <c r="I7" s="551">
        <f t="shared" si="1"/>
        <v>24</v>
      </c>
      <c r="J7" s="176">
        <f t="shared" si="2"/>
        <v>695386.58000000007</v>
      </c>
      <c r="K7" s="451">
        <f t="shared" si="3"/>
        <v>695410.58000000007</v>
      </c>
      <c r="L7" s="451"/>
      <c r="M7" s="221">
        <f t="shared" si="4"/>
        <v>0.99996548801428931</v>
      </c>
      <c r="N7" s="176">
        <f t="shared" si="5"/>
        <v>8.0997204529157436</v>
      </c>
      <c r="O7" s="176">
        <f t="shared" si="53"/>
        <v>0.03</v>
      </c>
      <c r="P7" s="221">
        <f t="shared" si="6"/>
        <v>0.5399813635277162</v>
      </c>
      <c r="Q7" s="221">
        <f t="shared" si="7"/>
        <v>15</v>
      </c>
      <c r="R7" s="221">
        <f t="shared" si="8"/>
        <v>0.59997929280857354</v>
      </c>
      <c r="S7" s="176">
        <f t="shared" si="9"/>
        <v>4049.9994747379815</v>
      </c>
      <c r="T7" s="176">
        <f t="shared" si="10"/>
        <v>15</v>
      </c>
      <c r="U7" s="221">
        <f t="shared" si="11"/>
        <v>2.7778736477134134E-3</v>
      </c>
      <c r="V7" s="221">
        <f t="shared" si="12"/>
        <v>3.4723420596417666E-3</v>
      </c>
      <c r="W7" s="221">
        <f t="shared" si="13"/>
        <v>1.1984155551492294E-7</v>
      </c>
      <c r="X7" s="201">
        <f t="shared" si="14"/>
        <v>350</v>
      </c>
      <c r="Y7" s="451">
        <f t="shared" si="54"/>
        <v>350</v>
      </c>
      <c r="AA7" s="221">
        <f t="shared" si="15"/>
        <v>2.2856354011755182</v>
      </c>
      <c r="AB7" s="177">
        <f t="shared" si="16"/>
        <v>9.8605673459021225E-5</v>
      </c>
      <c r="AC7" s="177">
        <f t="shared" si="17"/>
        <v>1.8020156525828219</v>
      </c>
      <c r="AD7" s="177"/>
      <c r="AE7" s="177">
        <f t="shared" si="18"/>
        <v>6.4712206554230591E-6</v>
      </c>
      <c r="AF7" s="555">
        <f t="shared" si="19"/>
        <v>90.192592592592618</v>
      </c>
      <c r="AG7" s="538">
        <f t="shared" si="20"/>
        <v>7.7611695137976321E-3</v>
      </c>
      <c r="AI7" s="177">
        <f t="shared" si="21"/>
        <v>8.026411428732047E-2</v>
      </c>
      <c r="AJ7" s="177">
        <f t="shared" si="22"/>
        <v>0.15</v>
      </c>
      <c r="AK7" s="177">
        <f t="shared" si="23"/>
        <v>1.0515386243386244</v>
      </c>
      <c r="AM7" s="555">
        <f t="shared" si="24"/>
        <v>2</v>
      </c>
      <c r="AN7" s="469">
        <f t="shared" si="25"/>
        <v>90.192592592592618</v>
      </c>
      <c r="AP7">
        <f t="shared" si="26"/>
        <v>2</v>
      </c>
      <c r="AQ7" s="469">
        <f t="shared" si="27"/>
        <v>90.192592592592618</v>
      </c>
      <c r="AR7" s="469"/>
      <c r="AS7" s="5">
        <f t="shared" si="55"/>
        <v>11.087385019710903</v>
      </c>
      <c r="AT7" s="5">
        <f t="shared" si="28"/>
        <v>0.1875</v>
      </c>
      <c r="AU7" s="5">
        <f t="shared" si="56"/>
        <v>10.899885019710903</v>
      </c>
      <c r="AV7" s="5">
        <f t="shared" si="29"/>
        <v>6.4712206554230591E-6</v>
      </c>
      <c r="AW7" s="177">
        <f t="shared" si="57"/>
        <v>1.6911111111111116E-2</v>
      </c>
      <c r="AX7" s="177">
        <f t="shared" si="30"/>
        <v>3.0440000000000005E-2</v>
      </c>
      <c r="AY7" s="177">
        <f t="shared" si="31"/>
        <v>3368.726118333333</v>
      </c>
      <c r="AZ7" s="177">
        <f t="shared" si="58"/>
        <v>9.0360566370590271E-6</v>
      </c>
      <c r="BA7" s="469">
        <f t="shared" si="32"/>
        <v>3.7498705811702195</v>
      </c>
      <c r="BB7" s="469">
        <f t="shared" si="33"/>
        <v>6.643489986085209E-3</v>
      </c>
      <c r="BC7" s="5">
        <f t="shared" si="34"/>
        <v>1.2615607661702432E-2</v>
      </c>
      <c r="BD7" s="469">
        <f t="shared" si="35"/>
        <v>1.5180395860709588</v>
      </c>
      <c r="BE7" s="5"/>
      <c r="BF7" s="177">
        <f t="shared" si="59"/>
        <v>1.1262030604350768E-2</v>
      </c>
      <c r="BG7" s="177">
        <f t="shared" si="36"/>
        <v>3923.1840081817681</v>
      </c>
      <c r="BH7" s="177"/>
      <c r="BI7" s="538">
        <f t="shared" si="37"/>
        <v>4.4391666666666671E-5</v>
      </c>
      <c r="BJ7" s="538">
        <f t="shared" si="38"/>
        <v>47.040662344888908</v>
      </c>
      <c r="BK7" s="538">
        <f t="shared" si="39"/>
        <v>1.1274074074074077E-3</v>
      </c>
      <c r="BL7" s="538">
        <f t="shared" si="40"/>
        <v>2180838.2856562245</v>
      </c>
      <c r="BM7">
        <f t="shared" si="41"/>
        <v>6.96E-3</v>
      </c>
      <c r="BN7">
        <f t="shared" si="42"/>
        <v>4.2841481481481494E-6</v>
      </c>
      <c r="BO7" s="538">
        <f t="shared" si="43"/>
        <v>2180903.1966303131</v>
      </c>
      <c r="BP7" s="469">
        <f t="shared" si="60"/>
        <v>2180903196.6303129</v>
      </c>
      <c r="BQ7" s="538">
        <f t="shared" si="44"/>
        <v>11759008.790781613</v>
      </c>
      <c r="BR7" s="538"/>
      <c r="BT7" s="469">
        <f t="shared" si="61"/>
        <v>11759008790.781614</v>
      </c>
      <c r="BU7" s="538">
        <f t="shared" si="45"/>
        <v>1.2683333333333334E-5</v>
      </c>
      <c r="BV7" s="538">
        <f t="shared" si="46"/>
        <v>461741.18286159489</v>
      </c>
      <c r="BW7" s="538">
        <f t="shared" si="47"/>
        <v>0</v>
      </c>
      <c r="BX7" s="538">
        <f t="shared" si="48"/>
        <v>-14.000379010458936</v>
      </c>
      <c r="BY7" s="538">
        <f t="shared" si="49"/>
        <v>1.0146666666666672E-4</v>
      </c>
      <c r="BZ7" s="469">
        <f t="shared" si="62"/>
        <v>-14000.277543792268</v>
      </c>
      <c r="CA7" s="177">
        <f t="shared" si="63"/>
        <v>13939897.987134384</v>
      </c>
      <c r="CB7" s="5">
        <f t="shared" si="64"/>
        <v>0.03</v>
      </c>
      <c r="CC7" s="177">
        <f t="shared" si="65"/>
        <v>2.1520960887321528E-9</v>
      </c>
      <c r="CD7" s="5">
        <f t="shared" si="66"/>
        <v>2.1520960887321528E-7</v>
      </c>
      <c r="CG7" s="571">
        <f t="shared" si="50"/>
        <v>-50</v>
      </c>
      <c r="CH7">
        <f t="shared" si="51"/>
        <v>-50</v>
      </c>
    </row>
    <row r="8" spans="2:86" x14ac:dyDescent="0.25">
      <c r="E8" s="174">
        <v>3</v>
      </c>
      <c r="F8" s="221">
        <f t="shared" si="52"/>
        <v>3.0000000000000001E-3</v>
      </c>
      <c r="G8" s="221"/>
      <c r="H8" s="221">
        <f t="shared" si="0"/>
        <v>4.4999999999999998E-2</v>
      </c>
      <c r="I8" s="551">
        <f t="shared" si="1"/>
        <v>24</v>
      </c>
      <c r="J8" s="176">
        <f t="shared" si="2"/>
        <v>695386.58000000007</v>
      </c>
      <c r="K8" s="451">
        <f t="shared" si="3"/>
        <v>695410.58000000007</v>
      </c>
      <c r="L8" s="451"/>
      <c r="M8" s="221">
        <f t="shared" si="4"/>
        <v>0.99996548801428931</v>
      </c>
      <c r="N8" s="176">
        <f t="shared" si="5"/>
        <v>8.0997204529157436</v>
      </c>
      <c r="O8" s="176">
        <f t="shared" si="53"/>
        <v>4.4999999999999998E-2</v>
      </c>
      <c r="P8" s="221">
        <f t="shared" si="6"/>
        <v>0.5399813635277162</v>
      </c>
      <c r="Q8" s="221">
        <f t="shared" si="7"/>
        <v>15</v>
      </c>
      <c r="R8" s="221">
        <f t="shared" si="8"/>
        <v>0.59997929280857354</v>
      </c>
      <c r="S8" s="176">
        <f t="shared" si="9"/>
        <v>2699.9994747522469</v>
      </c>
      <c r="T8" s="176">
        <f t="shared" si="10"/>
        <v>15</v>
      </c>
      <c r="U8" s="221">
        <f t="shared" si="11"/>
        <v>4.1668104715701206E-3</v>
      </c>
      <c r="V8" s="221">
        <f t="shared" si="12"/>
        <v>5.2085130894626514E-3</v>
      </c>
      <c r="W8" s="221">
        <f t="shared" si="13"/>
        <v>1.7976233327238442E-7</v>
      </c>
      <c r="X8" s="201">
        <f t="shared" si="14"/>
        <v>350</v>
      </c>
      <c r="Y8" s="451">
        <f t="shared" si="54"/>
        <v>350</v>
      </c>
      <c r="AA8" s="221">
        <f t="shared" si="15"/>
        <v>2.2856354011755182</v>
      </c>
      <c r="AB8" s="177">
        <f t="shared" si="16"/>
        <v>9.8605673459021225E-5</v>
      </c>
      <c r="AC8" s="177">
        <f t="shared" si="17"/>
        <v>1.8020156525828219</v>
      </c>
      <c r="AD8" s="177"/>
      <c r="AE8" s="177">
        <f t="shared" si="18"/>
        <v>6.4712206554230591E-6</v>
      </c>
      <c r="AF8" s="555">
        <f t="shared" si="19"/>
        <v>135.28888888888895</v>
      </c>
      <c r="AG8" s="538">
        <f t="shared" si="20"/>
        <v>7.7611695137976321E-3</v>
      </c>
      <c r="AI8" s="177">
        <f t="shared" si="21"/>
        <v>9.8303062330184113E-2</v>
      </c>
      <c r="AJ8" s="177">
        <f t="shared" si="22"/>
        <v>0.15</v>
      </c>
      <c r="AK8" s="177">
        <f t="shared" si="23"/>
        <v>1.0773079365079365</v>
      </c>
      <c r="AM8" s="555">
        <f t="shared" si="24"/>
        <v>3</v>
      </c>
      <c r="AN8" s="469">
        <f t="shared" si="25"/>
        <v>135.28888888888895</v>
      </c>
      <c r="AP8">
        <f t="shared" si="26"/>
        <v>3</v>
      </c>
      <c r="AQ8" s="469">
        <f t="shared" si="27"/>
        <v>135.28888888888895</v>
      </c>
      <c r="AR8" s="469"/>
      <c r="AS8" s="5">
        <f t="shared" si="55"/>
        <v>7.3915900131406014</v>
      </c>
      <c r="AT8" s="5">
        <f t="shared" si="28"/>
        <v>0.1875</v>
      </c>
      <c r="AU8" s="5">
        <f t="shared" si="56"/>
        <v>7.2040900131406014</v>
      </c>
      <c r="AV8" s="5">
        <f t="shared" si="29"/>
        <v>6.4712206554230591E-6</v>
      </c>
      <c r="AW8" s="177">
        <f t="shared" si="57"/>
        <v>2.5366666666666676E-2</v>
      </c>
      <c r="AX8" s="177">
        <f t="shared" si="30"/>
        <v>4.566000000000002E-2</v>
      </c>
      <c r="AY8" s="177">
        <f t="shared" si="31"/>
        <v>3339.7516774999999</v>
      </c>
      <c r="AZ8" s="177">
        <f t="shared" si="58"/>
        <v>1.3671675145075221E-5</v>
      </c>
      <c r="BA8" s="469">
        <f t="shared" si="32"/>
        <v>3.7498705811702195</v>
      </c>
      <c r="BB8" s="469">
        <f t="shared" si="33"/>
        <v>1.0447852468691721E-2</v>
      </c>
      <c r="BC8" s="5">
        <f t="shared" si="34"/>
        <v>1.2507100717257986E-2</v>
      </c>
      <c r="BD8" s="469">
        <f t="shared" si="35"/>
        <v>1.5071020860709585</v>
      </c>
      <c r="BE8" s="5"/>
      <c r="BF8" s="177">
        <f t="shared" si="59"/>
        <v>1.3793114224133724E-2</v>
      </c>
      <c r="BG8" s="177">
        <f t="shared" si="36"/>
        <v>3906.2759041483168</v>
      </c>
      <c r="BH8" s="177"/>
      <c r="BI8" s="538">
        <f t="shared" si="37"/>
        <v>6.6587500000000026E-5</v>
      </c>
      <c r="BJ8" s="538">
        <f t="shared" si="38"/>
        <v>70.560993517333372</v>
      </c>
      <c r="BK8" s="538">
        <f t="shared" si="39"/>
        <v>1.6911111111111118E-3</v>
      </c>
      <c r="BL8" s="538">
        <f t="shared" si="40"/>
        <v>3271257.4284843369</v>
      </c>
      <c r="BM8">
        <f t="shared" si="41"/>
        <v>6.96E-3</v>
      </c>
      <c r="BN8">
        <f t="shared" si="42"/>
        <v>6.4262222222222249E-6</v>
      </c>
      <c r="BO8" s="538">
        <f t="shared" si="43"/>
        <v>3271368.1882572621</v>
      </c>
      <c r="BP8" s="469">
        <f t="shared" si="60"/>
        <v>3271368188.2572622</v>
      </c>
      <c r="BQ8" s="538">
        <f t="shared" si="44"/>
        <v>11657869.460507426</v>
      </c>
      <c r="BR8" s="538"/>
      <c r="BT8" s="469">
        <f t="shared" si="61"/>
        <v>11657869460.507427</v>
      </c>
      <c r="BU8" s="538">
        <f t="shared" si="45"/>
        <v>1.9025000000000008E-5</v>
      </c>
      <c r="BV8" s="538">
        <f t="shared" si="46"/>
        <v>457769.74317989248</v>
      </c>
      <c r="BW8" s="538">
        <f t="shared" si="47"/>
        <v>0</v>
      </c>
      <c r="BX8" s="538">
        <f t="shared" si="48"/>
        <v>-14.000382298702208</v>
      </c>
      <c r="BY8" s="538">
        <f t="shared" si="49"/>
        <v>1.5220000000000007E-4</v>
      </c>
      <c r="BZ8" s="469">
        <f t="shared" si="62"/>
        <v>-14000.230098702208</v>
      </c>
      <c r="CA8" s="177">
        <f t="shared" si="63"/>
        <v>14929223.64853459</v>
      </c>
      <c r="CB8" s="5">
        <f t="shared" si="64"/>
        <v>4.4999999999999998E-2</v>
      </c>
      <c r="CC8" s="177">
        <f t="shared" si="65"/>
        <v>3.01422236840675E-9</v>
      </c>
      <c r="CD8" s="5">
        <f t="shared" si="66"/>
        <v>3.0142223684067498E-7</v>
      </c>
      <c r="CG8" s="571">
        <f t="shared" si="50"/>
        <v>-50</v>
      </c>
      <c r="CH8">
        <f t="shared" si="51"/>
        <v>-50</v>
      </c>
    </row>
    <row r="9" spans="2:86" x14ac:dyDescent="0.25">
      <c r="E9" s="174">
        <v>4</v>
      </c>
      <c r="F9" s="221">
        <f t="shared" si="52"/>
        <v>4.0000000000000001E-3</v>
      </c>
      <c r="G9" s="221"/>
      <c r="H9" s="221">
        <f t="shared" si="0"/>
        <v>0.06</v>
      </c>
      <c r="I9" s="551">
        <f t="shared" si="1"/>
        <v>24</v>
      </c>
      <c r="J9" s="176">
        <f t="shared" si="2"/>
        <v>695386.58000000007</v>
      </c>
      <c r="K9" s="451">
        <f t="shared" si="3"/>
        <v>695410.58000000007</v>
      </c>
      <c r="L9" s="451"/>
      <c r="M9" s="221">
        <f t="shared" si="4"/>
        <v>0.99996548801428931</v>
      </c>
      <c r="N9" s="176">
        <f t="shared" si="5"/>
        <v>8.0997204529157436</v>
      </c>
      <c r="O9" s="176">
        <f t="shared" si="53"/>
        <v>0.06</v>
      </c>
      <c r="P9" s="221">
        <f t="shared" si="6"/>
        <v>0.5399813635277162</v>
      </c>
      <c r="Q9" s="221">
        <f t="shared" si="7"/>
        <v>15</v>
      </c>
      <c r="R9" s="221">
        <f t="shared" si="8"/>
        <v>0.59997929280857354</v>
      </c>
      <c r="S9" s="176">
        <f t="shared" si="9"/>
        <v>2024.999474766511</v>
      </c>
      <c r="T9" s="176">
        <f t="shared" si="10"/>
        <v>15</v>
      </c>
      <c r="U9" s="221">
        <f t="shared" si="11"/>
        <v>5.5557472954268269E-3</v>
      </c>
      <c r="V9" s="221">
        <f t="shared" si="12"/>
        <v>6.9446841192835332E-3</v>
      </c>
      <c r="W9" s="221">
        <f t="shared" si="13"/>
        <v>2.3968311102984589E-7</v>
      </c>
      <c r="X9" s="201">
        <f t="shared" si="14"/>
        <v>350</v>
      </c>
      <c r="Y9" s="451">
        <f t="shared" si="54"/>
        <v>350</v>
      </c>
      <c r="AA9" s="221">
        <f t="shared" si="15"/>
        <v>2.2856354011755182</v>
      </c>
      <c r="AB9" s="177">
        <f t="shared" si="16"/>
        <v>9.8605673459021225E-5</v>
      </c>
      <c r="AC9" s="177">
        <f t="shared" si="17"/>
        <v>1.8020156525828219</v>
      </c>
      <c r="AD9" s="177"/>
      <c r="AE9" s="177">
        <f t="shared" si="18"/>
        <v>6.4712206554230591E-6</v>
      </c>
      <c r="AF9" s="555">
        <f t="shared" si="19"/>
        <v>180.38518518518524</v>
      </c>
      <c r="AG9" s="538">
        <f t="shared" si="20"/>
        <v>7.7611695137976321E-3</v>
      </c>
      <c r="AI9" s="177">
        <f t="shared" si="21"/>
        <v>0.11351059899699273</v>
      </c>
      <c r="AJ9" s="177">
        <f t="shared" si="22"/>
        <v>0.15</v>
      </c>
      <c r="AK9" s="177">
        <f t="shared" si="23"/>
        <v>1.1030772486772487</v>
      </c>
      <c r="AM9" s="555">
        <f t="shared" si="24"/>
        <v>4</v>
      </c>
      <c r="AN9" s="469">
        <f t="shared" si="25"/>
        <v>180.38518518518524</v>
      </c>
      <c r="AP9">
        <f t="shared" si="26"/>
        <v>4</v>
      </c>
      <c r="AQ9" s="469">
        <f t="shared" si="27"/>
        <v>180.38518518518524</v>
      </c>
      <c r="AR9" s="469"/>
      <c r="AS9" s="5">
        <f t="shared" si="55"/>
        <v>5.5436925098554513</v>
      </c>
      <c r="AT9" s="5">
        <f t="shared" si="28"/>
        <v>0.1875</v>
      </c>
      <c r="AU9" s="5">
        <f t="shared" si="56"/>
        <v>5.3561925098554513</v>
      </c>
      <c r="AV9" s="5">
        <f t="shared" si="29"/>
        <v>6.4712206554230591E-6</v>
      </c>
      <c r="AW9" s="177">
        <f t="shared" si="57"/>
        <v>3.3822222222222233E-2</v>
      </c>
      <c r="AX9" s="177">
        <f t="shared" si="30"/>
        <v>6.088000000000001E-2</v>
      </c>
      <c r="AY9" s="177">
        <f t="shared" si="31"/>
        <v>3310.7772366666663</v>
      </c>
      <c r="AZ9" s="177">
        <f t="shared" si="58"/>
        <v>1.8388431370663522E-5</v>
      </c>
      <c r="BA9" s="469">
        <f t="shared" si="32"/>
        <v>3.7498705811702195</v>
      </c>
      <c r="BB9" s="469">
        <f t="shared" si="33"/>
        <v>1.4573959944340836E-2</v>
      </c>
      <c r="BC9" s="5">
        <f t="shared" si="34"/>
        <v>1.2398593772813542E-2</v>
      </c>
      <c r="BD9" s="469">
        <f t="shared" si="35"/>
        <v>1.4961645860709587</v>
      </c>
      <c r="BE9" s="5"/>
      <c r="BF9" s="177">
        <f t="shared" si="59"/>
        <v>1.5926916420533722E-2</v>
      </c>
      <c r="BG9" s="177">
        <f t="shared" si="36"/>
        <v>3889.2942954482546</v>
      </c>
      <c r="BH9" s="177"/>
      <c r="BI9" s="538">
        <f t="shared" si="37"/>
        <v>8.8783333333333341E-5</v>
      </c>
      <c r="BJ9" s="538">
        <f t="shared" si="38"/>
        <v>94.081324689777816</v>
      </c>
      <c r="BK9" s="538">
        <f t="shared" si="39"/>
        <v>2.2548148148148154E-3</v>
      </c>
      <c r="BL9" s="538">
        <f t="shared" si="40"/>
        <v>4361676.5713124489</v>
      </c>
      <c r="BM9">
        <f t="shared" si="41"/>
        <v>6.96E-3</v>
      </c>
      <c r="BN9">
        <f t="shared" si="42"/>
        <v>8.5682962962962988E-6</v>
      </c>
      <c r="BO9" s="538">
        <f t="shared" si="43"/>
        <v>4361842.1112250397</v>
      </c>
      <c r="BP9" s="469">
        <f t="shared" si="60"/>
        <v>4361842111.2250395</v>
      </c>
      <c r="BQ9" s="538">
        <f t="shared" si="44"/>
        <v>11556730.130233238</v>
      </c>
      <c r="BR9" s="538"/>
      <c r="BT9" s="469">
        <f t="shared" si="61"/>
        <v>11556730130.233238</v>
      </c>
      <c r="BU9" s="538">
        <f t="shared" si="45"/>
        <v>2.5366666666666669E-5</v>
      </c>
      <c r="BV9" s="538">
        <f t="shared" si="46"/>
        <v>453798.30349819007</v>
      </c>
      <c r="BW9" s="538">
        <f t="shared" si="47"/>
        <v>0</v>
      </c>
      <c r="BX9" s="538">
        <f t="shared" si="48"/>
        <v>-14.000385644501529</v>
      </c>
      <c r="BY9" s="538">
        <f t="shared" si="49"/>
        <v>2.0293333333333343E-4</v>
      </c>
      <c r="BZ9" s="469">
        <f t="shared" si="62"/>
        <v>-14000.182711168196</v>
      </c>
      <c r="CA9" s="177">
        <f t="shared" si="63"/>
        <v>15918558.241275568</v>
      </c>
      <c r="CB9" s="5">
        <f t="shared" si="64"/>
        <v>0.06</v>
      </c>
      <c r="CC9" s="177">
        <f t="shared" si="65"/>
        <v>3.769185554648636E-9</v>
      </c>
      <c r="CD9" s="5">
        <f t="shared" si="66"/>
        <v>3.7691855546486361E-7</v>
      </c>
      <c r="CG9" s="571">
        <f t="shared" si="50"/>
        <v>-50</v>
      </c>
      <c r="CH9">
        <f t="shared" si="51"/>
        <v>-50</v>
      </c>
    </row>
    <row r="10" spans="2:86" x14ac:dyDescent="0.25">
      <c r="E10" s="174">
        <v>5</v>
      </c>
      <c r="F10" s="221">
        <f t="shared" si="52"/>
        <v>5.000000000000001E-3</v>
      </c>
      <c r="G10" s="221"/>
      <c r="H10" s="221">
        <f t="shared" si="0"/>
        <v>7.5000000000000011E-2</v>
      </c>
      <c r="I10" s="551">
        <f t="shared" si="1"/>
        <v>24</v>
      </c>
      <c r="J10" s="176">
        <f t="shared" si="2"/>
        <v>695386.58000000007</v>
      </c>
      <c r="K10" s="451">
        <f t="shared" si="3"/>
        <v>695410.58000000007</v>
      </c>
      <c r="L10" s="451"/>
      <c r="M10" s="221">
        <f t="shared" si="4"/>
        <v>0.99996548801428931</v>
      </c>
      <c r="N10" s="176">
        <f t="shared" si="5"/>
        <v>8.0997204529157436</v>
      </c>
      <c r="O10" s="176">
        <f t="shared" si="53"/>
        <v>7.5000000000000011E-2</v>
      </c>
      <c r="P10" s="221">
        <f t="shared" si="6"/>
        <v>0.5399813635277162</v>
      </c>
      <c r="Q10" s="221">
        <f t="shared" si="7"/>
        <v>15</v>
      </c>
      <c r="R10" s="221">
        <f t="shared" si="8"/>
        <v>0.59997929280857354</v>
      </c>
      <c r="S10" s="176">
        <f t="shared" si="9"/>
        <v>1619.9994747807743</v>
      </c>
      <c r="T10" s="176">
        <f t="shared" si="10"/>
        <v>15</v>
      </c>
      <c r="U10" s="221">
        <f t="shared" si="11"/>
        <v>6.9446841192835349E-3</v>
      </c>
      <c r="V10" s="221">
        <f t="shared" si="12"/>
        <v>8.6808551491044193E-3</v>
      </c>
      <c r="W10" s="221">
        <f t="shared" si="13"/>
        <v>2.9960388878730736E-7</v>
      </c>
      <c r="X10" s="201">
        <f t="shared" si="14"/>
        <v>350</v>
      </c>
      <c r="Y10" s="451">
        <f t="shared" si="54"/>
        <v>350</v>
      </c>
      <c r="AA10" s="221">
        <f t="shared" si="15"/>
        <v>2.2856354011755182</v>
      </c>
      <c r="AB10" s="177">
        <f t="shared" si="16"/>
        <v>9.8605673459021225E-5</v>
      </c>
      <c r="AC10" s="177">
        <f t="shared" si="17"/>
        <v>1.8020156525828219</v>
      </c>
      <c r="AD10" s="177"/>
      <c r="AE10" s="177">
        <f t="shared" si="18"/>
        <v>6.4712206554230591E-6</v>
      </c>
      <c r="AF10" s="555">
        <f t="shared" si="19"/>
        <v>225.48148148148158</v>
      </c>
      <c r="AG10" s="538">
        <f t="shared" si="20"/>
        <v>7.7611695137976321E-3</v>
      </c>
      <c r="AI10" s="177">
        <f t="shared" si="21"/>
        <v>0.12690870776199759</v>
      </c>
      <c r="AJ10" s="177">
        <f t="shared" si="22"/>
        <v>0.15</v>
      </c>
      <c r="AK10" s="177">
        <f t="shared" si="23"/>
        <v>1.128846560846561</v>
      </c>
      <c r="AM10" s="555">
        <f t="shared" si="24"/>
        <v>5.0000000000000009</v>
      </c>
      <c r="AN10" s="469">
        <f t="shared" si="25"/>
        <v>225.48148148148158</v>
      </c>
      <c r="AP10">
        <f t="shared" si="26"/>
        <v>5.0000000000000009</v>
      </c>
      <c r="AQ10" s="469">
        <f t="shared" si="27"/>
        <v>225.48148148148158</v>
      </c>
      <c r="AR10" s="469"/>
      <c r="AS10" s="5">
        <f t="shared" si="55"/>
        <v>4.4349540078843601</v>
      </c>
      <c r="AT10" s="5">
        <f t="shared" si="28"/>
        <v>0.1875</v>
      </c>
      <c r="AU10" s="5">
        <f t="shared" si="56"/>
        <v>4.2474540078843601</v>
      </c>
      <c r="AV10" s="5">
        <f t="shared" si="29"/>
        <v>6.4712206554230591E-6</v>
      </c>
      <c r="AW10" s="177">
        <f t="shared" si="57"/>
        <v>4.2277777777777803E-2</v>
      </c>
      <c r="AX10" s="177">
        <f t="shared" si="30"/>
        <v>7.6100000000000029E-2</v>
      </c>
      <c r="AY10" s="177">
        <f t="shared" si="31"/>
        <v>3281.8027958333328</v>
      </c>
      <c r="AZ10" s="177">
        <f t="shared" si="58"/>
        <v>2.3188474364339834E-5</v>
      </c>
      <c r="BA10" s="469">
        <f t="shared" si="32"/>
        <v>3.7498705811702195</v>
      </c>
      <c r="BB10" s="469">
        <f t="shared" si="33"/>
        <v>1.9021812413032562E-2</v>
      </c>
      <c r="BC10" s="5">
        <f t="shared" si="34"/>
        <v>1.2290086828369098E-2</v>
      </c>
      <c r="BD10" s="469">
        <f t="shared" si="35"/>
        <v>1.4852270860709587</v>
      </c>
      <c r="BE10" s="5"/>
      <c r="BF10" s="177">
        <f t="shared" si="59"/>
        <v>1.7806833894135517E-2</v>
      </c>
      <c r="BG10" s="177">
        <f t="shared" si="36"/>
        <v>3872.2382150227936</v>
      </c>
      <c r="BH10" s="177"/>
      <c r="BI10" s="538">
        <f t="shared" si="37"/>
        <v>1.109791666666667E-4</v>
      </c>
      <c r="BJ10" s="538">
        <f t="shared" si="38"/>
        <v>117.60165586222229</v>
      </c>
      <c r="BK10" s="538">
        <f t="shared" si="39"/>
        <v>2.8185185185185197E-3</v>
      </c>
      <c r="BL10" s="538">
        <f t="shared" si="40"/>
        <v>5452095.7141405614</v>
      </c>
      <c r="BM10">
        <f t="shared" si="41"/>
        <v>6.96E-3</v>
      </c>
      <c r="BN10">
        <f t="shared" si="42"/>
        <v>1.0710370370370375E-5</v>
      </c>
      <c r="BO10" s="538">
        <f t="shared" si="43"/>
        <v>5452324.9656433733</v>
      </c>
      <c r="BP10" s="469">
        <f t="shared" si="60"/>
        <v>5452324965.6433735</v>
      </c>
      <c r="BQ10" s="538">
        <f t="shared" si="44"/>
        <v>11455590.799959039</v>
      </c>
      <c r="BR10" s="538"/>
      <c r="BT10" s="469">
        <f t="shared" si="61"/>
        <v>11455590799.95904</v>
      </c>
      <c r="BU10" s="538">
        <f t="shared" si="45"/>
        <v>3.1708333333333343E-5</v>
      </c>
      <c r="BV10" s="538">
        <f t="shared" si="46"/>
        <v>449826.86381648731</v>
      </c>
      <c r="BW10" s="538">
        <f t="shared" si="47"/>
        <v>0</v>
      </c>
      <c r="BX10" s="538">
        <f t="shared" si="48"/>
        <v>-14.000389049381399</v>
      </c>
      <c r="BY10" s="538">
        <f t="shared" si="49"/>
        <v>2.536666666666668E-4</v>
      </c>
      <c r="BZ10" s="469">
        <f t="shared" si="62"/>
        <v>-14000.13538271473</v>
      </c>
      <c r="CA10" s="177">
        <f t="shared" si="63"/>
        <v>16907901.765467029</v>
      </c>
      <c r="CB10" s="5">
        <f t="shared" si="64"/>
        <v>7.5000000000000011E-2</v>
      </c>
      <c r="CC10" s="177">
        <f t="shared" si="65"/>
        <v>4.4357958017296109E-9</v>
      </c>
      <c r="CD10" s="5">
        <f t="shared" si="66"/>
        <v>4.4357958017296107E-7</v>
      </c>
      <c r="CG10" s="571">
        <f t="shared" si="50"/>
        <v>-50</v>
      </c>
      <c r="CH10">
        <f t="shared" si="51"/>
        <v>-50</v>
      </c>
    </row>
    <row r="11" spans="2:86" x14ac:dyDescent="0.25">
      <c r="E11" s="174">
        <v>6</v>
      </c>
      <c r="F11" s="221">
        <f t="shared" si="52"/>
        <v>6.0000000000000001E-3</v>
      </c>
      <c r="G11" s="221"/>
      <c r="H11" s="221">
        <f t="shared" si="0"/>
        <v>0.09</v>
      </c>
      <c r="I11" s="551">
        <f t="shared" si="1"/>
        <v>24</v>
      </c>
      <c r="J11" s="176">
        <f t="shared" si="2"/>
        <v>695386.58000000007</v>
      </c>
      <c r="K11" s="451">
        <f t="shared" si="3"/>
        <v>695410.58000000007</v>
      </c>
      <c r="L11" s="451"/>
      <c r="M11" s="221">
        <f t="shared" si="4"/>
        <v>0.99996548801428931</v>
      </c>
      <c r="N11" s="176">
        <f t="shared" si="5"/>
        <v>8.0997204529157436</v>
      </c>
      <c r="O11" s="176">
        <f t="shared" si="53"/>
        <v>0.09</v>
      </c>
      <c r="P11" s="221">
        <f t="shared" si="6"/>
        <v>0.5399813635277162</v>
      </c>
      <c r="Q11" s="221">
        <f t="shared" si="7"/>
        <v>15</v>
      </c>
      <c r="R11" s="221">
        <f t="shared" si="8"/>
        <v>0.59997929280857354</v>
      </c>
      <c r="S11" s="176">
        <f t="shared" si="9"/>
        <v>1349.9994747950377</v>
      </c>
      <c r="T11" s="176">
        <f t="shared" si="10"/>
        <v>15</v>
      </c>
      <c r="U11" s="221">
        <f t="shared" si="11"/>
        <v>8.3336209431402412E-3</v>
      </c>
      <c r="V11" s="221">
        <f t="shared" si="12"/>
        <v>1.0417026178925303E-2</v>
      </c>
      <c r="W11" s="221">
        <f t="shared" si="13"/>
        <v>3.5952466654476883E-7</v>
      </c>
      <c r="X11" s="201">
        <f t="shared" si="14"/>
        <v>350</v>
      </c>
      <c r="Y11" s="451">
        <f t="shared" si="54"/>
        <v>350</v>
      </c>
      <c r="AA11" s="221">
        <f t="shared" si="15"/>
        <v>2.2856354011755182</v>
      </c>
      <c r="AB11" s="177">
        <f t="shared" si="16"/>
        <v>9.8605673459021225E-5</v>
      </c>
      <c r="AC11" s="177">
        <f t="shared" si="17"/>
        <v>1.8020156525828219</v>
      </c>
      <c r="AD11" s="177"/>
      <c r="AE11" s="177">
        <f t="shared" si="18"/>
        <v>6.4712206554230591E-6</v>
      </c>
      <c r="AF11" s="555">
        <f t="shared" si="19"/>
        <v>270.5777777777779</v>
      </c>
      <c r="AG11" s="538">
        <f t="shared" si="20"/>
        <v>7.7611695137976321E-3</v>
      </c>
      <c r="AI11" s="177">
        <f t="shared" si="21"/>
        <v>0.13902152397015408</v>
      </c>
      <c r="AJ11" s="177">
        <f t="shared" si="22"/>
        <v>0.15</v>
      </c>
      <c r="AK11" s="177">
        <f t="shared" si="23"/>
        <v>1.1546158730158731</v>
      </c>
      <c r="AM11" s="555">
        <f t="shared" si="24"/>
        <v>6</v>
      </c>
      <c r="AN11" s="469">
        <f t="shared" si="25"/>
        <v>270.5777777777779</v>
      </c>
      <c r="AP11">
        <f t="shared" si="26"/>
        <v>6</v>
      </c>
      <c r="AQ11" s="469">
        <f t="shared" si="27"/>
        <v>270.5777777777779</v>
      </c>
      <c r="AR11" s="469"/>
      <c r="AS11" s="5">
        <f t="shared" si="55"/>
        <v>3.6957950065703007</v>
      </c>
      <c r="AT11" s="5">
        <f t="shared" si="28"/>
        <v>0.1875</v>
      </c>
      <c r="AU11" s="5">
        <f t="shared" si="56"/>
        <v>3.5082950065703007</v>
      </c>
      <c r="AV11" s="5">
        <f t="shared" si="29"/>
        <v>6.4712206554230591E-6</v>
      </c>
      <c r="AW11" s="177">
        <f t="shared" si="57"/>
        <v>5.0733333333333352E-2</v>
      </c>
      <c r="AX11" s="177">
        <f t="shared" si="30"/>
        <v>9.132000000000004E-2</v>
      </c>
      <c r="AY11" s="177">
        <f t="shared" si="31"/>
        <v>3252.8283549999996</v>
      </c>
      <c r="AZ11" s="177">
        <f t="shared" si="58"/>
        <v>2.807402974695234E-5</v>
      </c>
      <c r="BA11" s="469">
        <f t="shared" si="32"/>
        <v>3.7498705811702195</v>
      </c>
      <c r="BB11" s="469">
        <f t="shared" si="33"/>
        <v>2.3791409874766883E-2</v>
      </c>
      <c r="BC11" s="5">
        <f t="shared" si="34"/>
        <v>1.2181579883924654E-2</v>
      </c>
      <c r="BD11" s="469">
        <f t="shared" si="35"/>
        <v>1.4742895860709584</v>
      </c>
      <c r="BE11" s="5"/>
      <c r="BF11" s="177">
        <f t="shared" si="59"/>
        <v>1.950640920313116E-2</v>
      </c>
      <c r="BG11" s="177">
        <f t="shared" si="36"/>
        <v>3855.1066744202421</v>
      </c>
      <c r="BH11" s="177"/>
      <c r="BI11" s="538">
        <f t="shared" si="37"/>
        <v>1.33175E-4</v>
      </c>
      <c r="BJ11" s="538">
        <f t="shared" si="38"/>
        <v>141.12198703466674</v>
      </c>
      <c r="BK11" s="538">
        <f t="shared" si="39"/>
        <v>3.3822222222222235E-3</v>
      </c>
      <c r="BL11" s="538">
        <f t="shared" si="40"/>
        <v>6542514.8569686739</v>
      </c>
      <c r="BM11">
        <f t="shared" si="41"/>
        <v>6.96E-3</v>
      </c>
      <c r="BN11">
        <f t="shared" si="42"/>
        <v>1.285244444444445E-5</v>
      </c>
      <c r="BO11" s="538">
        <f t="shared" si="43"/>
        <v>6542816.7516219923</v>
      </c>
      <c r="BP11" s="469">
        <f t="shared" si="60"/>
        <v>6542816751.6219921</v>
      </c>
      <c r="BQ11" s="538">
        <f t="shared" si="44"/>
        <v>11354451.469684856</v>
      </c>
      <c r="BR11" s="538"/>
      <c r="BT11" s="469">
        <f t="shared" si="61"/>
        <v>11354451469.684856</v>
      </c>
      <c r="BU11" s="538">
        <f t="shared" si="45"/>
        <v>3.8050000000000003E-5</v>
      </c>
      <c r="BV11" s="538">
        <f t="shared" si="46"/>
        <v>445855.42413478496</v>
      </c>
      <c r="BW11" s="538">
        <f t="shared" si="47"/>
        <v>0</v>
      </c>
      <c r="BX11" s="538">
        <f t="shared" si="48"/>
        <v>-14.000392514920643</v>
      </c>
      <c r="BY11" s="538">
        <f t="shared" si="49"/>
        <v>3.0440000000000013E-4</v>
      </c>
      <c r="BZ11" s="469">
        <f t="shared" si="62"/>
        <v>-14000.088114920643</v>
      </c>
      <c r="CA11" s="177">
        <f t="shared" si="63"/>
        <v>17897254.221218735</v>
      </c>
      <c r="CB11" s="5">
        <f t="shared" si="64"/>
        <v>0.09</v>
      </c>
      <c r="CC11" s="177">
        <f t="shared" si="65"/>
        <v>5.0287043160349069E-9</v>
      </c>
      <c r="CD11" s="5">
        <f t="shared" si="66"/>
        <v>5.0287043160349073E-7</v>
      </c>
      <c r="CG11" s="571">
        <f t="shared" si="50"/>
        <v>-50</v>
      </c>
      <c r="CH11">
        <f t="shared" si="51"/>
        <v>-50</v>
      </c>
    </row>
    <row r="12" spans="2:86" x14ac:dyDescent="0.25">
      <c r="E12" s="174">
        <v>7</v>
      </c>
      <c r="F12" s="221">
        <f t="shared" si="52"/>
        <v>7.000000000000001E-3</v>
      </c>
      <c r="G12" s="221"/>
      <c r="H12" s="221">
        <f t="shared" si="0"/>
        <v>0.10500000000000001</v>
      </c>
      <c r="I12" s="551">
        <f t="shared" si="1"/>
        <v>24</v>
      </c>
      <c r="J12" s="176">
        <f t="shared" si="2"/>
        <v>695386.58000000007</v>
      </c>
      <c r="K12" s="451">
        <f t="shared" si="3"/>
        <v>695410.58000000007</v>
      </c>
      <c r="L12" s="451"/>
      <c r="M12" s="221">
        <f t="shared" si="4"/>
        <v>0.99996548801428931</v>
      </c>
      <c r="N12" s="176">
        <f t="shared" si="5"/>
        <v>8.0997204529157436</v>
      </c>
      <c r="O12" s="176">
        <f t="shared" si="53"/>
        <v>0.10500000000000001</v>
      </c>
      <c r="P12" s="221">
        <f t="shared" si="6"/>
        <v>0.5399813635277162</v>
      </c>
      <c r="Q12" s="221">
        <f t="shared" si="7"/>
        <v>15</v>
      </c>
      <c r="R12" s="221">
        <f t="shared" si="8"/>
        <v>0.59997929280857354</v>
      </c>
      <c r="S12" s="176">
        <f t="shared" si="9"/>
        <v>1157.1423319521568</v>
      </c>
      <c r="T12" s="176">
        <f t="shared" si="10"/>
        <v>15</v>
      </c>
      <c r="U12" s="221">
        <f t="shared" si="11"/>
        <v>9.7225577669969483E-3</v>
      </c>
      <c r="V12" s="221">
        <f t="shared" si="12"/>
        <v>1.2153197208746186E-2</v>
      </c>
      <c r="W12" s="221">
        <f t="shared" si="13"/>
        <v>4.1944544430223036E-7</v>
      </c>
      <c r="X12" s="201">
        <f t="shared" si="14"/>
        <v>350</v>
      </c>
      <c r="Y12" s="451">
        <f t="shared" si="54"/>
        <v>350</v>
      </c>
      <c r="AA12" s="221">
        <f t="shared" si="15"/>
        <v>2.2856354011755182</v>
      </c>
      <c r="AB12" s="177">
        <f t="shared" si="16"/>
        <v>9.8605673459021225E-5</v>
      </c>
      <c r="AC12" s="177">
        <f t="shared" si="17"/>
        <v>1.8020156525828219</v>
      </c>
      <c r="AD12" s="177"/>
      <c r="AE12" s="177">
        <f t="shared" si="18"/>
        <v>6.4712206554230591E-6</v>
      </c>
      <c r="AF12" s="555">
        <f t="shared" si="19"/>
        <v>315.67407407407421</v>
      </c>
      <c r="AG12" s="538">
        <f t="shared" si="20"/>
        <v>7.7611695137976321E-3</v>
      </c>
      <c r="AI12" s="177">
        <f t="shared" si="21"/>
        <v>0.15016040805801026</v>
      </c>
      <c r="AJ12" s="177">
        <f t="shared" si="22"/>
        <v>0.15016040805801026</v>
      </c>
      <c r="AK12" s="177">
        <f t="shared" si="23"/>
        <v>1.1803851851851852</v>
      </c>
      <c r="AM12" s="555">
        <f t="shared" si="24"/>
        <v>7.0000000000000009</v>
      </c>
      <c r="AN12" s="469">
        <f t="shared" si="25"/>
        <v>315.67407407407421</v>
      </c>
      <c r="AP12">
        <f t="shared" si="26"/>
        <v>7.0000000000000009</v>
      </c>
      <c r="AQ12" s="469">
        <f t="shared" si="27"/>
        <v>315.67407407407421</v>
      </c>
      <c r="AR12" s="469"/>
      <c r="AS12" s="5">
        <f t="shared" si="55"/>
        <v>3.1678242913459722</v>
      </c>
      <c r="AT12" s="5">
        <f t="shared" si="28"/>
        <v>0.18770051007251284</v>
      </c>
      <c r="AU12" s="5">
        <f t="shared" si="56"/>
        <v>2.9801237812734596</v>
      </c>
      <c r="AV12" s="5">
        <f t="shared" si="29"/>
        <v>6.4781408950116743E-6</v>
      </c>
      <c r="AW12" s="177">
        <f t="shared" si="57"/>
        <v>5.9252184720371928E-2</v>
      </c>
      <c r="AX12" s="177">
        <f t="shared" si="30"/>
        <v>0.10676798683127577</v>
      </c>
      <c r="AY12" s="177">
        <f t="shared" si="31"/>
        <v>3227.0843356172918</v>
      </c>
      <c r="AZ12" s="177">
        <f t="shared" si="58"/>
        <v>3.3084969504167821E-5</v>
      </c>
      <c r="BA12" s="469">
        <f t="shared" si="32"/>
        <v>3.7498705811702195</v>
      </c>
      <c r="BB12" s="469">
        <f t="shared" si="33"/>
        <v>2.8882752329543817E-2</v>
      </c>
      <c r="BC12" s="5">
        <f t="shared" si="34"/>
        <v>1.2072260688029059E-2</v>
      </c>
      <c r="BD12" s="469">
        <f t="shared" si="35"/>
        <v>1.4632546158968205</v>
      </c>
      <c r="BE12" s="5"/>
      <c r="BF12" s="177">
        <f t="shared" si="59"/>
        <v>2.1103135937393967E-2</v>
      </c>
      <c r="BG12" s="177">
        <f t="shared" si="36"/>
        <v>3841.8736190813697</v>
      </c>
      <c r="BH12" s="177"/>
      <c r="BI12" s="538">
        <f t="shared" si="37"/>
        <v>1.5586982123724506E-4</v>
      </c>
      <c r="BJ12" s="538">
        <f t="shared" si="38"/>
        <v>164.81838457064393</v>
      </c>
      <c r="BK12" s="538">
        <f t="shared" si="39"/>
        <v>3.9459259259259282E-3</v>
      </c>
      <c r="BL12" s="538">
        <f t="shared" si="40"/>
        <v>7632933.9997967854</v>
      </c>
      <c r="BM12">
        <f t="shared" si="41"/>
        <v>6.96E-3</v>
      </c>
      <c r="BN12">
        <f t="shared" si="42"/>
        <v>1.4994518518518526E-5</v>
      </c>
      <c r="BO12" s="538">
        <f t="shared" si="43"/>
        <v>7633318.3481109831</v>
      </c>
      <c r="BP12" s="469">
        <f t="shared" si="60"/>
        <v>7633318348.1109829</v>
      </c>
      <c r="BQ12" s="538">
        <f t="shared" si="44"/>
        <v>11276634.58142044</v>
      </c>
      <c r="BR12" s="538"/>
      <c r="BT12" s="469">
        <f t="shared" si="61"/>
        <v>11276634581.420441</v>
      </c>
      <c r="BU12" s="538">
        <f t="shared" si="45"/>
        <v>4.4534234639212876E-5</v>
      </c>
      <c r="BV12" s="538">
        <f t="shared" si="46"/>
        <v>442799.78714980144</v>
      </c>
      <c r="BW12" s="538">
        <f t="shared" si="47"/>
        <v>0</v>
      </c>
      <c r="BX12" s="538">
        <f t="shared" si="48"/>
        <v>-14.000395223632344</v>
      </c>
      <c r="BY12" s="538">
        <f t="shared" si="49"/>
        <v>3.5589328943758596E-4</v>
      </c>
      <c r="BZ12" s="469">
        <f t="shared" si="62"/>
        <v>-14000.039330342906</v>
      </c>
      <c r="CA12" s="177">
        <f t="shared" si="63"/>
        <v>18909938.929492094</v>
      </c>
      <c r="CB12" s="5">
        <f t="shared" si="64"/>
        <v>0.10500000000000001</v>
      </c>
      <c r="CC12" s="177">
        <f t="shared" si="65"/>
        <v>5.5526355642119198E-9</v>
      </c>
      <c r="CD12" s="5">
        <f t="shared" si="66"/>
        <v>5.5526355642119194E-7</v>
      </c>
      <c r="CG12" s="571">
        <f t="shared" si="50"/>
        <v>-50</v>
      </c>
      <c r="CH12">
        <f t="shared" si="51"/>
        <v>-50</v>
      </c>
    </row>
    <row r="13" spans="2:86" s="77" customFormat="1" x14ac:dyDescent="0.25">
      <c r="E13" s="193">
        <v>8</v>
      </c>
      <c r="F13" s="221">
        <f t="shared" si="52"/>
        <v>8.0000000000000002E-3</v>
      </c>
      <c r="G13" s="221"/>
      <c r="H13" s="221">
        <f t="shared" si="0"/>
        <v>0.12</v>
      </c>
      <c r="I13" s="551">
        <f t="shared" si="1"/>
        <v>24</v>
      </c>
      <c r="J13" s="176">
        <f t="shared" si="2"/>
        <v>695386.58000000007</v>
      </c>
      <c r="K13" s="545">
        <f t="shared" si="3"/>
        <v>695410.58000000007</v>
      </c>
      <c r="L13" s="545"/>
      <c r="M13" s="333">
        <f t="shared" si="4"/>
        <v>0.99996548801428931</v>
      </c>
      <c r="N13" s="176">
        <f t="shared" si="5"/>
        <v>8.0997204529157436</v>
      </c>
      <c r="O13" s="176">
        <f t="shared" si="53"/>
        <v>0.12</v>
      </c>
      <c r="P13" s="333">
        <f t="shared" si="6"/>
        <v>0.5399813635277162</v>
      </c>
      <c r="Q13" s="221">
        <f t="shared" si="7"/>
        <v>15</v>
      </c>
      <c r="R13" s="221">
        <f t="shared" si="8"/>
        <v>0.59997929280857354</v>
      </c>
      <c r="S13" s="176">
        <f t="shared" si="9"/>
        <v>1012.4994748235611</v>
      </c>
      <c r="T13" s="176">
        <f t="shared" si="10"/>
        <v>15</v>
      </c>
      <c r="U13" s="221">
        <f t="shared" si="11"/>
        <v>1.1111494590853654E-2</v>
      </c>
      <c r="V13" s="333">
        <f t="shared" si="12"/>
        <v>1.3889368238567066E-2</v>
      </c>
      <c r="W13" s="221">
        <f t="shared" si="13"/>
        <v>4.7936622205969178E-7</v>
      </c>
      <c r="X13" s="547">
        <f t="shared" si="14"/>
        <v>350</v>
      </c>
      <c r="Y13" s="545">
        <f t="shared" si="54"/>
        <v>350</v>
      </c>
      <c r="AA13" s="333">
        <f t="shared" si="15"/>
        <v>2.2856354011755182</v>
      </c>
      <c r="AB13" s="177">
        <f t="shared" si="16"/>
        <v>9.8605673459021225E-5</v>
      </c>
      <c r="AC13" s="548">
        <f t="shared" si="17"/>
        <v>1.8020156525828219</v>
      </c>
      <c r="AD13" s="548"/>
      <c r="AE13" s="177">
        <f t="shared" si="18"/>
        <v>6.4712206554230591E-6</v>
      </c>
      <c r="AF13" s="555">
        <f t="shared" si="19"/>
        <v>360.77037037037047</v>
      </c>
      <c r="AG13" s="538">
        <f t="shared" si="20"/>
        <v>7.7611695137976321E-3</v>
      </c>
      <c r="AH13"/>
      <c r="AI13" s="177">
        <f t="shared" si="21"/>
        <v>0.16052822857464094</v>
      </c>
      <c r="AJ13" s="177">
        <f t="shared" si="22"/>
        <v>0.16052822857464094</v>
      </c>
      <c r="AK13" s="177">
        <f t="shared" si="23"/>
        <v>1.2070188190497606</v>
      </c>
      <c r="AM13" s="555">
        <f t="shared" si="24"/>
        <v>8</v>
      </c>
      <c r="AN13" s="469">
        <f t="shared" si="25"/>
        <v>350</v>
      </c>
      <c r="AP13">
        <f t="shared" si="26"/>
        <v>8</v>
      </c>
      <c r="AQ13" s="469">
        <f t="shared" si="27"/>
        <v>350</v>
      </c>
      <c r="AR13" s="469"/>
      <c r="AS13" s="5">
        <f t="shared" si="55"/>
        <v>2.8571428571428572</v>
      </c>
      <c r="AT13" s="5">
        <f t="shared" si="28"/>
        <v>0.20066028571830116</v>
      </c>
      <c r="AU13" s="5">
        <f t="shared" si="56"/>
        <v>2.6564825714245561</v>
      </c>
      <c r="AV13" s="5">
        <f t="shared" si="29"/>
        <v>6.9254239235379365E-6</v>
      </c>
      <c r="AW13" s="177">
        <f t="shared" si="57"/>
        <v>7.0231100001405408E-2</v>
      </c>
      <c r="AX13" s="177">
        <f t="shared" si="30"/>
        <v>0.13528888888888888</v>
      </c>
      <c r="AY13" s="177">
        <f t="shared" si="31"/>
        <v>3409.6365324881995</v>
      </c>
      <c r="AZ13" s="177">
        <f t="shared" si="58"/>
        <v>3.9678390233037868E-5</v>
      </c>
      <c r="BA13" s="469">
        <f t="shared" si="32"/>
        <v>3.7498705811702195</v>
      </c>
      <c r="BB13" s="469">
        <f t="shared" si="33"/>
        <v>3.4295839777363349E-2</v>
      </c>
      <c r="BC13" s="5">
        <f t="shared" si="34"/>
        <v>1.2298530423261832E-2</v>
      </c>
      <c r="BD13" s="469">
        <f t="shared" si="35"/>
        <v>1.4924903174580866</v>
      </c>
      <c r="BE13" s="5"/>
      <c r="BF13" s="177">
        <f t="shared" si="59"/>
        <v>2.4561535917842464E-2</v>
      </c>
      <c r="BG13" s="177">
        <f t="shared" si="36"/>
        <v>4083.0993404339752</v>
      </c>
      <c r="BH13" s="177"/>
      <c r="BI13" s="538">
        <f t="shared" si="37"/>
        <v>2.111441663252129E-4</v>
      </c>
      <c r="BJ13" s="538">
        <f t="shared" si="38"/>
        <v>195.35779994406138</v>
      </c>
      <c r="BK13" s="538">
        <f t="shared" si="39"/>
        <v>4.3749999999999995E-3</v>
      </c>
      <c r="BL13" s="538">
        <f t="shared" si="40"/>
        <v>8462927.8085788898</v>
      </c>
      <c r="BM13">
        <f t="shared" si="41"/>
        <v>6.96E-3</v>
      </c>
      <c r="BN13">
        <f t="shared" si="42"/>
        <v>1.6625000000000001E-5</v>
      </c>
      <c r="BO13" s="538">
        <f t="shared" si="43"/>
        <v>8463452.8810757753</v>
      </c>
      <c r="BP13" s="469">
        <f t="shared" si="60"/>
        <v>8463452881.0757751</v>
      </c>
      <c r="BQ13" s="538">
        <f t="shared" si="44"/>
        <v>12737178.973315202</v>
      </c>
      <c r="BR13" s="538"/>
      <c r="BT13" s="469">
        <f t="shared" si="61"/>
        <v>12737178973.315201</v>
      </c>
      <c r="BU13" s="538">
        <f t="shared" si="45"/>
        <v>6.0326904664346553E-5</v>
      </c>
      <c r="BV13" s="538">
        <f t="shared" si="46"/>
        <v>500151.00671557087</v>
      </c>
      <c r="BW13" s="538">
        <f t="shared" si="47"/>
        <v>0</v>
      </c>
      <c r="BX13" s="538">
        <f t="shared" si="48"/>
        <v>-14.000349903072106</v>
      </c>
      <c r="BY13" s="538">
        <f t="shared" si="49"/>
        <v>4.5096296296296301E-4</v>
      </c>
      <c r="BZ13" s="469">
        <f t="shared" si="62"/>
        <v>-13999.898940109142</v>
      </c>
      <c r="CA13" s="177">
        <f t="shared" si="63"/>
        <v>21200617.854492038</v>
      </c>
      <c r="CB13" s="5">
        <f t="shared" si="64"/>
        <v>0.12</v>
      </c>
      <c r="CC13" s="177">
        <f t="shared" si="65"/>
        <v>5.6602123647707092E-9</v>
      </c>
      <c r="CD13" s="5">
        <f t="shared" si="66"/>
        <v>5.6602123647707089E-7</v>
      </c>
      <c r="CG13" s="571">
        <f t="shared" si="50"/>
        <v>-50</v>
      </c>
      <c r="CH13">
        <f t="shared" si="51"/>
        <v>-50</v>
      </c>
    </row>
    <row r="14" spans="2:86" x14ac:dyDescent="0.25">
      <c r="E14" s="174">
        <v>9</v>
      </c>
      <c r="F14" s="221">
        <f t="shared" si="52"/>
        <v>8.9999999999999993E-3</v>
      </c>
      <c r="G14" s="221"/>
      <c r="H14" s="221">
        <f t="shared" si="0"/>
        <v>0.13499999999999998</v>
      </c>
      <c r="I14" s="551">
        <f t="shared" si="1"/>
        <v>24</v>
      </c>
      <c r="J14" s="176">
        <f t="shared" si="2"/>
        <v>695386.58000000007</v>
      </c>
      <c r="K14" s="451">
        <f t="shared" si="3"/>
        <v>695410.58000000007</v>
      </c>
      <c r="L14" s="451"/>
      <c r="M14" s="221">
        <f t="shared" si="4"/>
        <v>0.99996548801428931</v>
      </c>
      <c r="N14" s="176">
        <f t="shared" si="5"/>
        <v>8.0997204529157436</v>
      </c>
      <c r="O14" s="176">
        <f t="shared" si="53"/>
        <v>0.13499999999999998</v>
      </c>
      <c r="P14" s="221">
        <f t="shared" si="6"/>
        <v>0.5399813635277162</v>
      </c>
      <c r="Q14" s="221">
        <f t="shared" si="7"/>
        <v>15</v>
      </c>
      <c r="R14" s="221">
        <f t="shared" si="8"/>
        <v>0.59997929280857354</v>
      </c>
      <c r="S14" s="176">
        <f t="shared" si="9"/>
        <v>899.99947483782194</v>
      </c>
      <c r="T14" s="176">
        <f t="shared" si="10"/>
        <v>15</v>
      </c>
      <c r="U14" s="221">
        <f t="shared" si="11"/>
        <v>1.2500431414710359E-2</v>
      </c>
      <c r="V14" s="221">
        <f t="shared" si="12"/>
        <v>1.5625539268387952E-2</v>
      </c>
      <c r="W14" s="221">
        <f t="shared" si="13"/>
        <v>5.3928699981715315E-7</v>
      </c>
      <c r="X14" s="201">
        <f t="shared" si="14"/>
        <v>350</v>
      </c>
      <c r="Y14" s="451">
        <f t="shared" si="54"/>
        <v>350</v>
      </c>
      <c r="AA14" s="221">
        <f t="shared" si="15"/>
        <v>2.2856354011755182</v>
      </c>
      <c r="AB14" s="177">
        <f t="shared" si="16"/>
        <v>9.8605673459021225E-5</v>
      </c>
      <c r="AC14" s="177">
        <f t="shared" si="17"/>
        <v>1.8020156525828219</v>
      </c>
      <c r="AD14" s="177"/>
      <c r="AE14" s="177">
        <f t="shared" si="18"/>
        <v>6.4712206554230591E-6</v>
      </c>
      <c r="AF14" s="555">
        <f t="shared" si="19"/>
        <v>405.86666666666673</v>
      </c>
      <c r="AG14" s="538">
        <f t="shared" si="20"/>
        <v>7.7611695137976321E-3</v>
      </c>
      <c r="AI14" s="177">
        <f t="shared" si="21"/>
        <v>0.17026589849548907</v>
      </c>
      <c r="AJ14" s="177">
        <f t="shared" si="22"/>
        <v>0.17026589849548907</v>
      </c>
      <c r="AK14" s="177">
        <f t="shared" si="23"/>
        <v>1.2135105989969928</v>
      </c>
      <c r="AM14" s="555">
        <f t="shared" si="24"/>
        <v>9</v>
      </c>
      <c r="AN14" s="469">
        <f t="shared" si="25"/>
        <v>350</v>
      </c>
      <c r="AP14">
        <f t="shared" si="26"/>
        <v>9</v>
      </c>
      <c r="AQ14" s="469">
        <f t="shared" si="27"/>
        <v>350</v>
      </c>
      <c r="AR14" s="469"/>
      <c r="AS14" s="5">
        <f t="shared" si="55"/>
        <v>2.8571428571428572</v>
      </c>
      <c r="AT14" s="5">
        <f t="shared" si="28"/>
        <v>0.21283237311936135</v>
      </c>
      <c r="AU14" s="5">
        <f t="shared" si="56"/>
        <v>2.6443104840234959</v>
      </c>
      <c r="AV14" s="5">
        <f t="shared" si="29"/>
        <v>7.3455213283878323E-6</v>
      </c>
      <c r="AW14" s="177">
        <f t="shared" si="57"/>
        <v>7.449133059177647E-2</v>
      </c>
      <c r="AX14" s="177">
        <f t="shared" si="30"/>
        <v>0.15219999999999997</v>
      </c>
      <c r="AY14" s="177">
        <f t="shared" si="31"/>
        <v>3599.8949098468665</v>
      </c>
      <c r="AZ14" s="177">
        <f t="shared" si="58"/>
        <v>4.2279011974400746E-5</v>
      </c>
      <c r="BA14" s="469">
        <f t="shared" si="32"/>
        <v>3.7498705811702195</v>
      </c>
      <c r="BB14" s="469">
        <f t="shared" si="33"/>
        <v>4.0030672218225476E-2</v>
      </c>
      <c r="BC14" s="5">
        <f t="shared" si="34"/>
        <v>1.3772450437622369E-2</v>
      </c>
      <c r="BD14" s="469">
        <f t="shared" si="35"/>
        <v>1.6714440525146848</v>
      </c>
      <c r="BE14" s="5"/>
      <c r="BF14" s="177">
        <f t="shared" si="59"/>
        <v>2.6829953074364393E-2</v>
      </c>
      <c r="BG14" s="177">
        <f t="shared" si="36"/>
        <v>4320.8475684996711</v>
      </c>
      <c r="BH14" s="177"/>
      <c r="BI14" s="538">
        <f t="shared" si="37"/>
        <v>2.5194623369040835E-4</v>
      </c>
      <c r="BJ14" s="538">
        <f t="shared" si="38"/>
        <v>207.20823764719609</v>
      </c>
      <c r="BK14" s="538">
        <f t="shared" si="39"/>
        <v>4.3749999999999995E-3</v>
      </c>
      <c r="BL14" s="538">
        <f t="shared" si="40"/>
        <v>8462927.8085788898</v>
      </c>
      <c r="BM14">
        <f t="shared" si="41"/>
        <v>6.96E-3</v>
      </c>
      <c r="BN14">
        <f t="shared" si="42"/>
        <v>1.6625000000000001E-5</v>
      </c>
      <c r="BO14" s="538">
        <f t="shared" si="43"/>
        <v>8463528.4477885514</v>
      </c>
      <c r="BP14" s="469">
        <f t="shared" si="60"/>
        <v>8463528447.7885513</v>
      </c>
      <c r="BQ14" s="538">
        <f t="shared" si="44"/>
        <v>14263668.917178567</v>
      </c>
      <c r="BR14" s="538"/>
      <c r="BT14" s="469">
        <f t="shared" si="61"/>
        <v>14263668917.178568</v>
      </c>
      <c r="BU14" s="538">
        <f t="shared" si="45"/>
        <v>7.1984638197259546E-5</v>
      </c>
      <c r="BV14" s="538">
        <f t="shared" si="46"/>
        <v>560091.71130628558</v>
      </c>
      <c r="BW14" s="538">
        <f t="shared" si="47"/>
        <v>0</v>
      </c>
      <c r="BX14" s="538">
        <f t="shared" si="48"/>
        <v>-14.000312455803474</v>
      </c>
      <c r="BY14" s="538">
        <f t="shared" si="49"/>
        <v>5.0733333333333327E-4</v>
      </c>
      <c r="BZ14" s="469">
        <f t="shared" si="62"/>
        <v>-13999.805122470141</v>
      </c>
      <c r="CA14" s="177">
        <f t="shared" si="63"/>
        <v>22727183.365161996</v>
      </c>
      <c r="CB14" s="5">
        <f t="shared" si="64"/>
        <v>0.13499999999999998</v>
      </c>
      <c r="CC14" s="177">
        <f t="shared" si="65"/>
        <v>5.9400233204892155E-9</v>
      </c>
      <c r="CD14" s="5">
        <f t="shared" si="66"/>
        <v>5.9400233204892159E-7</v>
      </c>
      <c r="CG14" s="571">
        <f t="shared" si="50"/>
        <v>-50</v>
      </c>
      <c r="CH14">
        <f t="shared" si="51"/>
        <v>-50</v>
      </c>
    </row>
    <row r="15" spans="2:86" x14ac:dyDescent="0.25">
      <c r="E15" s="174">
        <v>10</v>
      </c>
      <c r="F15" s="221">
        <f t="shared" si="52"/>
        <v>1.0000000000000002E-2</v>
      </c>
      <c r="G15" s="221"/>
      <c r="H15" s="221">
        <f t="shared" si="0"/>
        <v>0.15000000000000002</v>
      </c>
      <c r="I15" s="551">
        <f t="shared" si="1"/>
        <v>24</v>
      </c>
      <c r="J15" s="176">
        <f t="shared" si="2"/>
        <v>695386.58000000007</v>
      </c>
      <c r="K15" s="451">
        <f t="shared" si="3"/>
        <v>695410.58000000007</v>
      </c>
      <c r="L15" s="451"/>
      <c r="M15" s="221">
        <f t="shared" si="4"/>
        <v>0.99996548801428931</v>
      </c>
      <c r="N15" s="176">
        <f t="shared" si="5"/>
        <v>8.0997204529157436</v>
      </c>
      <c r="O15" s="176">
        <f t="shared" si="53"/>
        <v>0.15000000000000002</v>
      </c>
      <c r="P15" s="221">
        <f t="shared" si="6"/>
        <v>0.5399813635277162</v>
      </c>
      <c r="Q15" s="221">
        <f t="shared" si="7"/>
        <v>15</v>
      </c>
      <c r="R15" s="221">
        <f t="shared" si="8"/>
        <v>0.59997929280857354</v>
      </c>
      <c r="S15" s="176">
        <f t="shared" si="9"/>
        <v>809.99947485208122</v>
      </c>
      <c r="T15" s="176">
        <f t="shared" si="10"/>
        <v>15</v>
      </c>
      <c r="U15" s="221">
        <f t="shared" si="11"/>
        <v>1.388936823856707E-2</v>
      </c>
      <c r="V15" s="221">
        <f t="shared" si="12"/>
        <v>1.7361710298208839E-2</v>
      </c>
      <c r="W15" s="221">
        <f t="shared" si="13"/>
        <v>5.9920777757461472E-7</v>
      </c>
      <c r="X15" s="201">
        <f t="shared" si="14"/>
        <v>350</v>
      </c>
      <c r="Y15" s="451">
        <f t="shared" si="54"/>
        <v>350</v>
      </c>
      <c r="AA15" s="221">
        <f t="shared" si="15"/>
        <v>2.2856354011755182</v>
      </c>
      <c r="AB15" s="177">
        <f t="shared" si="16"/>
        <v>9.8605673459021225E-5</v>
      </c>
      <c r="AC15" s="177">
        <f t="shared" si="17"/>
        <v>1.8020156525828219</v>
      </c>
      <c r="AD15" s="177"/>
      <c r="AE15" s="177">
        <f t="shared" si="18"/>
        <v>6.4712206554230591E-6</v>
      </c>
      <c r="AF15" s="555">
        <f t="shared" si="19"/>
        <v>450.96296296296316</v>
      </c>
      <c r="AG15" s="538">
        <f t="shared" si="20"/>
        <v>7.7611695137976321E-3</v>
      </c>
      <c r="AI15" s="177">
        <f t="shared" si="21"/>
        <v>0.17947601570026067</v>
      </c>
      <c r="AJ15" s="177">
        <f t="shared" si="22"/>
        <v>0.17947601570026067</v>
      </c>
      <c r="AK15" s="177">
        <f t="shared" si="23"/>
        <v>1.2196506771335072</v>
      </c>
      <c r="AM15" s="555">
        <f t="shared" si="24"/>
        <v>10.000000000000002</v>
      </c>
      <c r="AN15" s="469">
        <f t="shared" si="25"/>
        <v>350</v>
      </c>
      <c r="AP15">
        <f t="shared" si="26"/>
        <v>10.000000000000002</v>
      </c>
      <c r="AQ15" s="469">
        <f t="shared" si="27"/>
        <v>350</v>
      </c>
      <c r="AR15" s="469"/>
      <c r="AS15" s="5">
        <f t="shared" si="55"/>
        <v>2.8571428571428572</v>
      </c>
      <c r="AT15" s="5">
        <f t="shared" si="28"/>
        <v>0.22434501962532583</v>
      </c>
      <c r="AU15" s="5">
        <f t="shared" si="56"/>
        <v>2.6327978375175314</v>
      </c>
      <c r="AV15" s="5">
        <f t="shared" si="29"/>
        <v>7.7428593330170675E-6</v>
      </c>
      <c r="AW15" s="177">
        <f t="shared" si="57"/>
        <v>7.8520756868864033E-2</v>
      </c>
      <c r="AX15" s="177">
        <f t="shared" si="30"/>
        <v>0.16911111111111113</v>
      </c>
      <c r="AY15" s="177">
        <f t="shared" si="31"/>
        <v>3778.1016091831229</v>
      </c>
      <c r="AZ15" s="177">
        <f t="shared" si="58"/>
        <v>4.4760868977178001E-5</v>
      </c>
      <c r="BA15" s="469">
        <f t="shared" si="32"/>
        <v>3.7498705811702195</v>
      </c>
      <c r="BB15" s="469">
        <f t="shared" si="33"/>
        <v>4.6087249652130235E-2</v>
      </c>
      <c r="BC15" s="5">
        <f t="shared" si="34"/>
        <v>1.5236098596744973E-2</v>
      </c>
      <c r="BD15" s="469">
        <f t="shared" si="35"/>
        <v>1.8491651649427305</v>
      </c>
      <c r="BE15" s="5"/>
      <c r="BF15" s="177">
        <f t="shared" si="59"/>
        <v>2.903608312316203E-2</v>
      </c>
      <c r="BG15" s="177">
        <f t="shared" si="36"/>
        <v>4544.6477120131631</v>
      </c>
      <c r="BH15" s="177"/>
      <c r="BI15" s="538">
        <f t="shared" si="37"/>
        <v>2.9508294309731119E-4</v>
      </c>
      <c r="BJ15" s="538">
        <f t="shared" si="38"/>
        <v>218.41666030486294</v>
      </c>
      <c r="BK15" s="538">
        <f t="shared" si="39"/>
        <v>4.3749999999999995E-3</v>
      </c>
      <c r="BL15" s="538">
        <f t="shared" si="40"/>
        <v>8462927.8085788898</v>
      </c>
      <c r="BM15">
        <f t="shared" si="41"/>
        <v>6.96E-3</v>
      </c>
      <c r="BN15">
        <f t="shared" si="42"/>
        <v>1.6625000000000001E-5</v>
      </c>
      <c r="BO15" s="538">
        <f t="shared" si="43"/>
        <v>8463607.0194153786</v>
      </c>
      <c r="BP15" s="469">
        <f t="shared" si="60"/>
        <v>8463607019.4153786</v>
      </c>
      <c r="BQ15" s="538">
        <f t="shared" si="44"/>
        <v>15779520.642163144</v>
      </c>
      <c r="BR15" s="538"/>
      <c r="BT15" s="469">
        <f t="shared" si="61"/>
        <v>15779520642.163145</v>
      </c>
      <c r="BU15" s="538">
        <f t="shared" si="45"/>
        <v>8.4309412313517498E-5</v>
      </c>
      <c r="BV15" s="538">
        <f t="shared" si="46"/>
        <v>619614.68478919426</v>
      </c>
      <c r="BW15" s="538">
        <f t="shared" si="47"/>
        <v>0</v>
      </c>
      <c r="BX15" s="538">
        <f t="shared" si="48"/>
        <v>-14.000282439288101</v>
      </c>
      <c r="BY15" s="538">
        <f t="shared" si="49"/>
        <v>5.6370370370370374E-4</v>
      </c>
      <c r="BZ15" s="469">
        <f t="shared" si="62"/>
        <v>-13999.718735584398</v>
      </c>
      <c r="CA15" s="177">
        <f t="shared" si="63"/>
        <v>24243113.661859784</v>
      </c>
      <c r="CB15" s="5">
        <f t="shared" si="64"/>
        <v>0.15000000000000002</v>
      </c>
      <c r="CC15" s="177">
        <f t="shared" si="65"/>
        <v>6.1873240031822855E-9</v>
      </c>
      <c r="CD15" s="5">
        <f t="shared" si="66"/>
        <v>6.1873240031822859E-7</v>
      </c>
      <c r="CG15" s="571">
        <f t="shared" si="50"/>
        <v>-50</v>
      </c>
      <c r="CH15">
        <f t="shared" si="51"/>
        <v>-50</v>
      </c>
    </row>
    <row r="16" spans="2:86" x14ac:dyDescent="0.25">
      <c r="E16" s="174">
        <v>11</v>
      </c>
      <c r="F16" s="221">
        <f t="shared" si="52"/>
        <v>1.1000000000000001E-2</v>
      </c>
      <c r="G16" s="221"/>
      <c r="H16" s="221">
        <f t="shared" si="0"/>
        <v>0.16500000000000001</v>
      </c>
      <c r="I16" s="551">
        <f t="shared" si="1"/>
        <v>24</v>
      </c>
      <c r="J16" s="176">
        <f t="shared" si="2"/>
        <v>695386.58000000007</v>
      </c>
      <c r="K16" s="451">
        <f t="shared" si="3"/>
        <v>695410.58000000007</v>
      </c>
      <c r="L16" s="451"/>
      <c r="M16" s="221">
        <f t="shared" si="4"/>
        <v>0.99996548801428931</v>
      </c>
      <c r="N16" s="176">
        <f t="shared" si="5"/>
        <v>8.0997204529157436</v>
      </c>
      <c r="O16" s="176">
        <f t="shared" si="53"/>
        <v>0.16500000000000001</v>
      </c>
      <c r="P16" s="221">
        <f t="shared" si="6"/>
        <v>0.5399813635277162</v>
      </c>
      <c r="Q16" s="221">
        <f t="shared" si="7"/>
        <v>15</v>
      </c>
      <c r="R16" s="221">
        <f t="shared" si="8"/>
        <v>0.59997929280857354</v>
      </c>
      <c r="S16" s="176">
        <f t="shared" si="9"/>
        <v>736.36311122997688</v>
      </c>
      <c r="T16" s="176">
        <f t="shared" si="10"/>
        <v>15</v>
      </c>
      <c r="U16" s="221">
        <f t="shared" si="11"/>
        <v>1.5278305062423777E-2</v>
      </c>
      <c r="V16" s="221">
        <f t="shared" si="12"/>
        <v>1.9097881328029719E-2</v>
      </c>
      <c r="W16" s="221">
        <f t="shared" si="13"/>
        <v>6.591285553320762E-7</v>
      </c>
      <c r="X16" s="201">
        <f t="shared" si="14"/>
        <v>350</v>
      </c>
      <c r="Y16" s="451">
        <f t="shared" si="54"/>
        <v>350</v>
      </c>
      <c r="AA16" s="221">
        <f t="shared" si="15"/>
        <v>2.2856354011755182</v>
      </c>
      <c r="AB16" s="177">
        <f t="shared" si="16"/>
        <v>9.8605673459021225E-5</v>
      </c>
      <c r="AC16" s="177">
        <f t="shared" si="17"/>
        <v>1.8020156525828219</v>
      </c>
      <c r="AD16" s="177"/>
      <c r="AE16" s="177">
        <f t="shared" si="18"/>
        <v>6.4712206554230591E-6</v>
      </c>
      <c r="AF16" s="555">
        <f t="shared" si="19"/>
        <v>496.05925925925942</v>
      </c>
      <c r="AG16" s="538">
        <f t="shared" si="20"/>
        <v>7.7611695137976321E-3</v>
      </c>
      <c r="AI16" s="177">
        <f t="shared" si="21"/>
        <v>0.18823603330075842</v>
      </c>
      <c r="AJ16" s="177">
        <f t="shared" si="22"/>
        <v>0.18823603330075842</v>
      </c>
      <c r="AK16" s="177">
        <f t="shared" si="23"/>
        <v>1.2254906888671722</v>
      </c>
      <c r="AM16" s="555">
        <f t="shared" si="24"/>
        <v>11.000000000000002</v>
      </c>
      <c r="AN16" s="469">
        <f t="shared" si="25"/>
        <v>350</v>
      </c>
      <c r="AP16">
        <f t="shared" si="26"/>
        <v>11.000000000000002</v>
      </c>
      <c r="AQ16" s="469">
        <f t="shared" si="27"/>
        <v>350</v>
      </c>
      <c r="AR16" s="469"/>
      <c r="AS16" s="5">
        <f t="shared" si="55"/>
        <v>2.8571428571428572</v>
      </c>
      <c r="AT16" s="5">
        <f t="shared" si="28"/>
        <v>0.23529504162594803</v>
      </c>
      <c r="AU16" s="5">
        <f t="shared" si="56"/>
        <v>2.6218478155169094</v>
      </c>
      <c r="AV16" s="5">
        <f t="shared" si="29"/>
        <v>8.1207793786051379E-6</v>
      </c>
      <c r="AW16" s="177">
        <f t="shared" si="57"/>
        <v>8.2353264569081805E-2</v>
      </c>
      <c r="AX16" s="177">
        <f t="shared" si="30"/>
        <v>0.18602222222222223</v>
      </c>
      <c r="AY16" s="177">
        <f t="shared" si="31"/>
        <v>3946.0260081095466</v>
      </c>
      <c r="AZ16" s="177">
        <f t="shared" si="58"/>
        <v>4.7141661469013313E-5</v>
      </c>
      <c r="BA16" s="469">
        <f t="shared" si="32"/>
        <v>3.7498705811702195</v>
      </c>
      <c r="BB16" s="469">
        <f t="shared" si="33"/>
        <v>5.246557207907758E-2</v>
      </c>
      <c r="BC16" s="5">
        <f t="shared" si="34"/>
        <v>1.6690003455258104E-2</v>
      </c>
      <c r="BD16" s="469">
        <f t="shared" si="35"/>
        <v>2.0257170812976391</v>
      </c>
      <c r="BE16" s="5"/>
      <c r="BF16" s="177">
        <f t="shared" si="59"/>
        <v>3.1187642325172151E-2</v>
      </c>
      <c r="BG16" s="177">
        <f t="shared" si="36"/>
        <v>4756.5443415082691</v>
      </c>
      <c r="BH16" s="177"/>
      <c r="BI16" s="538">
        <f t="shared" si="37"/>
        <v>3.4043416183100425E-4</v>
      </c>
      <c r="BJ16" s="538">
        <f t="shared" si="38"/>
        <v>229.07732591551454</v>
      </c>
      <c r="BK16" s="538">
        <f t="shared" si="39"/>
        <v>4.3749999999999995E-3</v>
      </c>
      <c r="BL16" s="538">
        <f t="shared" si="40"/>
        <v>8462927.8085788898</v>
      </c>
      <c r="BM16">
        <f t="shared" si="41"/>
        <v>6.96E-3</v>
      </c>
      <c r="BN16">
        <f t="shared" si="42"/>
        <v>1.6625000000000001E-5</v>
      </c>
      <c r="BO16" s="538">
        <f t="shared" si="43"/>
        <v>8463688.5027882401</v>
      </c>
      <c r="BP16" s="469">
        <f t="shared" si="60"/>
        <v>8463688502.7882404</v>
      </c>
      <c r="BQ16" s="538">
        <f t="shared" si="44"/>
        <v>17285281.554720525</v>
      </c>
      <c r="BR16" s="538"/>
      <c r="BT16" s="469">
        <f t="shared" si="61"/>
        <v>17285281554.720524</v>
      </c>
      <c r="BU16" s="538">
        <f t="shared" si="45"/>
        <v>9.7266903380286945E-5</v>
      </c>
      <c r="BV16" s="538">
        <f t="shared" si="46"/>
        <v>678741.42218202993</v>
      </c>
      <c r="BW16" s="538">
        <f t="shared" si="47"/>
        <v>0</v>
      </c>
      <c r="BX16" s="538">
        <f t="shared" si="48"/>
        <v>-14.000257834894398</v>
      </c>
      <c r="BY16" s="538">
        <f t="shared" si="49"/>
        <v>6.200740740740741E-4</v>
      </c>
      <c r="BZ16" s="469">
        <f t="shared" si="62"/>
        <v>-13999.637760820324</v>
      </c>
      <c r="CA16" s="177">
        <f t="shared" si="63"/>
        <v>25748956.057871006</v>
      </c>
      <c r="CB16" s="5">
        <f t="shared" si="64"/>
        <v>0.16500000000000001</v>
      </c>
      <c r="CC16" s="177">
        <f t="shared" si="65"/>
        <v>6.408026739873906E-9</v>
      </c>
      <c r="CD16" s="5">
        <f t="shared" si="66"/>
        <v>6.4080267398739057E-7</v>
      </c>
      <c r="CG16" s="571">
        <f t="shared" si="50"/>
        <v>-50</v>
      </c>
      <c r="CH16">
        <f t="shared" si="51"/>
        <v>-50</v>
      </c>
    </row>
    <row r="17" spans="5:86" x14ac:dyDescent="0.25">
      <c r="E17" s="174">
        <v>12</v>
      </c>
      <c r="F17" s="221">
        <f t="shared" si="52"/>
        <v>1.2E-2</v>
      </c>
      <c r="G17" s="221"/>
      <c r="H17" s="221">
        <f t="shared" si="0"/>
        <v>0.18</v>
      </c>
      <c r="I17" s="551">
        <f t="shared" si="1"/>
        <v>24</v>
      </c>
      <c r="J17" s="176">
        <f t="shared" si="2"/>
        <v>695386.58000000007</v>
      </c>
      <c r="K17" s="451">
        <f t="shared" si="3"/>
        <v>695410.58000000007</v>
      </c>
      <c r="L17" s="451"/>
      <c r="M17" s="221">
        <f t="shared" si="4"/>
        <v>0.99996548801428931</v>
      </c>
      <c r="N17" s="176">
        <f t="shared" si="5"/>
        <v>8.0997204529157436</v>
      </c>
      <c r="O17" s="176">
        <f t="shared" si="53"/>
        <v>0.18</v>
      </c>
      <c r="P17" s="221">
        <f t="shared" si="6"/>
        <v>0.5399813635277162</v>
      </c>
      <c r="Q17" s="221">
        <f t="shared" si="7"/>
        <v>15</v>
      </c>
      <c r="R17" s="221">
        <f t="shared" si="8"/>
        <v>0.59997929280857354</v>
      </c>
      <c r="S17" s="176">
        <f t="shared" si="9"/>
        <v>674.999474880599</v>
      </c>
      <c r="T17" s="176">
        <f t="shared" si="10"/>
        <v>15</v>
      </c>
      <c r="U17" s="221">
        <f t="shared" si="11"/>
        <v>1.6667241886280482E-2</v>
      </c>
      <c r="V17" s="221">
        <f t="shared" si="12"/>
        <v>2.0834052357850606E-2</v>
      </c>
      <c r="W17" s="221">
        <f t="shared" si="13"/>
        <v>7.1904933308953767E-7</v>
      </c>
      <c r="X17" s="201">
        <f t="shared" si="14"/>
        <v>350</v>
      </c>
      <c r="Y17" s="451">
        <f t="shared" si="54"/>
        <v>350</v>
      </c>
      <c r="AA17" s="221">
        <f t="shared" si="15"/>
        <v>2.2856354011755182</v>
      </c>
      <c r="AB17" s="177">
        <f t="shared" si="16"/>
        <v>9.8605673459021225E-5</v>
      </c>
      <c r="AC17" s="177">
        <f t="shared" si="17"/>
        <v>1.8020156525828219</v>
      </c>
      <c r="AD17" s="177"/>
      <c r="AE17" s="177">
        <f t="shared" si="18"/>
        <v>6.4712206554230591E-6</v>
      </c>
      <c r="AF17" s="555">
        <f t="shared" si="19"/>
        <v>541.15555555555579</v>
      </c>
      <c r="AG17" s="538">
        <f t="shared" si="20"/>
        <v>7.7611695137976321E-3</v>
      </c>
      <c r="AI17" s="177">
        <f t="shared" si="21"/>
        <v>0.19660612466036823</v>
      </c>
      <c r="AJ17" s="177">
        <f t="shared" si="22"/>
        <v>0.19660612466036823</v>
      </c>
      <c r="AK17" s="177">
        <f t="shared" si="23"/>
        <v>1.2310707497735787</v>
      </c>
      <c r="AM17" s="555">
        <f t="shared" si="24"/>
        <v>12</v>
      </c>
      <c r="AN17" s="469">
        <f t="shared" si="25"/>
        <v>350</v>
      </c>
      <c r="AP17">
        <f t="shared" si="26"/>
        <v>12</v>
      </c>
      <c r="AQ17" s="469">
        <f t="shared" si="27"/>
        <v>350</v>
      </c>
      <c r="AR17" s="469"/>
      <c r="AS17" s="5">
        <f t="shared" si="55"/>
        <v>2.8571428571428572</v>
      </c>
      <c r="AT17" s="5">
        <f t="shared" si="28"/>
        <v>0.2457576558254603</v>
      </c>
      <c r="AU17" s="5">
        <f t="shared" si="56"/>
        <v>2.6113852013173968</v>
      </c>
      <c r="AV17" s="5">
        <f t="shared" si="29"/>
        <v>8.4818774325657057E-6</v>
      </c>
      <c r="AW17" s="177">
        <f t="shared" si="57"/>
        <v>8.6015179538911107E-2</v>
      </c>
      <c r="AX17" s="177">
        <f t="shared" si="30"/>
        <v>0.20293333333333335</v>
      </c>
      <c r="AY17" s="177">
        <f t="shared" si="31"/>
        <v>4105.042737026004</v>
      </c>
      <c r="AZ17" s="177">
        <f t="shared" si="58"/>
        <v>4.9435132916631521E-5</v>
      </c>
      <c r="BA17" s="469">
        <f t="shared" si="32"/>
        <v>3.7498705811702195</v>
      </c>
      <c r="BB17" s="469">
        <f t="shared" si="33"/>
        <v>5.9165639499067529E-2</v>
      </c>
      <c r="BC17" s="5">
        <f t="shared" si="34"/>
        <v>1.8134619453593029E-2</v>
      </c>
      <c r="BD17" s="469">
        <f t="shared" si="35"/>
        <v>2.2011543344311635</v>
      </c>
      <c r="BE17" s="5"/>
      <c r="BF17" s="177">
        <f t="shared" si="59"/>
        <v>3.3290779600646435E-2</v>
      </c>
      <c r="BG17" s="177">
        <f t="shared" si="36"/>
        <v>4958.1260050556484</v>
      </c>
      <c r="BH17" s="177"/>
      <c r="BI17" s="538">
        <f t="shared" si="37"/>
        <v>3.8789660224658581E-4</v>
      </c>
      <c r="BJ17" s="538">
        <f t="shared" si="38"/>
        <v>239.26346356783321</v>
      </c>
      <c r="BK17" s="538">
        <f t="shared" si="39"/>
        <v>4.3749999999999995E-3</v>
      </c>
      <c r="BL17" s="538">
        <f t="shared" si="40"/>
        <v>8462927.8085788898</v>
      </c>
      <c r="BM17">
        <f t="shared" si="41"/>
        <v>6.96E-3</v>
      </c>
      <c r="BN17">
        <f t="shared" si="42"/>
        <v>1.6625000000000001E-5</v>
      </c>
      <c r="BO17" s="538">
        <f t="shared" si="43"/>
        <v>8463772.8100122977</v>
      </c>
      <c r="BP17" s="469">
        <f t="shared" si="60"/>
        <v>8463772810.0122976</v>
      </c>
      <c r="BQ17" s="538">
        <f t="shared" si="44"/>
        <v>18781422.303692937</v>
      </c>
      <c r="BR17" s="538"/>
      <c r="BT17" s="469">
        <f t="shared" si="61"/>
        <v>18781422303.692936</v>
      </c>
      <c r="BU17" s="538">
        <f t="shared" si="45"/>
        <v>1.1082760064188168E-4</v>
      </c>
      <c r="BV17" s="538">
        <f t="shared" si="46"/>
        <v>737490.40446027252</v>
      </c>
      <c r="BW17" s="538">
        <f t="shared" si="47"/>
        <v>0</v>
      </c>
      <c r="BX17" s="538">
        <f t="shared" si="48"/>
        <v>-14.000237295244938</v>
      </c>
      <c r="BY17" s="538">
        <f t="shared" si="49"/>
        <v>6.7644444444444447E-4</v>
      </c>
      <c r="BZ17" s="469">
        <f t="shared" si="62"/>
        <v>-13999.560850800493</v>
      </c>
      <c r="CA17" s="177">
        <f t="shared" si="63"/>
        <v>27245181.114144385</v>
      </c>
      <c r="CB17" s="5">
        <f t="shared" si="64"/>
        <v>0.18</v>
      </c>
      <c r="CC17" s="177">
        <f t="shared" si="65"/>
        <v>6.6066728665404813E-9</v>
      </c>
      <c r="CD17" s="5">
        <f t="shared" si="66"/>
        <v>6.6066728665404814E-7</v>
      </c>
      <c r="CG17" s="571">
        <f t="shared" si="50"/>
        <v>-50</v>
      </c>
      <c r="CH17">
        <f t="shared" si="51"/>
        <v>-50</v>
      </c>
    </row>
    <row r="18" spans="5:86" x14ac:dyDescent="0.25">
      <c r="E18" s="174">
        <v>13</v>
      </c>
      <c r="F18" s="221">
        <f t="shared" si="52"/>
        <v>1.3000000000000001E-2</v>
      </c>
      <c r="G18" s="221"/>
      <c r="H18" s="221">
        <f t="shared" si="0"/>
        <v>0.19500000000000001</v>
      </c>
      <c r="I18" s="551">
        <f t="shared" si="1"/>
        <v>24</v>
      </c>
      <c r="J18" s="176">
        <f t="shared" si="2"/>
        <v>695386.58000000007</v>
      </c>
      <c r="K18" s="451">
        <f t="shared" si="3"/>
        <v>695410.58000000007</v>
      </c>
      <c r="L18" s="451"/>
      <c r="M18" s="221">
        <f t="shared" si="4"/>
        <v>0.99996548801428931</v>
      </c>
      <c r="N18" s="176">
        <f t="shared" si="5"/>
        <v>8.0997204529157436</v>
      </c>
      <c r="O18" s="176">
        <f t="shared" si="53"/>
        <v>0.19500000000000001</v>
      </c>
      <c r="P18" s="221">
        <f t="shared" si="6"/>
        <v>0.5399813635277162</v>
      </c>
      <c r="Q18" s="221">
        <f t="shared" si="7"/>
        <v>15</v>
      </c>
      <c r="R18" s="221">
        <f t="shared" si="8"/>
        <v>0.59997929280857354</v>
      </c>
      <c r="S18" s="176">
        <f t="shared" si="9"/>
        <v>623.07639797177933</v>
      </c>
      <c r="T18" s="176">
        <f t="shared" si="10"/>
        <v>15</v>
      </c>
      <c r="U18" s="221">
        <f t="shared" si="11"/>
        <v>1.8056178710137191E-2</v>
      </c>
      <c r="V18" s="221">
        <f t="shared" si="12"/>
        <v>2.2570223387671489E-2</v>
      </c>
      <c r="W18" s="221">
        <f t="shared" si="13"/>
        <v>7.7897011084699925E-7</v>
      </c>
      <c r="X18" s="201">
        <f t="shared" si="14"/>
        <v>350</v>
      </c>
      <c r="Y18" s="451">
        <f t="shared" si="54"/>
        <v>350</v>
      </c>
      <c r="AA18" s="221">
        <f t="shared" si="15"/>
        <v>2.2856354011755182</v>
      </c>
      <c r="AB18" s="177">
        <f t="shared" si="16"/>
        <v>9.8605673459021225E-5</v>
      </c>
      <c r="AC18" s="177">
        <f t="shared" si="17"/>
        <v>1.8020156525828219</v>
      </c>
      <c r="AD18" s="177"/>
      <c r="AE18" s="177">
        <f t="shared" si="18"/>
        <v>6.4712206554230591E-6</v>
      </c>
      <c r="AF18" s="555">
        <f t="shared" si="19"/>
        <v>586.25185185185205</v>
      </c>
      <c r="AG18" s="538">
        <f t="shared" si="20"/>
        <v>7.7611695137976321E-3</v>
      </c>
      <c r="AI18" s="177">
        <f t="shared" si="21"/>
        <v>0.20463414249614428</v>
      </c>
      <c r="AJ18" s="177">
        <f t="shared" si="22"/>
        <v>0.20463414249614428</v>
      </c>
      <c r="AK18" s="177">
        <f t="shared" si="23"/>
        <v>1.2364227616640961</v>
      </c>
      <c r="AM18" s="555">
        <f t="shared" si="24"/>
        <v>13.000000000000002</v>
      </c>
      <c r="AN18" s="469">
        <f t="shared" si="25"/>
        <v>350</v>
      </c>
      <c r="AP18">
        <f t="shared" si="26"/>
        <v>13.000000000000002</v>
      </c>
      <c r="AQ18" s="469">
        <f t="shared" si="27"/>
        <v>350</v>
      </c>
      <c r="AR18" s="469"/>
      <c r="AS18" s="5">
        <f t="shared" si="55"/>
        <v>2.8571428571428572</v>
      </c>
      <c r="AT18" s="5">
        <f t="shared" si="28"/>
        <v>0.25579267812018031</v>
      </c>
      <c r="AU18" s="5">
        <f t="shared" si="56"/>
        <v>2.6013501790226767</v>
      </c>
      <c r="AV18" s="5">
        <f t="shared" si="29"/>
        <v>8.8282179315055639E-6</v>
      </c>
      <c r="AW18" s="177">
        <f t="shared" si="57"/>
        <v>8.9527437342063101E-2</v>
      </c>
      <c r="AX18" s="177">
        <f t="shared" si="30"/>
        <v>0.21984444444444448</v>
      </c>
      <c r="AY18" s="177">
        <f t="shared" si="31"/>
        <v>4256.2449673272413</v>
      </c>
      <c r="AZ18" s="177">
        <f t="shared" si="58"/>
        <v>5.1652206612181526E-5</v>
      </c>
      <c r="BA18" s="469">
        <f t="shared" si="32"/>
        <v>3.7498705811702195</v>
      </c>
      <c r="BB18" s="469">
        <f t="shared" si="33"/>
        <v>6.6187451912100098E-2</v>
      </c>
      <c r="BC18" s="5">
        <f t="shared" si="34"/>
        <v>1.9570342781999303E-2</v>
      </c>
      <c r="BD18" s="469">
        <f t="shared" si="35"/>
        <v>2.3755244671732503</v>
      </c>
      <c r="BE18" s="5"/>
      <c r="BF18" s="177">
        <f t="shared" si="59"/>
        <v>3.535049872798831E-2</v>
      </c>
      <c r="BG18" s="177">
        <f t="shared" si="36"/>
        <v>5150.6560867125454</v>
      </c>
      <c r="BH18" s="177"/>
      <c r="BI18" s="538">
        <f t="shared" si="37"/>
        <v>4.3738021611112608E-4</v>
      </c>
      <c r="BJ18" s="538">
        <f t="shared" si="38"/>
        <v>249.03330851183114</v>
      </c>
      <c r="BK18" s="538">
        <f t="shared" si="39"/>
        <v>4.3749999999999995E-3</v>
      </c>
      <c r="BL18" s="538">
        <f t="shared" si="40"/>
        <v>8462927.8085788898</v>
      </c>
      <c r="BM18">
        <f t="shared" si="41"/>
        <v>6.96E-3</v>
      </c>
      <c r="BN18">
        <f t="shared" si="42"/>
        <v>1.6625000000000001E-5</v>
      </c>
      <c r="BO18" s="538">
        <f t="shared" si="43"/>
        <v>8463859.8588710539</v>
      </c>
      <c r="BP18" s="469">
        <f t="shared" si="60"/>
        <v>8463859858.8710537</v>
      </c>
      <c r="BQ18" s="538">
        <f t="shared" si="44"/>
        <v>20268353.210146483</v>
      </c>
      <c r="BR18" s="538"/>
      <c r="BT18" s="469">
        <f t="shared" si="61"/>
        <v>20268353210.146484</v>
      </c>
      <c r="BU18" s="538">
        <f t="shared" si="45"/>
        <v>1.2496577603175033E-4</v>
      </c>
      <c r="BV18" s="538">
        <f t="shared" si="46"/>
        <v>795877.74370766967</v>
      </c>
      <c r="BW18" s="538">
        <f t="shared" si="47"/>
        <v>0</v>
      </c>
      <c r="BX18" s="538">
        <f t="shared" si="48"/>
        <v>-14.000219886471179</v>
      </c>
      <c r="BY18" s="538">
        <f t="shared" si="49"/>
        <v>7.3281481481481505E-4</v>
      </c>
      <c r="BZ18" s="469">
        <f t="shared" si="62"/>
        <v>-13999.487071656366</v>
      </c>
      <c r="CA18" s="177">
        <f t="shared" si="63"/>
        <v>28732199.069530465</v>
      </c>
      <c r="CB18" s="5">
        <f t="shared" si="64"/>
        <v>0.19500000000000001</v>
      </c>
      <c r="CC18" s="177">
        <f t="shared" si="65"/>
        <v>6.7868107903847458E-9</v>
      </c>
      <c r="CD18" s="5">
        <f t="shared" si="66"/>
        <v>6.786810790384746E-7</v>
      </c>
      <c r="CG18" s="571">
        <f t="shared" si="50"/>
        <v>-50</v>
      </c>
      <c r="CH18">
        <f t="shared" si="51"/>
        <v>-50</v>
      </c>
    </row>
    <row r="19" spans="5:86" x14ac:dyDescent="0.25">
      <c r="E19" s="174">
        <v>14</v>
      </c>
      <c r="F19" s="221">
        <f t="shared" si="52"/>
        <v>1.4000000000000002E-2</v>
      </c>
      <c r="G19" s="221"/>
      <c r="H19" s="221">
        <f t="shared" si="0"/>
        <v>0.21000000000000002</v>
      </c>
      <c r="I19" s="551">
        <f t="shared" si="1"/>
        <v>24</v>
      </c>
      <c r="J19" s="176">
        <f t="shared" si="2"/>
        <v>695386.58000000007</v>
      </c>
      <c r="K19" s="451">
        <f t="shared" si="3"/>
        <v>695410.58000000007</v>
      </c>
      <c r="L19" s="451"/>
      <c r="M19" s="221">
        <f t="shared" si="4"/>
        <v>0.99996548801428931</v>
      </c>
      <c r="N19" s="176">
        <f t="shared" si="5"/>
        <v>8.0997204529157436</v>
      </c>
      <c r="O19" s="176">
        <f t="shared" si="53"/>
        <v>0.21000000000000002</v>
      </c>
      <c r="P19" s="221">
        <f t="shared" si="6"/>
        <v>0.5399813635277162</v>
      </c>
      <c r="Q19" s="221">
        <f t="shared" si="7"/>
        <v>15</v>
      </c>
      <c r="R19" s="221">
        <f t="shared" si="8"/>
        <v>0.59997929280857354</v>
      </c>
      <c r="S19" s="176">
        <f t="shared" si="9"/>
        <v>578.57090348054157</v>
      </c>
      <c r="T19" s="176">
        <f t="shared" si="10"/>
        <v>15</v>
      </c>
      <c r="U19" s="221">
        <f t="shared" si="11"/>
        <v>1.9445115533993897E-2</v>
      </c>
      <c r="V19" s="221">
        <f t="shared" si="12"/>
        <v>2.4306394417492373E-2</v>
      </c>
      <c r="W19" s="221">
        <f t="shared" si="13"/>
        <v>8.3889088860446072E-7</v>
      </c>
      <c r="X19" s="201">
        <f t="shared" si="14"/>
        <v>350</v>
      </c>
      <c r="Y19" s="451">
        <f t="shared" si="54"/>
        <v>350</v>
      </c>
      <c r="AA19" s="221">
        <f t="shared" si="15"/>
        <v>2.2856354011755182</v>
      </c>
      <c r="AB19" s="177">
        <f t="shared" si="16"/>
        <v>9.8605673459021225E-5</v>
      </c>
      <c r="AC19" s="177">
        <f t="shared" si="17"/>
        <v>1.8020156525828219</v>
      </c>
      <c r="AD19" s="177"/>
      <c r="AE19" s="177">
        <f t="shared" si="18"/>
        <v>6.4712206554230591E-6</v>
      </c>
      <c r="AF19" s="555">
        <f t="shared" si="19"/>
        <v>631.34814814814843</v>
      </c>
      <c r="AG19" s="538">
        <f t="shared" si="20"/>
        <v>7.7611695137976321E-3</v>
      </c>
      <c r="AI19" s="177">
        <f t="shared" si="21"/>
        <v>0.2123588856071163</v>
      </c>
      <c r="AJ19" s="177">
        <f t="shared" si="22"/>
        <v>0.2123588856071163</v>
      </c>
      <c r="AK19" s="177">
        <f t="shared" si="23"/>
        <v>1.2415725904047441</v>
      </c>
      <c r="AM19" s="555">
        <f t="shared" si="24"/>
        <v>14.000000000000002</v>
      </c>
      <c r="AN19" s="469">
        <f t="shared" si="25"/>
        <v>350</v>
      </c>
      <c r="AP19">
        <f t="shared" si="26"/>
        <v>14.000000000000002</v>
      </c>
      <c r="AQ19" s="469">
        <f t="shared" si="27"/>
        <v>350</v>
      </c>
      <c r="AR19" s="469"/>
      <c r="AS19" s="5">
        <f t="shared" si="55"/>
        <v>2.8571428571428572</v>
      </c>
      <c r="AT19" s="5">
        <f t="shared" si="28"/>
        <v>0.26544860700889539</v>
      </c>
      <c r="AU19" s="5">
        <f t="shared" si="56"/>
        <v>2.5916942501339619</v>
      </c>
      <c r="AV19" s="5">
        <f t="shared" si="29"/>
        <v>9.1614747126892926E-6</v>
      </c>
      <c r="AW19" s="177">
        <f t="shared" si="57"/>
        <v>9.2907012453113377E-2</v>
      </c>
      <c r="AX19" s="177">
        <f t="shared" si="30"/>
        <v>0.23675555555555561</v>
      </c>
      <c r="AY19" s="177">
        <f t="shared" si="31"/>
        <v>4400.5190381776938</v>
      </c>
      <c r="AZ19" s="177">
        <f t="shared" si="58"/>
        <v>5.3801734182156573E-5</v>
      </c>
      <c r="BA19" s="469">
        <f t="shared" si="32"/>
        <v>3.7498705811702195</v>
      </c>
      <c r="BB19" s="469">
        <f t="shared" si="33"/>
        <v>7.3531009318175258E-2</v>
      </c>
      <c r="BC19" s="5">
        <f t="shared" si="34"/>
        <v>2.0997522859881632E-2</v>
      </c>
      <c r="BD19" s="469">
        <f t="shared" si="35"/>
        <v>2.5488694098524629</v>
      </c>
      <c r="BE19" s="5"/>
      <c r="BF19" s="177">
        <f t="shared" si="59"/>
        <v>3.7370943086794457E-2</v>
      </c>
      <c r="BG19" s="177">
        <f t="shared" si="36"/>
        <v>5335.1590102909413</v>
      </c>
      <c r="BH19" s="177"/>
      <c r="BI19" s="538">
        <f t="shared" si="37"/>
        <v>4.888055855187506E-4</v>
      </c>
      <c r="BJ19" s="538">
        <f t="shared" si="38"/>
        <v>258.43407766434723</v>
      </c>
      <c r="BK19" s="538">
        <f t="shared" si="39"/>
        <v>4.3749999999999995E-3</v>
      </c>
      <c r="BL19" s="538">
        <f t="shared" si="40"/>
        <v>8462927.8085788898</v>
      </c>
      <c r="BM19">
        <f t="shared" si="41"/>
        <v>6.96E-3</v>
      </c>
      <c r="BN19">
        <f t="shared" si="42"/>
        <v>1.6625000000000001E-5</v>
      </c>
      <c r="BO19" s="538">
        <f t="shared" si="43"/>
        <v>8463949.5727280006</v>
      </c>
      <c r="BP19" s="469">
        <f t="shared" si="60"/>
        <v>8463949572.7280006</v>
      </c>
      <c r="BQ19" s="538">
        <f t="shared" si="44"/>
        <v>21746436.156138696</v>
      </c>
      <c r="BR19" s="538"/>
      <c r="BT19" s="469">
        <f t="shared" si="61"/>
        <v>21746436156.138695</v>
      </c>
      <c r="BU19" s="538">
        <f t="shared" si="45"/>
        <v>1.3965873871964304E-4</v>
      </c>
      <c r="BV19" s="538">
        <f t="shared" si="46"/>
        <v>853917.64995265845</v>
      </c>
      <c r="BW19" s="538">
        <f t="shared" si="47"/>
        <v>0</v>
      </c>
      <c r="BX19" s="538">
        <f t="shared" si="48"/>
        <v>-14.000204940794633</v>
      </c>
      <c r="BY19" s="538">
        <f t="shared" si="49"/>
        <v>7.8918518518518541E-4</v>
      </c>
      <c r="BZ19" s="469">
        <f t="shared" si="62"/>
        <v>-13999.415755609447</v>
      </c>
      <c r="CA19" s="177">
        <f t="shared" si="63"/>
        <v>30210371.729450941</v>
      </c>
      <c r="CB19" s="5">
        <f t="shared" si="64"/>
        <v>0.21000000000000002</v>
      </c>
      <c r="CC19" s="177">
        <f t="shared" si="65"/>
        <v>6.9512550332346776E-9</v>
      </c>
      <c r="CD19" s="5">
        <f t="shared" si="66"/>
        <v>6.951255033234678E-7</v>
      </c>
      <c r="CG19" s="571">
        <f t="shared" si="50"/>
        <v>-50</v>
      </c>
      <c r="CH19">
        <f t="shared" si="51"/>
        <v>-50</v>
      </c>
    </row>
    <row r="20" spans="5:86" x14ac:dyDescent="0.25">
      <c r="E20" s="174">
        <v>15</v>
      </c>
      <c r="F20" s="221">
        <f t="shared" si="52"/>
        <v>1.4999999999999999E-2</v>
      </c>
      <c r="G20" s="221"/>
      <c r="H20" s="221">
        <f t="shared" si="0"/>
        <v>0.22499999999999998</v>
      </c>
      <c r="I20" s="551">
        <f t="shared" si="1"/>
        <v>24</v>
      </c>
      <c r="J20" s="176">
        <f t="shared" si="2"/>
        <v>695386.58000000007</v>
      </c>
      <c r="K20" s="451">
        <f t="shared" si="3"/>
        <v>695410.58000000007</v>
      </c>
      <c r="L20" s="451"/>
      <c r="M20" s="221">
        <f t="shared" si="4"/>
        <v>0.99996548801428931</v>
      </c>
      <c r="N20" s="176">
        <f t="shared" si="5"/>
        <v>8.0997204529157436</v>
      </c>
      <c r="O20" s="176">
        <f t="shared" si="53"/>
        <v>0.22499999999999998</v>
      </c>
      <c r="P20" s="221">
        <f t="shared" si="6"/>
        <v>0.5399813635277162</v>
      </c>
      <c r="Q20" s="221">
        <f t="shared" si="7"/>
        <v>15</v>
      </c>
      <c r="R20" s="221">
        <f t="shared" si="8"/>
        <v>0.59997929280857354</v>
      </c>
      <c r="S20" s="176">
        <f t="shared" si="9"/>
        <v>539.99947492336889</v>
      </c>
      <c r="T20" s="176">
        <f t="shared" si="10"/>
        <v>15</v>
      </c>
      <c r="U20" s="221">
        <f t="shared" si="11"/>
        <v>2.0834052357850602E-2</v>
      </c>
      <c r="V20" s="221">
        <f t="shared" si="12"/>
        <v>2.6042565447313253E-2</v>
      </c>
      <c r="W20" s="221">
        <f t="shared" si="13"/>
        <v>8.9881166636192209E-7</v>
      </c>
      <c r="X20" s="201">
        <f t="shared" si="14"/>
        <v>350</v>
      </c>
      <c r="Y20" s="451">
        <f t="shared" si="54"/>
        <v>350</v>
      </c>
      <c r="AA20" s="221">
        <f t="shared" si="15"/>
        <v>2.2856354011755182</v>
      </c>
      <c r="AB20" s="177">
        <f t="shared" si="16"/>
        <v>9.8605673459021225E-5</v>
      </c>
      <c r="AC20" s="177">
        <f t="shared" si="17"/>
        <v>1.8020156525828219</v>
      </c>
      <c r="AD20" s="177"/>
      <c r="AE20" s="177">
        <f t="shared" si="18"/>
        <v>6.4712206554230591E-6</v>
      </c>
      <c r="AF20" s="555">
        <f t="shared" si="19"/>
        <v>676.44444444444457</v>
      </c>
      <c r="AG20" s="538">
        <f t="shared" si="20"/>
        <v>7.7611695137976321E-3</v>
      </c>
      <c r="AI20" s="177">
        <f t="shared" si="21"/>
        <v>0.21981232976669055</v>
      </c>
      <c r="AJ20" s="177">
        <f t="shared" si="22"/>
        <v>0.21981232976669055</v>
      </c>
      <c r="AK20" s="177">
        <f t="shared" si="23"/>
        <v>1.2465415531777937</v>
      </c>
      <c r="AM20" s="555">
        <f t="shared" si="24"/>
        <v>15</v>
      </c>
      <c r="AN20" s="469">
        <f t="shared" si="25"/>
        <v>350</v>
      </c>
      <c r="AP20">
        <f t="shared" si="26"/>
        <v>15</v>
      </c>
      <c r="AQ20" s="469">
        <f t="shared" si="27"/>
        <v>350</v>
      </c>
      <c r="AR20" s="469"/>
      <c r="AS20" s="5">
        <f t="shared" si="55"/>
        <v>2.8571428571428572</v>
      </c>
      <c r="AT20" s="5">
        <f t="shared" si="28"/>
        <v>0.27476541220836315</v>
      </c>
      <c r="AU20" s="5">
        <f t="shared" si="56"/>
        <v>2.5823774449344938</v>
      </c>
      <c r="AV20" s="5">
        <f t="shared" si="29"/>
        <v>9.4830272580191523E-6</v>
      </c>
      <c r="AW20" s="177">
        <f t="shared" si="57"/>
        <v>9.6167894272927101E-2</v>
      </c>
      <c r="AX20" s="177">
        <f t="shared" si="30"/>
        <v>0.25366666666666665</v>
      </c>
      <c r="AY20" s="177">
        <f t="shared" si="31"/>
        <v>4538.5954201329396</v>
      </c>
      <c r="AZ20" s="177">
        <f t="shared" si="58"/>
        <v>5.5891006618791443E-5</v>
      </c>
      <c r="BA20" s="469">
        <f t="shared" si="32"/>
        <v>3.7498705811702195</v>
      </c>
      <c r="BB20" s="469">
        <f t="shared" si="33"/>
        <v>8.119631171729301E-2</v>
      </c>
      <c r="BC20" s="5">
        <f t="shared" si="34"/>
        <v>2.2416470876167476E-2</v>
      </c>
      <c r="BD20" s="469">
        <f t="shared" si="35"/>
        <v>2.7212265051400975</v>
      </c>
      <c r="BE20" s="5"/>
      <c r="BF20" s="177">
        <f t="shared" si="59"/>
        <v>3.9355594330606813E-2</v>
      </c>
      <c r="BG20" s="177">
        <f t="shared" si="36"/>
        <v>5512.4791110235237</v>
      </c>
      <c r="BH20" s="177"/>
      <c r="BI20" s="538">
        <f t="shared" si="37"/>
        <v>5.4210198179035184E-4</v>
      </c>
      <c r="BJ20" s="538">
        <f t="shared" si="38"/>
        <v>267.50468453485968</v>
      </c>
      <c r="BK20" s="538">
        <f t="shared" si="39"/>
        <v>4.3749999999999995E-3</v>
      </c>
      <c r="BL20" s="538">
        <f t="shared" si="40"/>
        <v>8462927.8085788898</v>
      </c>
      <c r="BM20">
        <f t="shared" si="41"/>
        <v>6.96E-3</v>
      </c>
      <c r="BN20">
        <f t="shared" si="42"/>
        <v>1.6625000000000001E-5</v>
      </c>
      <c r="BO20" s="538">
        <f t="shared" si="43"/>
        <v>8464041.8802106827</v>
      </c>
      <c r="BP20" s="469">
        <f t="shared" si="60"/>
        <v>8464041880.2106829</v>
      </c>
      <c r="BQ20" s="538">
        <f t="shared" si="44"/>
        <v>23215993.42969311</v>
      </c>
      <c r="BR20" s="538"/>
      <c r="BT20" s="469">
        <f t="shared" si="61"/>
        <v>23215993429.693111</v>
      </c>
      <c r="BU20" s="538">
        <f t="shared" si="45"/>
        <v>1.5488628051152912E-4</v>
      </c>
      <c r="BV20" s="538">
        <f t="shared" si="46"/>
        <v>911622.77848412097</v>
      </c>
      <c r="BW20" s="538">
        <f t="shared" si="47"/>
        <v>0</v>
      </c>
      <c r="BX20" s="538">
        <f t="shared" si="48"/>
        <v>-14.000191967997841</v>
      </c>
      <c r="BY20" s="538">
        <f t="shared" si="49"/>
        <v>8.4555555555555545E-4</v>
      </c>
      <c r="BZ20" s="469">
        <f t="shared" si="62"/>
        <v>-13999.346412442286</v>
      </c>
      <c r="CA20" s="177">
        <f t="shared" si="63"/>
        <v>31680021.31055738</v>
      </c>
      <c r="CB20" s="5">
        <f t="shared" si="64"/>
        <v>0.22499999999999998</v>
      </c>
      <c r="CC20" s="177">
        <f t="shared" si="65"/>
        <v>7.1022678992645858E-9</v>
      </c>
      <c r="CD20" s="5">
        <f t="shared" si="66"/>
        <v>7.1022678992645856E-7</v>
      </c>
      <c r="CG20" s="571">
        <f t="shared" si="50"/>
        <v>-50</v>
      </c>
      <c r="CH20">
        <f t="shared" si="51"/>
        <v>-50</v>
      </c>
    </row>
    <row r="21" spans="5:86" s="77" customFormat="1" x14ac:dyDescent="0.25">
      <c r="E21" s="193">
        <v>16</v>
      </c>
      <c r="F21" s="333">
        <f t="shared" si="52"/>
        <v>1.6E-2</v>
      </c>
      <c r="G21" s="221"/>
      <c r="H21" s="221">
        <f t="shared" si="0"/>
        <v>0.24</v>
      </c>
      <c r="I21" s="551">
        <f t="shared" si="1"/>
        <v>24</v>
      </c>
      <c r="J21" s="176">
        <f t="shared" si="2"/>
        <v>695386.58000000007</v>
      </c>
      <c r="K21" s="545">
        <f t="shared" si="3"/>
        <v>695410.58000000007</v>
      </c>
      <c r="L21" s="545"/>
      <c r="M21" s="333">
        <f t="shared" si="4"/>
        <v>0.99996548801428931</v>
      </c>
      <c r="N21" s="176">
        <f t="shared" si="5"/>
        <v>8.0997204529157436</v>
      </c>
      <c r="O21" s="176">
        <f t="shared" si="53"/>
        <v>0.24</v>
      </c>
      <c r="P21" s="333">
        <f t="shared" si="6"/>
        <v>0.5399813635277162</v>
      </c>
      <c r="Q21" s="221">
        <f t="shared" si="7"/>
        <v>15</v>
      </c>
      <c r="R21" s="221">
        <f t="shared" si="8"/>
        <v>0.59997929280857354</v>
      </c>
      <c r="S21" s="176">
        <f t="shared" si="9"/>
        <v>506.24947493762414</v>
      </c>
      <c r="T21" s="176">
        <f t="shared" si="10"/>
        <v>15</v>
      </c>
      <c r="U21" s="221">
        <f t="shared" si="11"/>
        <v>2.2222989181707307E-2</v>
      </c>
      <c r="V21" s="333">
        <f t="shared" si="12"/>
        <v>2.7778736477134133E-2</v>
      </c>
      <c r="W21" s="221">
        <f t="shared" si="13"/>
        <v>9.5873244411938356E-7</v>
      </c>
      <c r="X21" s="547">
        <f t="shared" si="14"/>
        <v>350</v>
      </c>
      <c r="Y21" s="545">
        <f t="shared" si="54"/>
        <v>350</v>
      </c>
      <c r="AA21" s="333">
        <f t="shared" si="15"/>
        <v>2.2856354011755182</v>
      </c>
      <c r="AB21" s="177">
        <f t="shared" si="16"/>
        <v>9.8605673459021225E-5</v>
      </c>
      <c r="AC21" s="548">
        <f t="shared" si="17"/>
        <v>1.8020156525828219</v>
      </c>
      <c r="AD21" s="548"/>
      <c r="AE21" s="177">
        <f t="shared" si="18"/>
        <v>6.4712206554230591E-6</v>
      </c>
      <c r="AF21" s="555">
        <f t="shared" si="19"/>
        <v>721.54074074074094</v>
      </c>
      <c r="AG21" s="538">
        <f t="shared" si="20"/>
        <v>7.7611695137976321E-3</v>
      </c>
      <c r="AH21"/>
      <c r="AI21" s="177">
        <f t="shared" si="21"/>
        <v>0.22702119799398546</v>
      </c>
      <c r="AJ21" s="177">
        <f t="shared" si="22"/>
        <v>0.22702119799398546</v>
      </c>
      <c r="AK21" s="177">
        <f t="shared" si="23"/>
        <v>1.2513474653293235</v>
      </c>
      <c r="AM21" s="555">
        <f t="shared" si="24"/>
        <v>16</v>
      </c>
      <c r="AN21" s="469">
        <f t="shared" si="25"/>
        <v>350</v>
      </c>
      <c r="AP21">
        <f t="shared" si="26"/>
        <v>16</v>
      </c>
      <c r="AQ21" s="469">
        <f t="shared" si="27"/>
        <v>350</v>
      </c>
      <c r="AR21" s="469"/>
      <c r="AS21" s="5">
        <f t="shared" si="55"/>
        <v>2.8571428571428572</v>
      </c>
      <c r="AT21" s="5">
        <f t="shared" si="28"/>
        <v>0.28377649749248185</v>
      </c>
      <c r="AU21" s="5">
        <f t="shared" si="56"/>
        <v>2.5733663596503753</v>
      </c>
      <c r="AV21" s="5">
        <f t="shared" si="29"/>
        <v>9.7940284378504459E-6</v>
      </c>
      <c r="AW21" s="177">
        <f t="shared" si="57"/>
        <v>9.9321774122368645E-2</v>
      </c>
      <c r="AX21" s="177">
        <f t="shared" si="30"/>
        <v>0.27057777777777781</v>
      </c>
      <c r="AY21" s="177">
        <f t="shared" si="31"/>
        <v>4671.0845872032305</v>
      </c>
      <c r="AZ21" s="177">
        <f t="shared" si="58"/>
        <v>5.7926113887777783E-5</v>
      </c>
      <c r="BA21" s="469">
        <f t="shared" si="32"/>
        <v>3.7498705811702195</v>
      </c>
      <c r="BB21" s="469">
        <f t="shared" si="33"/>
        <v>8.9183359109453381E-2</v>
      </c>
      <c r="BC21" s="5">
        <f t="shared" si="34"/>
        <v>2.3827466293059027E-2</v>
      </c>
      <c r="BD21" s="469">
        <f t="shared" si="35"/>
        <v>2.8926292885004168</v>
      </c>
      <c r="BE21" s="5"/>
      <c r="BF21" s="177">
        <f t="shared" si="59"/>
        <v>4.1307415012878171E-2</v>
      </c>
      <c r="BG21" s="177">
        <f t="shared" si="36"/>
        <v>5683.3220752860097</v>
      </c>
      <c r="BH21" s="177"/>
      <c r="BI21" s="538">
        <f t="shared" si="37"/>
        <v>5.9720588726615341E-4</v>
      </c>
      <c r="BJ21" s="538">
        <f t="shared" si="38"/>
        <v>276.2776501962615</v>
      </c>
      <c r="BK21" s="538">
        <f t="shared" si="39"/>
        <v>4.3749999999999995E-3</v>
      </c>
      <c r="BL21" s="538">
        <f t="shared" si="40"/>
        <v>8462927.8085788898</v>
      </c>
      <c r="BM21">
        <f t="shared" si="41"/>
        <v>6.96E-3</v>
      </c>
      <c r="BN21">
        <f t="shared" si="42"/>
        <v>1.6625000000000001E-5</v>
      </c>
      <c r="BO21" s="538">
        <f t="shared" si="43"/>
        <v>8464136.7148135938</v>
      </c>
      <c r="BP21" s="469">
        <f t="shared" si="60"/>
        <v>8464136714.8135939</v>
      </c>
      <c r="BQ21" s="538">
        <f t="shared" si="44"/>
        <v>24677314.460519016</v>
      </c>
      <c r="BR21" s="538"/>
      <c r="BT21" s="469">
        <f t="shared" si="61"/>
        <v>24677314460.519016</v>
      </c>
      <c r="BU21" s="538">
        <f t="shared" si="45"/>
        <v>1.7063025350461529E-4</v>
      </c>
      <c r="BV21" s="538">
        <f t="shared" si="46"/>
        <v>969004.49434299825</v>
      </c>
      <c r="BW21" s="538">
        <f t="shared" si="47"/>
        <v>0</v>
      </c>
      <c r="BX21" s="538">
        <f t="shared" si="48"/>
        <v>-14.000180600047257</v>
      </c>
      <c r="BY21" s="538">
        <f t="shared" si="49"/>
        <v>9.0192592592592614E-4</v>
      </c>
      <c r="BZ21" s="469">
        <f t="shared" si="62"/>
        <v>-13999.278674121331</v>
      </c>
      <c r="CA21" s="177">
        <f t="shared" si="63"/>
        <v>33141437.176053938</v>
      </c>
      <c r="CB21" s="5">
        <f t="shared" si="64"/>
        <v>0.24</v>
      </c>
      <c r="CC21" s="177">
        <f t="shared" si="65"/>
        <v>7.2416895195904318E-9</v>
      </c>
      <c r="CD21" s="5">
        <f t="shared" si="66"/>
        <v>7.2416895195904322E-7</v>
      </c>
      <c r="CG21" s="571">
        <f t="shared" si="50"/>
        <v>-50</v>
      </c>
      <c r="CH21">
        <f t="shared" si="51"/>
        <v>-50</v>
      </c>
    </row>
    <row r="22" spans="5:86" x14ac:dyDescent="0.25">
      <c r="E22" s="174">
        <v>17</v>
      </c>
      <c r="F22" s="221">
        <f t="shared" si="52"/>
        <v>1.7000000000000001E-2</v>
      </c>
      <c r="G22" s="221"/>
      <c r="H22" s="221">
        <f t="shared" si="0"/>
        <v>0.255</v>
      </c>
      <c r="I22" s="551">
        <f t="shared" si="1"/>
        <v>24</v>
      </c>
      <c r="J22" s="176">
        <f t="shared" si="2"/>
        <v>695386.58000000007</v>
      </c>
      <c r="K22" s="451">
        <f t="shared" si="3"/>
        <v>695410.58000000007</v>
      </c>
      <c r="L22" s="451"/>
      <c r="M22" s="221">
        <f t="shared" si="4"/>
        <v>0.99996548801428931</v>
      </c>
      <c r="N22" s="176">
        <f t="shared" si="5"/>
        <v>8.0997204529157436</v>
      </c>
      <c r="O22" s="176">
        <f t="shared" si="53"/>
        <v>0.255</v>
      </c>
      <c r="P22" s="221">
        <f t="shared" si="6"/>
        <v>0.5399813635277162</v>
      </c>
      <c r="Q22" s="221">
        <f t="shared" si="7"/>
        <v>15</v>
      </c>
      <c r="R22" s="221">
        <f t="shared" si="8"/>
        <v>0.59997929280857354</v>
      </c>
      <c r="S22" s="176">
        <f t="shared" si="9"/>
        <v>476.47006318717268</v>
      </c>
      <c r="T22" s="176">
        <f t="shared" si="10"/>
        <v>15</v>
      </c>
      <c r="U22" s="221">
        <f t="shared" si="11"/>
        <v>2.3611926005564016E-2</v>
      </c>
      <c r="V22" s="221">
        <f t="shared" si="12"/>
        <v>2.951490750695502E-2</v>
      </c>
      <c r="W22" s="221">
        <f t="shared" si="13"/>
        <v>1.0186532218768448E-6</v>
      </c>
      <c r="X22" s="201">
        <f t="shared" si="14"/>
        <v>350</v>
      </c>
      <c r="Y22" s="451">
        <f t="shared" si="54"/>
        <v>350</v>
      </c>
      <c r="AA22" s="221">
        <f t="shared" si="15"/>
        <v>2.2856354011755182</v>
      </c>
      <c r="AB22" s="177">
        <f t="shared" si="16"/>
        <v>9.8605673459021225E-5</v>
      </c>
      <c r="AC22" s="177">
        <f t="shared" si="17"/>
        <v>1.8020156525828219</v>
      </c>
      <c r="AD22" s="177"/>
      <c r="AE22" s="177">
        <f t="shared" si="18"/>
        <v>6.4712206554230591E-6</v>
      </c>
      <c r="AF22" s="555">
        <f t="shared" si="19"/>
        <v>766.63703703703732</v>
      </c>
      <c r="AG22" s="538">
        <f t="shared" si="20"/>
        <v>7.7611695137976321E-3</v>
      </c>
      <c r="AI22" s="177">
        <f t="shared" si="21"/>
        <v>0.23400809464586553</v>
      </c>
      <c r="AJ22" s="177">
        <f t="shared" si="22"/>
        <v>0.23400809464586553</v>
      </c>
      <c r="AK22" s="177">
        <f t="shared" si="23"/>
        <v>1.2560053964305771</v>
      </c>
      <c r="AM22" s="555">
        <f t="shared" si="24"/>
        <v>17</v>
      </c>
      <c r="AN22" s="469">
        <f t="shared" si="25"/>
        <v>350</v>
      </c>
      <c r="AP22">
        <f t="shared" si="26"/>
        <v>17</v>
      </c>
      <c r="AQ22" s="469">
        <f t="shared" si="27"/>
        <v>350</v>
      </c>
      <c r="AR22" s="469"/>
      <c r="AS22" s="5">
        <f t="shared" si="55"/>
        <v>2.8571428571428572</v>
      </c>
      <c r="AT22" s="5">
        <f t="shared" si="28"/>
        <v>0.29251011830733192</v>
      </c>
      <c r="AU22" s="5">
        <f t="shared" si="56"/>
        <v>2.5646327388355252</v>
      </c>
      <c r="AV22" s="5">
        <f t="shared" si="29"/>
        <v>1.0095453437390128E-5</v>
      </c>
      <c r="AW22" s="177">
        <f t="shared" si="57"/>
        <v>0.10237854140756616</v>
      </c>
      <c r="AX22" s="177">
        <f t="shared" si="30"/>
        <v>0.28748888888888885</v>
      </c>
      <c r="AY22" s="177">
        <f t="shared" si="31"/>
        <v>4798.5029246189561</v>
      </c>
      <c r="AZ22" s="177">
        <f t="shared" si="58"/>
        <v>5.9912204578205611E-5</v>
      </c>
      <c r="BA22" s="469">
        <f t="shared" si="32"/>
        <v>3.7498705811702195</v>
      </c>
      <c r="BB22" s="469">
        <f t="shared" si="33"/>
        <v>9.7492151494656357E-2</v>
      </c>
      <c r="BC22" s="5">
        <f t="shared" si="34"/>
        <v>2.5230761898266157E-2</v>
      </c>
      <c r="BD22" s="469">
        <f t="shared" si="35"/>
        <v>3.063108094458606</v>
      </c>
      <c r="BE22" s="5"/>
      <c r="BF22" s="177">
        <f t="shared" si="59"/>
        <v>4.3228953492083493E-2</v>
      </c>
      <c r="BG22" s="177">
        <f t="shared" si="36"/>
        <v>5848.2848704675353</v>
      </c>
      <c r="BH22" s="177"/>
      <c r="BI22" s="538">
        <f t="shared" si="37"/>
        <v>6.5405984700725103E-4</v>
      </c>
      <c r="BJ22" s="538">
        <f t="shared" si="38"/>
        <v>284.7804834391585</v>
      </c>
      <c r="BK22" s="538">
        <f t="shared" si="39"/>
        <v>4.3749999999999995E-3</v>
      </c>
      <c r="BL22" s="538">
        <f t="shared" si="40"/>
        <v>8462927.8085788898</v>
      </c>
      <c r="BM22">
        <f t="shared" si="41"/>
        <v>6.96E-3</v>
      </c>
      <c r="BN22">
        <f t="shared" si="42"/>
        <v>1.6625000000000001E-5</v>
      </c>
      <c r="BO22" s="538">
        <f t="shared" si="43"/>
        <v>8464234.0144853499</v>
      </c>
      <c r="BP22" s="469">
        <f t="shared" si="60"/>
        <v>8464234014.4853497</v>
      </c>
      <c r="BQ22" s="538">
        <f t="shared" si="44"/>
        <v>26130661.052441053</v>
      </c>
      <c r="BR22" s="538"/>
      <c r="BT22" s="469">
        <f t="shared" si="61"/>
        <v>26130661052.441051</v>
      </c>
      <c r="BU22" s="538">
        <f t="shared" si="45"/>
        <v>1.8687424200207177E-4</v>
      </c>
      <c r="BV22" s="538">
        <f t="shared" si="46"/>
        <v>1026073.0777841841</v>
      </c>
      <c r="BW22" s="538">
        <f t="shared" si="47"/>
        <v>0</v>
      </c>
      <c r="BX22" s="538">
        <f t="shared" si="48"/>
        <v>-14.000170555232078</v>
      </c>
      <c r="BY22" s="538">
        <f t="shared" si="49"/>
        <v>9.5829629629629628E-4</v>
      </c>
      <c r="BZ22" s="469">
        <f t="shared" si="62"/>
        <v>-13999.21225893578</v>
      </c>
      <c r="CA22" s="177">
        <f t="shared" si="63"/>
        <v>34594881.06771414</v>
      </c>
      <c r="CB22" s="5">
        <f t="shared" si="64"/>
        <v>0.255</v>
      </c>
      <c r="CC22" s="177">
        <f t="shared" si="65"/>
        <v>7.3710326571513147E-9</v>
      </c>
      <c r="CD22" s="5">
        <f t="shared" si="66"/>
        <v>7.3710326571513148E-7</v>
      </c>
      <c r="CG22" s="571">
        <f t="shared" si="50"/>
        <v>-50</v>
      </c>
      <c r="CH22">
        <f t="shared" si="51"/>
        <v>-50</v>
      </c>
    </row>
    <row r="23" spans="5:86" x14ac:dyDescent="0.25">
      <c r="E23" s="174">
        <v>18</v>
      </c>
      <c r="F23" s="221">
        <f t="shared" si="52"/>
        <v>1.7999999999999999E-2</v>
      </c>
      <c r="G23" s="221"/>
      <c r="H23" s="221">
        <f t="shared" si="0"/>
        <v>0.26999999999999996</v>
      </c>
      <c r="I23" s="551">
        <f t="shared" si="1"/>
        <v>24</v>
      </c>
      <c r="J23" s="176">
        <f t="shared" si="2"/>
        <v>695386.58000000007</v>
      </c>
      <c r="K23" s="451">
        <f t="shared" si="3"/>
        <v>695410.58000000007</v>
      </c>
      <c r="L23" s="451"/>
      <c r="M23" s="221">
        <f t="shared" si="4"/>
        <v>0.99996548801428931</v>
      </c>
      <c r="N23" s="176">
        <f t="shared" si="5"/>
        <v>8.0997204529157436</v>
      </c>
      <c r="O23" s="176">
        <f t="shared" si="53"/>
        <v>0.26999999999999996</v>
      </c>
      <c r="P23" s="221">
        <f t="shared" si="6"/>
        <v>0.5399813635277162</v>
      </c>
      <c r="Q23" s="221">
        <f t="shared" si="7"/>
        <v>15</v>
      </c>
      <c r="R23" s="221">
        <f t="shared" si="8"/>
        <v>0.59997929280857354</v>
      </c>
      <c r="S23" s="176">
        <f t="shared" si="9"/>
        <v>449.99947496613231</v>
      </c>
      <c r="T23" s="176">
        <f t="shared" si="10"/>
        <v>15</v>
      </c>
      <c r="U23" s="221">
        <f t="shared" si="11"/>
        <v>2.5000862829420718E-2</v>
      </c>
      <c r="V23" s="221">
        <f t="shared" si="12"/>
        <v>3.1251078536775903E-2</v>
      </c>
      <c r="W23" s="221">
        <f t="shared" si="13"/>
        <v>1.0785739996343063E-6</v>
      </c>
      <c r="X23" s="201">
        <f t="shared" si="14"/>
        <v>350</v>
      </c>
      <c r="Y23" s="451">
        <f t="shared" si="54"/>
        <v>350</v>
      </c>
      <c r="AA23" s="221">
        <f t="shared" si="15"/>
        <v>2.2856354011755182</v>
      </c>
      <c r="AB23" s="177">
        <f t="shared" si="16"/>
        <v>9.8605673459021225E-5</v>
      </c>
      <c r="AC23" s="177">
        <f t="shared" si="17"/>
        <v>1.8020156525828219</v>
      </c>
      <c r="AD23" s="177"/>
      <c r="AE23" s="177">
        <f t="shared" si="18"/>
        <v>6.4712206554230591E-6</v>
      </c>
      <c r="AF23" s="555">
        <f t="shared" si="19"/>
        <v>811.73333333333346</v>
      </c>
      <c r="AG23" s="538">
        <f t="shared" si="20"/>
        <v>7.7611695137976321E-3</v>
      </c>
      <c r="AI23" s="177">
        <f t="shared" si="21"/>
        <v>0.24079234286196141</v>
      </c>
      <c r="AJ23" s="177">
        <f t="shared" si="22"/>
        <v>0.24079234286196141</v>
      </c>
      <c r="AK23" s="177">
        <f t="shared" si="23"/>
        <v>1.2605282285746409</v>
      </c>
      <c r="AM23" s="555">
        <f t="shared" si="24"/>
        <v>18</v>
      </c>
      <c r="AN23" s="469">
        <f t="shared" si="25"/>
        <v>350</v>
      </c>
      <c r="AP23">
        <f t="shared" si="26"/>
        <v>18</v>
      </c>
      <c r="AQ23" s="469">
        <f t="shared" si="27"/>
        <v>350</v>
      </c>
      <c r="AR23" s="469"/>
      <c r="AS23" s="5">
        <f t="shared" si="55"/>
        <v>2.8571428571428572</v>
      </c>
      <c r="AT23" s="5">
        <f t="shared" si="28"/>
        <v>0.30099042857745173</v>
      </c>
      <c r="AU23" s="5">
        <f t="shared" si="56"/>
        <v>2.5561524285654054</v>
      </c>
      <c r="AV23" s="5">
        <f t="shared" si="29"/>
        <v>1.0388135885306906E-5</v>
      </c>
      <c r="AW23" s="177">
        <f t="shared" si="57"/>
        <v>0.10534665000210811</v>
      </c>
      <c r="AX23" s="177">
        <f t="shared" si="30"/>
        <v>0.30439999999999995</v>
      </c>
      <c r="AY23" s="177">
        <f t="shared" si="31"/>
        <v>4921.2918598434117</v>
      </c>
      <c r="AZ23" s="177">
        <f t="shared" si="58"/>
        <v>6.1853677584910712E-5</v>
      </c>
      <c r="BA23" s="469">
        <f t="shared" si="32"/>
        <v>3.7498705811702195</v>
      </c>
      <c r="BB23" s="469">
        <f t="shared" si="33"/>
        <v>0.10612268887290191</v>
      </c>
      <c r="BC23" s="5">
        <f t="shared" si="34"/>
        <v>2.6626587797556295E-2</v>
      </c>
      <c r="BD23" s="469">
        <f t="shared" si="35"/>
        <v>3.2326905357067557</v>
      </c>
      <c r="BE23" s="5"/>
      <c r="BF23" s="177">
        <f t="shared" si="59"/>
        <v>4.5122422723316791E-2</v>
      </c>
      <c r="BG23" s="177">
        <f t="shared" si="36"/>
        <v>6007.8778467489919</v>
      </c>
      <c r="BH23" s="177"/>
      <c r="BI23" s="538">
        <f t="shared" si="37"/>
        <v>7.1261156134759345E-4</v>
      </c>
      <c r="BJ23" s="538">
        <f t="shared" si="38"/>
        <v>293.03669991609206</v>
      </c>
      <c r="BK23" s="538">
        <f t="shared" si="39"/>
        <v>4.3749999999999995E-3</v>
      </c>
      <c r="BL23" s="538">
        <f t="shared" si="40"/>
        <v>8462927.8085788898</v>
      </c>
      <c r="BM23">
        <f t="shared" si="41"/>
        <v>6.96E-3</v>
      </c>
      <c r="BN23">
        <f t="shared" si="42"/>
        <v>1.6625000000000001E-5</v>
      </c>
      <c r="BO23" s="538">
        <f t="shared" si="43"/>
        <v>8464333.7212309483</v>
      </c>
      <c r="BP23" s="469">
        <f t="shared" si="60"/>
        <v>8464333721.2309484</v>
      </c>
      <c r="BQ23" s="538">
        <f t="shared" si="44"/>
        <v>27576271.51835037</v>
      </c>
      <c r="BR23" s="538"/>
      <c r="BT23" s="469">
        <f t="shared" si="61"/>
        <v>27576271518.350368</v>
      </c>
      <c r="BU23" s="538">
        <f t="shared" si="45"/>
        <v>2.0360330324216956E-4</v>
      </c>
      <c r="BV23" s="538">
        <f t="shared" si="46"/>
        <v>1082837.8866437189</v>
      </c>
      <c r="BW23" s="538">
        <f t="shared" si="47"/>
        <v>0</v>
      </c>
      <c r="BX23" s="538">
        <f t="shared" si="48"/>
        <v>-14.0001616142382</v>
      </c>
      <c r="BY23" s="538">
        <f t="shared" si="49"/>
        <v>1.0146666666666665E-3</v>
      </c>
      <c r="BZ23" s="469">
        <f t="shared" si="62"/>
        <v>-13999.146947571533</v>
      </c>
      <c r="CA23" s="177">
        <f t="shared" si="63"/>
        <v>36040591.240434371</v>
      </c>
      <c r="CB23" s="5">
        <f t="shared" si="64"/>
        <v>0.26999999999999996</v>
      </c>
      <c r="CC23" s="177">
        <f t="shared" si="65"/>
        <v>7.4915529597184962E-9</v>
      </c>
      <c r="CD23" s="5">
        <f t="shared" si="66"/>
        <v>7.491552959718496E-7</v>
      </c>
      <c r="CG23" s="571">
        <f t="shared" si="50"/>
        <v>-50</v>
      </c>
      <c r="CH23">
        <f t="shared" si="51"/>
        <v>-50</v>
      </c>
    </row>
    <row r="24" spans="5:86" x14ac:dyDescent="0.25">
      <c r="E24" s="174">
        <v>19</v>
      </c>
      <c r="F24" s="221">
        <f t="shared" si="52"/>
        <v>1.9000000000000003E-2</v>
      </c>
      <c r="G24" s="221"/>
      <c r="H24" s="221">
        <f t="shared" si="0"/>
        <v>0.28500000000000003</v>
      </c>
      <c r="I24" s="551">
        <f t="shared" si="1"/>
        <v>24</v>
      </c>
      <c r="J24" s="176">
        <f t="shared" si="2"/>
        <v>695386.58000000007</v>
      </c>
      <c r="K24" s="451">
        <f t="shared" si="3"/>
        <v>695410.58000000007</v>
      </c>
      <c r="L24" s="451"/>
      <c r="M24" s="221">
        <f t="shared" si="4"/>
        <v>0.99996548801428931</v>
      </c>
      <c r="N24" s="176">
        <f t="shared" si="5"/>
        <v>8.0997204529157436</v>
      </c>
      <c r="O24" s="176">
        <f t="shared" si="53"/>
        <v>0.28500000000000003</v>
      </c>
      <c r="P24" s="221">
        <f t="shared" si="6"/>
        <v>0.5399813635277162</v>
      </c>
      <c r="Q24" s="221">
        <f t="shared" si="7"/>
        <v>15</v>
      </c>
      <c r="R24" s="221">
        <f t="shared" si="8"/>
        <v>0.59997929280857354</v>
      </c>
      <c r="S24" s="176">
        <f t="shared" si="9"/>
        <v>426.31526445406917</v>
      </c>
      <c r="T24" s="176">
        <f t="shared" si="10"/>
        <v>15</v>
      </c>
      <c r="U24" s="221">
        <f t="shared" si="11"/>
        <v>2.6389799653277434E-2</v>
      </c>
      <c r="V24" s="221">
        <f t="shared" si="12"/>
        <v>3.2987249566596794E-2</v>
      </c>
      <c r="W24" s="221">
        <f t="shared" si="13"/>
        <v>1.1384947773917682E-6</v>
      </c>
      <c r="X24" s="201">
        <f t="shared" si="14"/>
        <v>350</v>
      </c>
      <c r="Y24" s="451">
        <f t="shared" si="54"/>
        <v>350</v>
      </c>
      <c r="AA24" s="221">
        <f t="shared" si="15"/>
        <v>2.2856354011755182</v>
      </c>
      <c r="AB24" s="177">
        <f t="shared" si="16"/>
        <v>9.8605673459021225E-5</v>
      </c>
      <c r="AC24" s="177">
        <f t="shared" si="17"/>
        <v>1.8020156525828219</v>
      </c>
      <c r="AD24" s="177"/>
      <c r="AE24" s="177">
        <f t="shared" si="18"/>
        <v>6.4712206554230591E-6</v>
      </c>
      <c r="AF24" s="555">
        <f t="shared" si="19"/>
        <v>856.82962962963006</v>
      </c>
      <c r="AG24" s="538">
        <f t="shared" si="20"/>
        <v>7.7611695137976321E-3</v>
      </c>
      <c r="AI24" s="177">
        <f t="shared" si="21"/>
        <v>0.24739061502433032</v>
      </c>
      <c r="AJ24" s="177">
        <f t="shared" si="22"/>
        <v>0.24739061502433032</v>
      </c>
      <c r="AK24" s="177">
        <f t="shared" si="23"/>
        <v>1.2649270766828868</v>
      </c>
      <c r="AM24" s="555">
        <f t="shared" si="24"/>
        <v>19.000000000000004</v>
      </c>
      <c r="AN24" s="469">
        <f t="shared" si="25"/>
        <v>350</v>
      </c>
      <c r="AP24">
        <f t="shared" si="26"/>
        <v>19.000000000000004</v>
      </c>
      <c r="AQ24" s="469">
        <f t="shared" si="27"/>
        <v>350</v>
      </c>
      <c r="AR24" s="469"/>
      <c r="AS24" s="5">
        <f t="shared" si="55"/>
        <v>2.8571428571428572</v>
      </c>
      <c r="AT24" s="5">
        <f t="shared" si="28"/>
        <v>0.30923826878041288</v>
      </c>
      <c r="AU24" s="5">
        <f t="shared" si="56"/>
        <v>2.5479045883624445</v>
      </c>
      <c r="AV24" s="5">
        <f t="shared" si="29"/>
        <v>1.0672795052688404E-5</v>
      </c>
      <c r="AW24" s="177">
        <f t="shared" si="57"/>
        <v>0.1082333940731445</v>
      </c>
      <c r="AX24" s="177">
        <f t="shared" si="30"/>
        <v>0.32131111111111116</v>
      </c>
      <c r="AY24" s="177">
        <f t="shared" si="31"/>
        <v>5039.8322651084991</v>
      </c>
      <c r="AZ24" s="177">
        <f t="shared" si="58"/>
        <v>6.3754326376215984E-5</v>
      </c>
      <c r="BA24" s="469">
        <f t="shared" si="32"/>
        <v>3.7498705811702195</v>
      </c>
      <c r="BB24" s="469">
        <f t="shared" si="33"/>
        <v>0.11507497124419014</v>
      </c>
      <c r="BC24" s="5">
        <f t="shared" si="34"/>
        <v>2.8015154617411133E-2</v>
      </c>
      <c r="BD24" s="469">
        <f t="shared" si="35"/>
        <v>3.4014018874226704</v>
      </c>
      <c r="BE24" s="5"/>
      <c r="BF24" s="177">
        <f t="shared" si="59"/>
        <v>4.6989760525248926E-2</v>
      </c>
      <c r="BG24" s="177">
        <f t="shared" si="36"/>
        <v>6162.541376691287</v>
      </c>
      <c r="BH24" s="177"/>
      <c r="BI24" s="538">
        <f t="shared" si="37"/>
        <v>7.7281315797708477E-4</v>
      </c>
      <c r="BJ24" s="538">
        <f t="shared" si="38"/>
        <v>301.06658939109599</v>
      </c>
      <c r="BK24" s="538">
        <f t="shared" si="39"/>
        <v>4.3749999999999995E-3</v>
      </c>
      <c r="BL24" s="538">
        <f t="shared" si="40"/>
        <v>8462927.8085788898</v>
      </c>
      <c r="BM24">
        <f t="shared" si="41"/>
        <v>6.96E-3</v>
      </c>
      <c r="BN24">
        <f t="shared" si="42"/>
        <v>1.6625000000000001E-5</v>
      </c>
      <c r="BO24" s="538">
        <f t="shared" si="43"/>
        <v>8464435.7807424255</v>
      </c>
      <c r="BP24" s="469">
        <f t="shared" si="60"/>
        <v>8464435780.7424259</v>
      </c>
      <c r="BQ24" s="538">
        <f t="shared" si="44"/>
        <v>29014363.99708965</v>
      </c>
      <c r="BR24" s="538"/>
      <c r="BT24" s="469">
        <f t="shared" si="61"/>
        <v>29014363997.089649</v>
      </c>
      <c r="BU24" s="538">
        <f t="shared" si="45"/>
        <v>2.2080375942202426E-4</v>
      </c>
      <c r="BV24" s="538">
        <f t="shared" si="46"/>
        <v>1139307.4865829644</v>
      </c>
      <c r="BW24" s="538">
        <f t="shared" si="47"/>
        <v>0</v>
      </c>
      <c r="BX24" s="538">
        <f t="shared" si="48"/>
        <v>-14.000153603765511</v>
      </c>
      <c r="BY24" s="538">
        <f t="shared" si="49"/>
        <v>1.0710370370370374E-3</v>
      </c>
      <c r="BZ24" s="469">
        <f t="shared" si="62"/>
        <v>-13999.082566728475</v>
      </c>
      <c r="CA24" s="177">
        <f t="shared" si="63"/>
        <v>37478785.778749511</v>
      </c>
      <c r="CB24" s="5">
        <f t="shared" si="64"/>
        <v>0.28500000000000003</v>
      </c>
      <c r="CC24" s="177">
        <f t="shared" si="65"/>
        <v>7.6043017912914674E-9</v>
      </c>
      <c r="CD24" s="5">
        <f t="shared" si="66"/>
        <v>7.6043017912914674E-7</v>
      </c>
      <c r="CG24" s="571">
        <f t="shared" si="50"/>
        <v>-50</v>
      </c>
      <c r="CH24">
        <f t="shared" si="51"/>
        <v>-50</v>
      </c>
    </row>
    <row r="25" spans="5:86" x14ac:dyDescent="0.25">
      <c r="E25" s="174">
        <v>20</v>
      </c>
      <c r="F25" s="221">
        <f t="shared" si="52"/>
        <v>2.0000000000000004E-2</v>
      </c>
      <c r="G25" s="221"/>
      <c r="H25" s="221">
        <f t="shared" si="0"/>
        <v>0.30000000000000004</v>
      </c>
      <c r="I25" s="551">
        <f t="shared" si="1"/>
        <v>24</v>
      </c>
      <c r="J25" s="176">
        <f t="shared" si="2"/>
        <v>695386.58000000007</v>
      </c>
      <c r="K25" s="451">
        <f t="shared" si="3"/>
        <v>695410.58000000007</v>
      </c>
      <c r="L25" s="451"/>
      <c r="M25" s="221">
        <f t="shared" si="4"/>
        <v>0.99996548801428931</v>
      </c>
      <c r="N25" s="176">
        <f t="shared" si="5"/>
        <v>8.0997204529157436</v>
      </c>
      <c r="O25" s="176">
        <f t="shared" si="53"/>
        <v>0.30000000000000004</v>
      </c>
      <c r="P25" s="221">
        <f t="shared" si="6"/>
        <v>0.5399813635277162</v>
      </c>
      <c r="Q25" s="221">
        <f t="shared" si="7"/>
        <v>15</v>
      </c>
      <c r="R25" s="221">
        <f t="shared" si="8"/>
        <v>0.59997929280857354</v>
      </c>
      <c r="S25" s="176">
        <f t="shared" si="9"/>
        <v>404.99947499463707</v>
      </c>
      <c r="T25" s="176">
        <f t="shared" si="10"/>
        <v>15</v>
      </c>
      <c r="U25" s="221">
        <f t="shared" si="11"/>
        <v>2.777873647713414E-2</v>
      </c>
      <c r="V25" s="221">
        <f t="shared" si="12"/>
        <v>3.4723420596417677E-2</v>
      </c>
      <c r="W25" s="221">
        <f t="shared" si="13"/>
        <v>1.1984155551492294E-6</v>
      </c>
      <c r="X25" s="201">
        <f t="shared" si="14"/>
        <v>350</v>
      </c>
      <c r="Y25" s="451">
        <f t="shared" si="54"/>
        <v>350</v>
      </c>
      <c r="AA25" s="221">
        <f t="shared" si="15"/>
        <v>2.2856354011755182</v>
      </c>
      <c r="AB25" s="177">
        <f t="shared" si="16"/>
        <v>9.8605673459021225E-5</v>
      </c>
      <c r="AC25" s="177">
        <f t="shared" si="17"/>
        <v>1.8020156525828219</v>
      </c>
      <c r="AD25" s="177"/>
      <c r="AE25" s="177">
        <f t="shared" si="18"/>
        <v>6.4712206554230591E-6</v>
      </c>
      <c r="AF25" s="555">
        <f t="shared" si="19"/>
        <v>901.92592592592632</v>
      </c>
      <c r="AG25" s="538">
        <f t="shared" si="20"/>
        <v>7.7611695137976321E-3</v>
      </c>
      <c r="AI25" s="177">
        <f t="shared" si="21"/>
        <v>0.25381741552399517</v>
      </c>
      <c r="AJ25" s="177">
        <f t="shared" si="22"/>
        <v>0.25381741552399517</v>
      </c>
      <c r="AK25" s="177">
        <f t="shared" si="23"/>
        <v>1.2692116103493301</v>
      </c>
      <c r="AM25" s="555">
        <f t="shared" si="24"/>
        <v>20.000000000000004</v>
      </c>
      <c r="AN25" s="469">
        <f t="shared" si="25"/>
        <v>350</v>
      </c>
      <c r="AP25">
        <f t="shared" si="26"/>
        <v>20.000000000000004</v>
      </c>
      <c r="AQ25" s="469">
        <f t="shared" si="27"/>
        <v>350</v>
      </c>
      <c r="AR25" s="469"/>
      <c r="AS25" s="5">
        <f t="shared" si="55"/>
        <v>2.8571428571428572</v>
      </c>
      <c r="AT25" s="5">
        <f t="shared" si="28"/>
        <v>0.31727176940499396</v>
      </c>
      <c r="AU25" s="5">
        <f t="shared" si="56"/>
        <v>2.5398710877378634</v>
      </c>
      <c r="AV25" s="5">
        <f t="shared" si="29"/>
        <v>1.0950056680299833E-5</v>
      </c>
      <c r="AW25" s="177">
        <f t="shared" si="57"/>
        <v>0.11104511929174789</v>
      </c>
      <c r="AX25" s="177">
        <f t="shared" si="30"/>
        <v>0.33822222222222226</v>
      </c>
      <c r="AY25" s="177">
        <f t="shared" si="31"/>
        <v>5154.4554859749442</v>
      </c>
      <c r="AZ25" s="177">
        <f t="shared" si="58"/>
        <v>6.5617449436222822E-5</v>
      </c>
      <c r="BA25" s="469">
        <f t="shared" si="32"/>
        <v>3.7498705811702195</v>
      </c>
      <c r="BB25" s="469">
        <f t="shared" si="33"/>
        <v>0.12434899860852094</v>
      </c>
      <c r="BC25" s="5">
        <f t="shared" si="34"/>
        <v>2.9396656108077124E-2</v>
      </c>
      <c r="BD25" s="469">
        <f t="shared" si="35"/>
        <v>3.5692653996359223</v>
      </c>
      <c r="BE25" s="5"/>
      <c r="BF25" s="177">
        <f t="shared" si="59"/>
        <v>4.8832676422551666E-2</v>
      </c>
      <c r="BG25" s="177">
        <f t="shared" si="36"/>
        <v>6312.6585972110342</v>
      </c>
      <c r="BH25" s="177"/>
      <c r="BI25" s="538">
        <f t="shared" si="37"/>
        <v>8.3462060030637167E-4</v>
      </c>
      <c r="BJ25" s="538">
        <f t="shared" si="38"/>
        <v>308.88780325137435</v>
      </c>
      <c r="BK25" s="538">
        <f t="shared" si="39"/>
        <v>4.3749999999999995E-3</v>
      </c>
      <c r="BL25" s="538">
        <f t="shared" si="40"/>
        <v>8462927.8085788898</v>
      </c>
      <c r="BM25">
        <f t="shared" si="41"/>
        <v>6.96E-3</v>
      </c>
      <c r="BN25">
        <f t="shared" si="42"/>
        <v>1.6625000000000001E-5</v>
      </c>
      <c r="BO25" s="538">
        <f t="shared" si="43"/>
        <v>8464540.1420625895</v>
      </c>
      <c r="BP25" s="469">
        <f t="shared" si="60"/>
        <v>8464540142.0625896</v>
      </c>
      <c r="BQ25" s="538">
        <f t="shared" si="44"/>
        <v>30445139.149345972</v>
      </c>
      <c r="BR25" s="538"/>
      <c r="BT25" s="469">
        <f t="shared" si="61"/>
        <v>30445139149.34597</v>
      </c>
      <c r="BU25" s="538">
        <f t="shared" si="45"/>
        <v>2.3846302865896337E-4</v>
      </c>
      <c r="BV25" s="538">
        <f t="shared" si="46"/>
        <v>1195489.7569482715</v>
      </c>
      <c r="BW25" s="538">
        <f t="shared" si="47"/>
        <v>0</v>
      </c>
      <c r="BX25" s="538">
        <f t="shared" si="48"/>
        <v>-14.000146385051616</v>
      </c>
      <c r="BY25" s="538">
        <f t="shared" si="49"/>
        <v>1.1274074074074075E-3</v>
      </c>
      <c r="BZ25" s="469">
        <f t="shared" si="62"/>
        <v>-13999.018977644209</v>
      </c>
      <c r="CA25" s="177">
        <f t="shared" si="63"/>
        <v>38909665.292389587</v>
      </c>
      <c r="CB25" s="5">
        <f t="shared" si="64"/>
        <v>0.30000000000000004</v>
      </c>
      <c r="CC25" s="177">
        <f t="shared" si="65"/>
        <v>7.7101664954601311E-9</v>
      </c>
      <c r="CD25" s="5">
        <f t="shared" si="66"/>
        <v>7.7101664954601316E-7</v>
      </c>
      <c r="CG25" s="571">
        <f t="shared" si="50"/>
        <v>-50</v>
      </c>
      <c r="CH25">
        <f t="shared" si="51"/>
        <v>-50</v>
      </c>
    </row>
    <row r="26" spans="5:86" x14ac:dyDescent="0.25">
      <c r="E26" s="174">
        <v>21</v>
      </c>
      <c r="F26" s="221">
        <f t="shared" si="52"/>
        <v>2.1000000000000001E-2</v>
      </c>
      <c r="G26" s="221"/>
      <c r="H26" s="221">
        <f t="shared" si="0"/>
        <v>0.315</v>
      </c>
      <c r="I26" s="551">
        <f t="shared" si="1"/>
        <v>24</v>
      </c>
      <c r="J26" s="176">
        <f t="shared" si="2"/>
        <v>695386.58000000007</v>
      </c>
      <c r="K26" s="451">
        <f t="shared" si="3"/>
        <v>695410.58000000007</v>
      </c>
      <c r="L26" s="451"/>
      <c r="M26" s="221">
        <f t="shared" si="4"/>
        <v>0.99996548801428931</v>
      </c>
      <c r="N26" s="176">
        <f t="shared" si="5"/>
        <v>8.0997204529157436</v>
      </c>
      <c r="O26" s="176">
        <f t="shared" si="53"/>
        <v>0.315</v>
      </c>
      <c r="P26" s="221">
        <f t="shared" si="6"/>
        <v>0.5399813635277162</v>
      </c>
      <c r="Q26" s="221">
        <f t="shared" si="7"/>
        <v>15</v>
      </c>
      <c r="R26" s="221">
        <f t="shared" si="8"/>
        <v>0.59997929280857354</v>
      </c>
      <c r="S26" s="176">
        <f t="shared" si="9"/>
        <v>385.71376072317412</v>
      </c>
      <c r="T26" s="176">
        <f t="shared" si="10"/>
        <v>15</v>
      </c>
      <c r="U26" s="221">
        <f t="shared" si="11"/>
        <v>2.9167673300990845E-2</v>
      </c>
      <c r="V26" s="221">
        <f t="shared" si="12"/>
        <v>3.6459591626238561E-2</v>
      </c>
      <c r="W26" s="221">
        <f t="shared" si="13"/>
        <v>1.2583363329066911E-6</v>
      </c>
      <c r="X26" s="201">
        <f t="shared" si="14"/>
        <v>350</v>
      </c>
      <c r="Y26" s="451">
        <f t="shared" si="54"/>
        <v>350</v>
      </c>
      <c r="AA26" s="221">
        <f t="shared" si="15"/>
        <v>2.2856354011755182</v>
      </c>
      <c r="AB26" s="177">
        <f t="shared" si="16"/>
        <v>9.8605673459021225E-5</v>
      </c>
      <c r="AC26" s="177">
        <f t="shared" si="17"/>
        <v>1.8020156525828219</v>
      </c>
      <c r="AD26" s="177"/>
      <c r="AE26" s="177">
        <f t="shared" si="18"/>
        <v>6.4712206554230591E-6</v>
      </c>
      <c r="AF26" s="555">
        <f t="shared" si="19"/>
        <v>947.02222222222247</v>
      </c>
      <c r="AG26" s="538">
        <f t="shared" si="20"/>
        <v>7.7611695137976321E-3</v>
      </c>
      <c r="AI26" s="177">
        <f t="shared" si="21"/>
        <v>0.26008545604174882</v>
      </c>
      <c r="AJ26" s="177">
        <f t="shared" si="22"/>
        <v>0.26008545604174882</v>
      </c>
      <c r="AK26" s="177">
        <f t="shared" si="23"/>
        <v>1.2733903040278325</v>
      </c>
      <c r="AM26" s="555">
        <f t="shared" si="24"/>
        <v>21</v>
      </c>
      <c r="AN26" s="469">
        <f t="shared" si="25"/>
        <v>350</v>
      </c>
      <c r="AP26">
        <f t="shared" si="26"/>
        <v>21</v>
      </c>
      <c r="AQ26" s="469">
        <f t="shared" si="27"/>
        <v>350</v>
      </c>
      <c r="AR26" s="469"/>
      <c r="AS26" s="5">
        <f t="shared" si="55"/>
        <v>2.8571428571428572</v>
      </c>
      <c r="AT26" s="5">
        <f t="shared" si="28"/>
        <v>0.325106820052186</v>
      </c>
      <c r="AU26" s="5">
        <f t="shared" si="56"/>
        <v>2.5320360370906712</v>
      </c>
      <c r="AV26" s="5">
        <f t="shared" si="29"/>
        <v>1.122046916874994E-5</v>
      </c>
      <c r="AW26" s="177">
        <f t="shared" si="57"/>
        <v>0.1137873870182651</v>
      </c>
      <c r="AX26" s="177">
        <f t="shared" si="30"/>
        <v>0.35513333333333336</v>
      </c>
      <c r="AY26" s="177">
        <f t="shared" si="31"/>
        <v>5265.4519144346195</v>
      </c>
      <c r="AZ26" s="177">
        <f t="shared" si="58"/>
        <v>6.7445936095205218E-5</v>
      </c>
      <c r="BA26" s="469">
        <f t="shared" si="32"/>
        <v>3.7498705811702195</v>
      </c>
      <c r="BB26" s="469">
        <f t="shared" si="33"/>
        <v>0.1339447709658943</v>
      </c>
      <c r="BC26" s="5">
        <f t="shared" si="34"/>
        <v>3.0771271284088013E-2</v>
      </c>
      <c r="BD26" s="469">
        <f t="shared" si="35"/>
        <v>3.7363025540905621</v>
      </c>
      <c r="BE26" s="5"/>
      <c r="BF26" s="177">
        <f t="shared" si="59"/>
        <v>5.0652688575025431E-2</v>
      </c>
      <c r="BG26" s="177">
        <f t="shared" si="36"/>
        <v>6458.5653149410109</v>
      </c>
      <c r="BH26" s="177"/>
      <c r="BI26" s="538">
        <f t="shared" si="37"/>
        <v>8.979932009574791E-4</v>
      </c>
      <c r="BJ26" s="538">
        <f t="shared" si="38"/>
        <v>316.51581121222483</v>
      </c>
      <c r="BK26" s="538">
        <f t="shared" si="39"/>
        <v>4.3749999999999995E-3</v>
      </c>
      <c r="BL26" s="538">
        <f t="shared" si="40"/>
        <v>8462927.8085788898</v>
      </c>
      <c r="BM26">
        <f t="shared" si="41"/>
        <v>6.96E-3</v>
      </c>
      <c r="BN26">
        <f t="shared" si="42"/>
        <v>1.6625000000000001E-5</v>
      </c>
      <c r="BO26" s="538">
        <f t="shared" si="43"/>
        <v>8464646.7572820932</v>
      </c>
      <c r="BP26" s="469">
        <f t="shared" si="60"/>
        <v>8464646757.282093</v>
      </c>
      <c r="BQ26" s="538">
        <f t="shared" si="44"/>
        <v>31868782.374518827</v>
      </c>
      <c r="BR26" s="538"/>
      <c r="BT26" s="469">
        <f t="shared" si="61"/>
        <v>31868782374.518826</v>
      </c>
      <c r="BU26" s="538">
        <f t="shared" si="45"/>
        <v>2.565694859878512E-4</v>
      </c>
      <c r="BV26" s="538">
        <f t="shared" si="46"/>
        <v>1251391.9778207724</v>
      </c>
      <c r="BW26" s="538">
        <f t="shared" si="47"/>
        <v>0</v>
      </c>
      <c r="BX26" s="538">
        <f t="shared" si="48"/>
        <v>-14.000139845668773</v>
      </c>
      <c r="BY26" s="538">
        <f t="shared" si="49"/>
        <v>1.183777777777778E-3</v>
      </c>
      <c r="BZ26" s="469">
        <f t="shared" si="62"/>
        <v>-13998.956067890997</v>
      </c>
      <c r="CA26" s="177">
        <f t="shared" si="63"/>
        <v>40333415.13284485</v>
      </c>
      <c r="CB26" s="5">
        <f t="shared" si="64"/>
        <v>0.315</v>
      </c>
      <c r="CC26" s="177">
        <f t="shared" si="65"/>
        <v>7.8099014552171168E-9</v>
      </c>
      <c r="CD26" s="5">
        <f t="shared" si="66"/>
        <v>7.8099014552171168E-7</v>
      </c>
      <c r="CG26" s="571">
        <f t="shared" si="50"/>
        <v>-50</v>
      </c>
      <c r="CH26">
        <f t="shared" si="51"/>
        <v>-50</v>
      </c>
    </row>
    <row r="27" spans="5:86" x14ac:dyDescent="0.25">
      <c r="E27" s="174">
        <v>22</v>
      </c>
      <c r="F27" s="221">
        <f t="shared" si="52"/>
        <v>2.2000000000000002E-2</v>
      </c>
      <c r="G27" s="221"/>
      <c r="H27" s="221">
        <f t="shared" si="0"/>
        <v>0.33</v>
      </c>
      <c r="I27" s="551">
        <f t="shared" si="1"/>
        <v>24</v>
      </c>
      <c r="J27" s="176">
        <f t="shared" si="2"/>
        <v>695386.58000000007</v>
      </c>
      <c r="K27" s="451">
        <f t="shared" si="3"/>
        <v>695410.58000000007</v>
      </c>
      <c r="L27" s="451"/>
      <c r="M27" s="221">
        <f t="shared" si="4"/>
        <v>0.99996548801428931</v>
      </c>
      <c r="N27" s="176">
        <f t="shared" si="5"/>
        <v>8.0997204529157436</v>
      </c>
      <c r="O27" s="176">
        <f t="shared" si="53"/>
        <v>0.33</v>
      </c>
      <c r="P27" s="221">
        <f t="shared" si="6"/>
        <v>0.5399813635277162</v>
      </c>
      <c r="Q27" s="221">
        <f t="shared" si="7"/>
        <v>15</v>
      </c>
      <c r="R27" s="221">
        <f t="shared" si="8"/>
        <v>0.59997929280857354</v>
      </c>
      <c r="S27" s="176">
        <f t="shared" si="9"/>
        <v>368.18129320495717</v>
      </c>
      <c r="T27" s="176">
        <f t="shared" si="10"/>
        <v>15</v>
      </c>
      <c r="U27" s="221">
        <f t="shared" si="11"/>
        <v>3.0556610124847554E-2</v>
      </c>
      <c r="V27" s="221">
        <f t="shared" si="12"/>
        <v>3.8195762656059437E-2</v>
      </c>
      <c r="W27" s="221">
        <f t="shared" si="13"/>
        <v>1.3182571106641524E-6</v>
      </c>
      <c r="X27" s="201">
        <f t="shared" si="14"/>
        <v>350</v>
      </c>
      <c r="Y27" s="451">
        <f t="shared" si="54"/>
        <v>350</v>
      </c>
      <c r="AA27" s="221">
        <f t="shared" si="15"/>
        <v>2.2856354011755182</v>
      </c>
      <c r="AB27" s="177">
        <f t="shared" si="16"/>
        <v>9.8605673459021225E-5</v>
      </c>
      <c r="AC27" s="177">
        <f t="shared" si="17"/>
        <v>1.8020156525828219</v>
      </c>
      <c r="AD27" s="177"/>
      <c r="AE27" s="177">
        <f t="shared" si="18"/>
        <v>6.4712206554230591E-6</v>
      </c>
      <c r="AF27" s="555">
        <f t="shared" si="19"/>
        <v>992.11851851851884</v>
      </c>
      <c r="AG27" s="538">
        <f t="shared" si="20"/>
        <v>7.7611695137976321E-3</v>
      </c>
      <c r="AI27" s="177">
        <f t="shared" si="21"/>
        <v>0.26620595122124613</v>
      </c>
      <c r="AJ27" s="177">
        <f t="shared" si="22"/>
        <v>0.26620595122124613</v>
      </c>
      <c r="AK27" s="177">
        <f t="shared" si="23"/>
        <v>1.2774706341474973</v>
      </c>
      <c r="AM27" s="555">
        <f t="shared" si="24"/>
        <v>22.000000000000004</v>
      </c>
      <c r="AN27" s="469">
        <f t="shared" si="25"/>
        <v>350</v>
      </c>
      <c r="AP27">
        <f t="shared" si="26"/>
        <v>22.000000000000004</v>
      </c>
      <c r="AQ27" s="469">
        <f t="shared" si="27"/>
        <v>350</v>
      </c>
      <c r="AR27" s="469"/>
      <c r="AS27" s="5">
        <f t="shared" si="55"/>
        <v>2.8571428571428572</v>
      </c>
      <c r="AT27" s="5">
        <f t="shared" si="28"/>
        <v>0.33275743902655769</v>
      </c>
      <c r="AU27" s="5">
        <f t="shared" si="56"/>
        <v>2.5243854181162995</v>
      </c>
      <c r="AV27" s="5">
        <f t="shared" si="29"/>
        <v>1.1484516334263142E-5</v>
      </c>
      <c r="AW27" s="177">
        <f t="shared" si="57"/>
        <v>0.11646510365929519</v>
      </c>
      <c r="AX27" s="177">
        <f t="shared" si="30"/>
        <v>0.37204444444444451</v>
      </c>
      <c r="AY27" s="177">
        <f t="shared" si="31"/>
        <v>5373.0777434144975</v>
      </c>
      <c r="AZ27" s="177">
        <f t="shared" si="58"/>
        <v>6.924233413529891E-5</v>
      </c>
      <c r="BA27" s="469">
        <f t="shared" si="32"/>
        <v>3.7498705811702195</v>
      </c>
      <c r="BB27" s="469">
        <f t="shared" si="33"/>
        <v>0.14386228831631032</v>
      </c>
      <c r="BC27" s="5">
        <f t="shared" si="34"/>
        <v>3.2139166202869551E-2</v>
      </c>
      <c r="BD27" s="469">
        <f t="shared" si="35"/>
        <v>3.9025332776776795</v>
      </c>
      <c r="BE27" s="5"/>
      <c r="BF27" s="177">
        <f t="shared" si="59"/>
        <v>5.2451153262904573E-2</v>
      </c>
      <c r="BG27" s="177">
        <f t="shared" si="36"/>
        <v>6600.5578106395878</v>
      </c>
      <c r="BH27" s="177"/>
      <c r="BI27" s="538">
        <f t="shared" si="37"/>
        <v>9.6289321751304668E-4</v>
      </c>
      <c r="BJ27" s="538">
        <f t="shared" si="38"/>
        <v>323.96426114188239</v>
      </c>
      <c r="BK27" s="538">
        <f t="shared" si="39"/>
        <v>4.3749999999999995E-3</v>
      </c>
      <c r="BL27" s="538">
        <f t="shared" si="40"/>
        <v>8462927.8085788898</v>
      </c>
      <c r="BM27">
        <f t="shared" si="41"/>
        <v>6.96E-3</v>
      </c>
      <c r="BN27">
        <f t="shared" si="42"/>
        <v>1.6625000000000001E-5</v>
      </c>
      <c r="BO27" s="538">
        <f t="shared" si="43"/>
        <v>8464755.5812680367</v>
      </c>
      <c r="BP27" s="469">
        <f t="shared" si="60"/>
        <v>8464755581.2680368</v>
      </c>
      <c r="BQ27" s="538">
        <f t="shared" si="44"/>
        <v>33285465.65276178</v>
      </c>
      <c r="BR27" s="538"/>
      <c r="BT27" s="469">
        <f t="shared" si="61"/>
        <v>33285465652.76178</v>
      </c>
      <c r="BU27" s="538">
        <f t="shared" si="45"/>
        <v>2.7511234786087053E-4</v>
      </c>
      <c r="BV27" s="538">
        <f t="shared" si="46"/>
        <v>1307020.9023478581</v>
      </c>
      <c r="BW27" s="538">
        <f t="shared" si="47"/>
        <v>0</v>
      </c>
      <c r="BX27" s="538">
        <f t="shared" si="48"/>
        <v>-14.000133893553897</v>
      </c>
      <c r="BY27" s="538">
        <f t="shared" si="49"/>
        <v>1.2401481481481486E-3</v>
      </c>
      <c r="BZ27" s="469">
        <f t="shared" si="62"/>
        <v>-13998.893745405749</v>
      </c>
      <c r="CA27" s="177">
        <f t="shared" si="63"/>
        <v>41750207.235136069</v>
      </c>
      <c r="CB27" s="5">
        <f t="shared" si="64"/>
        <v>0.33</v>
      </c>
      <c r="CC27" s="177">
        <f t="shared" si="65"/>
        <v>7.9041523203245073E-9</v>
      </c>
      <c r="CD27" s="5">
        <f t="shared" si="66"/>
        <v>7.9041523203245075E-7</v>
      </c>
      <c r="CG27" s="571">
        <f t="shared" si="50"/>
        <v>-50</v>
      </c>
      <c r="CH27">
        <f t="shared" si="51"/>
        <v>-50</v>
      </c>
    </row>
    <row r="28" spans="5:86" x14ac:dyDescent="0.25">
      <c r="E28" s="174">
        <v>23</v>
      </c>
      <c r="F28" s="221">
        <f t="shared" si="52"/>
        <v>2.3000000000000003E-2</v>
      </c>
      <c r="G28" s="221"/>
      <c r="H28" s="221">
        <f t="shared" si="0"/>
        <v>0.34500000000000003</v>
      </c>
      <c r="I28" s="551">
        <f t="shared" si="1"/>
        <v>24</v>
      </c>
      <c r="J28" s="176">
        <f t="shared" si="2"/>
        <v>695386.58000000007</v>
      </c>
      <c r="K28" s="451">
        <f t="shared" si="3"/>
        <v>695410.58000000007</v>
      </c>
      <c r="L28" s="451"/>
      <c r="M28" s="221">
        <f t="shared" si="4"/>
        <v>0.99996548801428931</v>
      </c>
      <c r="N28" s="176">
        <f t="shared" si="5"/>
        <v>8.0997204529157436</v>
      </c>
      <c r="O28" s="176">
        <f t="shared" si="53"/>
        <v>0.34500000000000003</v>
      </c>
      <c r="P28" s="221">
        <f t="shared" si="6"/>
        <v>0.5399813635277162</v>
      </c>
      <c r="Q28" s="221">
        <f t="shared" si="7"/>
        <v>15</v>
      </c>
      <c r="R28" s="221">
        <f t="shared" si="8"/>
        <v>0.59997929280857354</v>
      </c>
      <c r="S28" s="176">
        <f t="shared" si="9"/>
        <v>352.17338808086703</v>
      </c>
      <c r="T28" s="176">
        <f t="shared" si="10"/>
        <v>15</v>
      </c>
      <c r="U28" s="221">
        <f t="shared" si="11"/>
        <v>3.1945546948704259E-2</v>
      </c>
      <c r="V28" s="221">
        <f t="shared" si="12"/>
        <v>3.9931933685880328E-2</v>
      </c>
      <c r="W28" s="221">
        <f t="shared" si="13"/>
        <v>1.3781778884216141E-6</v>
      </c>
      <c r="X28" s="201">
        <f t="shared" si="14"/>
        <v>350</v>
      </c>
      <c r="Y28" s="451">
        <f t="shared" si="54"/>
        <v>350</v>
      </c>
      <c r="AA28" s="221">
        <f t="shared" si="15"/>
        <v>2.2856354011755182</v>
      </c>
      <c r="AB28" s="177">
        <f t="shared" si="16"/>
        <v>9.8605673459021225E-5</v>
      </c>
      <c r="AC28" s="177">
        <f t="shared" si="17"/>
        <v>1.8020156525828219</v>
      </c>
      <c r="AD28" s="177"/>
      <c r="AE28" s="177">
        <f t="shared" si="18"/>
        <v>6.4712206554230591E-6</v>
      </c>
      <c r="AF28" s="555">
        <f t="shared" si="19"/>
        <v>1037.2148148148151</v>
      </c>
      <c r="AG28" s="538">
        <f t="shared" si="20"/>
        <v>7.7611695137976321E-3</v>
      </c>
      <c r="AI28" s="177">
        <f t="shared" si="21"/>
        <v>0.27218885444994345</v>
      </c>
      <c r="AJ28" s="177">
        <f t="shared" si="22"/>
        <v>0.27218885444994345</v>
      </c>
      <c r="AK28" s="177">
        <f t="shared" si="23"/>
        <v>1.2814592362999622</v>
      </c>
      <c r="AM28" s="555">
        <f t="shared" si="24"/>
        <v>23.000000000000004</v>
      </c>
      <c r="AN28" s="469">
        <f t="shared" si="25"/>
        <v>350</v>
      </c>
      <c r="AP28">
        <f t="shared" si="26"/>
        <v>23.000000000000004</v>
      </c>
      <c r="AQ28" s="469">
        <f t="shared" si="27"/>
        <v>350</v>
      </c>
      <c r="AR28" s="469"/>
      <c r="AS28" s="5">
        <f t="shared" si="55"/>
        <v>2.8571428571428572</v>
      </c>
      <c r="AT28" s="5">
        <f t="shared" si="28"/>
        <v>0.34023606806242934</v>
      </c>
      <c r="AU28" s="5">
        <f t="shared" si="56"/>
        <v>2.5169067890804278</v>
      </c>
      <c r="AV28" s="5">
        <f t="shared" si="29"/>
        <v>1.17426275806161E-5</v>
      </c>
      <c r="AW28" s="177">
        <f t="shared" si="57"/>
        <v>0.11908262382185027</v>
      </c>
      <c r="AX28" s="177">
        <f t="shared" si="30"/>
        <v>0.38895555555555561</v>
      </c>
      <c r="AY28" s="177">
        <f t="shared" si="31"/>
        <v>5477.5603530743256</v>
      </c>
      <c r="AZ28" s="177">
        <f t="shared" si="58"/>
        <v>7.1008903687798009E-5</v>
      </c>
      <c r="BA28" s="469">
        <f t="shared" si="32"/>
        <v>3.7498705811702195</v>
      </c>
      <c r="BB28" s="469">
        <f t="shared" si="33"/>
        <v>0.15410155065976894</v>
      </c>
      <c r="BC28" s="5">
        <f t="shared" si="34"/>
        <v>3.3500495456510321E-2</v>
      </c>
      <c r="BD28" s="469">
        <f t="shared" si="35"/>
        <v>4.0679761214479049</v>
      </c>
      <c r="BE28" s="5"/>
      <c r="BF28" s="177">
        <f t="shared" si="59"/>
        <v>5.4229288698443318E-2</v>
      </c>
      <c r="BG28" s="177">
        <f t="shared" si="36"/>
        <v>6738.8990629277059</v>
      </c>
      <c r="BH28" s="177"/>
      <c r="BI28" s="538">
        <f t="shared" si="37"/>
        <v>1.0292855134586892E-3</v>
      </c>
      <c r="BJ28" s="538">
        <f t="shared" si="38"/>
        <v>331.24526599949888</v>
      </c>
      <c r="BK28" s="538">
        <f t="shared" si="39"/>
        <v>4.3749999999999995E-3</v>
      </c>
      <c r="BL28" s="538">
        <f t="shared" si="40"/>
        <v>8462927.8085788898</v>
      </c>
      <c r="BM28">
        <f t="shared" si="41"/>
        <v>6.96E-3</v>
      </c>
      <c r="BN28">
        <f t="shared" si="42"/>
        <v>1.6625000000000001E-5</v>
      </c>
      <c r="BO28" s="538">
        <f t="shared" si="43"/>
        <v>8464866.5714215208</v>
      </c>
      <c r="BP28" s="469">
        <f t="shared" si="60"/>
        <v>8464866571.4215212</v>
      </c>
      <c r="BQ28" s="538">
        <f t="shared" si="44"/>
        <v>34695349.089960016</v>
      </c>
      <c r="BR28" s="538"/>
      <c r="BT28" s="469">
        <f t="shared" si="61"/>
        <v>34695349089.960014</v>
      </c>
      <c r="BU28" s="538">
        <f t="shared" si="45"/>
        <v>2.9408157527391126E-4</v>
      </c>
      <c r="BV28" s="538">
        <f t="shared" si="46"/>
        <v>1362382.8174098374</v>
      </c>
      <c r="BW28" s="538">
        <f t="shared" si="47"/>
        <v>0</v>
      </c>
      <c r="BX28" s="538">
        <f t="shared" si="48"/>
        <v>-14.000128452593048</v>
      </c>
      <c r="BY28" s="538">
        <f t="shared" si="49"/>
        <v>1.2965185185185191E-3</v>
      </c>
      <c r="BZ28" s="469">
        <f t="shared" si="62"/>
        <v>-13998.831934074529</v>
      </c>
      <c r="CA28" s="177">
        <f t="shared" si="63"/>
        <v>43160201.6625496</v>
      </c>
      <c r="CB28" s="5">
        <f t="shared" si="64"/>
        <v>0.34500000000000003</v>
      </c>
      <c r="CC28" s="177">
        <f t="shared" si="65"/>
        <v>7.9934750986488088E-9</v>
      </c>
      <c r="CD28" s="5">
        <f t="shared" si="66"/>
        <v>7.9934750986488087E-7</v>
      </c>
      <c r="CG28" s="571">
        <f t="shared" si="50"/>
        <v>-50</v>
      </c>
      <c r="CH28">
        <f t="shared" si="51"/>
        <v>-50</v>
      </c>
    </row>
    <row r="29" spans="5:86" x14ac:dyDescent="0.25">
      <c r="E29" s="174">
        <v>24</v>
      </c>
      <c r="F29" s="221">
        <f t="shared" si="52"/>
        <v>2.4E-2</v>
      </c>
      <c r="G29" s="221"/>
      <c r="H29" s="221">
        <f t="shared" si="0"/>
        <v>0.36</v>
      </c>
      <c r="I29" s="551">
        <f t="shared" si="1"/>
        <v>24</v>
      </c>
      <c r="J29" s="176">
        <f t="shared" si="2"/>
        <v>695386.58000000007</v>
      </c>
      <c r="K29" s="451">
        <f t="shared" si="3"/>
        <v>695410.58000000007</v>
      </c>
      <c r="L29" s="451"/>
      <c r="M29" s="221">
        <f t="shared" si="4"/>
        <v>0.99996548801428931</v>
      </c>
      <c r="N29" s="176">
        <f t="shared" si="5"/>
        <v>8.0997204529157436</v>
      </c>
      <c r="O29" s="176">
        <f t="shared" si="53"/>
        <v>0.36</v>
      </c>
      <c r="P29" s="221">
        <f t="shared" si="6"/>
        <v>0.5399813635277162</v>
      </c>
      <c r="Q29" s="221">
        <f t="shared" si="7"/>
        <v>15</v>
      </c>
      <c r="R29" s="221">
        <f t="shared" si="8"/>
        <v>0.59997929280857354</v>
      </c>
      <c r="S29" s="176">
        <f t="shared" si="9"/>
        <v>337.49947505163783</v>
      </c>
      <c r="T29" s="176">
        <f t="shared" si="10"/>
        <v>15</v>
      </c>
      <c r="U29" s="221">
        <f t="shared" si="11"/>
        <v>3.3334483772560965E-2</v>
      </c>
      <c r="V29" s="221">
        <f t="shared" si="12"/>
        <v>4.1668104715701211E-2</v>
      </c>
      <c r="W29" s="221">
        <f t="shared" si="13"/>
        <v>1.4380986661790753E-6</v>
      </c>
      <c r="X29" s="201">
        <f t="shared" si="14"/>
        <v>350</v>
      </c>
      <c r="Y29" s="451">
        <f t="shared" si="54"/>
        <v>350</v>
      </c>
      <c r="AA29" s="221">
        <f t="shared" si="15"/>
        <v>2.2856354011755182</v>
      </c>
      <c r="AB29" s="177">
        <f t="shared" si="16"/>
        <v>9.8605673459021225E-5</v>
      </c>
      <c r="AC29" s="177">
        <f t="shared" si="17"/>
        <v>1.8020156525828219</v>
      </c>
      <c r="AD29" s="177"/>
      <c r="AE29" s="177">
        <f t="shared" si="18"/>
        <v>6.4712206554230591E-6</v>
      </c>
      <c r="AF29" s="555">
        <f t="shared" si="19"/>
        <v>1082.3111111111116</v>
      </c>
      <c r="AG29" s="538">
        <f t="shared" si="20"/>
        <v>7.7611695137976321E-3</v>
      </c>
      <c r="AI29" s="177">
        <f t="shared" si="21"/>
        <v>0.27804304794030815</v>
      </c>
      <c r="AJ29" s="177">
        <f t="shared" si="22"/>
        <v>0.27804304794030815</v>
      </c>
      <c r="AK29" s="177">
        <f t="shared" si="23"/>
        <v>1.2853620319602055</v>
      </c>
      <c r="AM29" s="555">
        <f t="shared" si="24"/>
        <v>24</v>
      </c>
      <c r="AN29" s="469">
        <f t="shared" si="25"/>
        <v>350</v>
      </c>
      <c r="AP29">
        <f t="shared" si="26"/>
        <v>24</v>
      </c>
      <c r="AQ29" s="469">
        <f t="shared" si="27"/>
        <v>350</v>
      </c>
      <c r="AR29" s="469"/>
      <c r="AS29" s="5">
        <f t="shared" si="55"/>
        <v>2.8571428571428572</v>
      </c>
      <c r="AT29" s="5">
        <f t="shared" si="28"/>
        <v>0.34755380992538515</v>
      </c>
      <c r="AU29" s="5">
        <f t="shared" si="56"/>
        <v>2.5095890472174722</v>
      </c>
      <c r="AV29" s="5">
        <f t="shared" si="29"/>
        <v>1.1995186099520706E-5</v>
      </c>
      <c r="AW29" s="177">
        <f t="shared" si="57"/>
        <v>0.1216438334738848</v>
      </c>
      <c r="AX29" s="177">
        <f t="shared" si="30"/>
        <v>0.40586666666666665</v>
      </c>
      <c r="AY29" s="177">
        <f t="shared" si="31"/>
        <v>5579.1026531168145</v>
      </c>
      <c r="AZ29" s="177">
        <f t="shared" si="58"/>
        <v>7.2747660672621916E-5</v>
      </c>
      <c r="BA29" s="469">
        <f t="shared" si="32"/>
        <v>3.7498705811702195</v>
      </c>
      <c r="BB29" s="469">
        <f t="shared" si="33"/>
        <v>0.16466255799627011</v>
      </c>
      <c r="BC29" s="5">
        <f t="shared" si="34"/>
        <v>3.4855403433576002E-2</v>
      </c>
      <c r="BD29" s="469">
        <f t="shared" si="35"/>
        <v>4.2326484120291203</v>
      </c>
      <c r="BE29" s="5"/>
      <c r="BF29" s="177">
        <f t="shared" si="59"/>
        <v>5.598819445437013E-2</v>
      </c>
      <c r="BG29" s="177">
        <f t="shared" si="36"/>
        <v>6873.8237658885264</v>
      </c>
      <c r="BH29" s="177"/>
      <c r="BI29" s="538">
        <f t="shared" si="37"/>
        <v>1.0971372713911266E-3</v>
      </c>
      <c r="BJ29" s="538">
        <f t="shared" si="38"/>
        <v>338.36963515799061</v>
      </c>
      <c r="BK29" s="538">
        <f t="shared" si="39"/>
        <v>4.3749999999999995E-3</v>
      </c>
      <c r="BL29" s="538">
        <f t="shared" si="40"/>
        <v>8462927.8085788898</v>
      </c>
      <c r="BM29">
        <f t="shared" si="41"/>
        <v>6.96E-3</v>
      </c>
      <c r="BN29">
        <f t="shared" si="42"/>
        <v>1.6625000000000001E-5</v>
      </c>
      <c r="BO29" s="538">
        <f t="shared" si="43"/>
        <v>8464979.6874611527</v>
      </c>
      <c r="BP29" s="469">
        <f t="shared" si="60"/>
        <v>8464979687.461153</v>
      </c>
      <c r="BQ29" s="538">
        <f t="shared" si="44"/>
        <v>36098582.224549353</v>
      </c>
      <c r="BR29" s="538"/>
      <c r="BT29" s="469">
        <f t="shared" si="61"/>
        <v>36098582224.549355</v>
      </c>
      <c r="BU29" s="538">
        <f t="shared" si="45"/>
        <v>3.1346779182603622E-4</v>
      </c>
      <c r="BV29" s="538">
        <f t="shared" si="46"/>
        <v>1417483.5949348176</v>
      </c>
      <c r="BW29" s="538">
        <f t="shared" si="47"/>
        <v>0</v>
      </c>
      <c r="BX29" s="538">
        <f t="shared" si="48"/>
        <v>-14.000123459307629</v>
      </c>
      <c r="BY29" s="538">
        <f t="shared" si="49"/>
        <v>1.3528888888888885E-3</v>
      </c>
      <c r="BZ29" s="469">
        <f t="shared" si="62"/>
        <v>-13998.770570418741</v>
      </c>
      <c r="CA29" s="177">
        <f t="shared" si="63"/>
        <v>44563547.913239941</v>
      </c>
      <c r="CB29" s="5">
        <f t="shared" si="64"/>
        <v>0.36</v>
      </c>
      <c r="CC29" s="177">
        <f t="shared" si="65"/>
        <v>8.0783513420581264E-9</v>
      </c>
      <c r="CD29" s="5">
        <f t="shared" si="66"/>
        <v>8.0783513420581259E-7</v>
      </c>
      <c r="CG29" s="571">
        <f t="shared" si="50"/>
        <v>-50</v>
      </c>
      <c r="CH29">
        <f t="shared" si="51"/>
        <v>-50</v>
      </c>
    </row>
    <row r="30" spans="5:86" x14ac:dyDescent="0.25">
      <c r="E30" s="174">
        <v>25</v>
      </c>
      <c r="F30" s="221">
        <f t="shared" si="52"/>
        <v>2.5000000000000001E-2</v>
      </c>
      <c r="G30" s="221"/>
      <c r="H30" s="221">
        <f t="shared" si="0"/>
        <v>0.375</v>
      </c>
      <c r="I30" s="551">
        <f t="shared" si="1"/>
        <v>24</v>
      </c>
      <c r="J30" s="176">
        <f t="shared" si="2"/>
        <v>695386.58000000007</v>
      </c>
      <c r="K30" s="451">
        <f t="shared" si="3"/>
        <v>695410.58000000007</v>
      </c>
      <c r="L30" s="451"/>
      <c r="M30" s="221">
        <f t="shared" si="4"/>
        <v>0.99996548801428931</v>
      </c>
      <c r="N30" s="176">
        <f t="shared" si="5"/>
        <v>8.0997204529157436</v>
      </c>
      <c r="O30" s="176">
        <f t="shared" si="53"/>
        <v>0.375</v>
      </c>
      <c r="P30" s="221">
        <f t="shared" si="6"/>
        <v>0.5399813635277162</v>
      </c>
      <c r="Q30" s="221">
        <f t="shared" si="7"/>
        <v>15</v>
      </c>
      <c r="R30" s="221">
        <f t="shared" si="8"/>
        <v>0.59997929280857354</v>
      </c>
      <c r="S30" s="176">
        <f t="shared" si="9"/>
        <v>323.99947506588597</v>
      </c>
      <c r="T30" s="176">
        <f t="shared" si="10"/>
        <v>15</v>
      </c>
      <c r="U30" s="221">
        <f t="shared" si="11"/>
        <v>3.472342059641767E-2</v>
      </c>
      <c r="V30" s="221">
        <f t="shared" si="12"/>
        <v>4.3404275745522088E-2</v>
      </c>
      <c r="W30" s="221">
        <f t="shared" si="13"/>
        <v>1.4980194439365366E-6</v>
      </c>
      <c r="X30" s="201">
        <f t="shared" si="14"/>
        <v>350</v>
      </c>
      <c r="Y30" s="451">
        <f t="shared" si="54"/>
        <v>350</v>
      </c>
      <c r="AA30" s="221">
        <f t="shared" si="15"/>
        <v>2.2856354011755182</v>
      </c>
      <c r="AB30" s="177">
        <f t="shared" si="16"/>
        <v>9.8605673459021225E-5</v>
      </c>
      <c r="AC30" s="177">
        <f t="shared" si="17"/>
        <v>1.8020156525828219</v>
      </c>
      <c r="AD30" s="177"/>
      <c r="AE30" s="177">
        <f t="shared" si="18"/>
        <v>6.4712206554230591E-6</v>
      </c>
      <c r="AF30" s="555">
        <f t="shared" si="19"/>
        <v>1127.4074074074076</v>
      </c>
      <c r="AG30" s="538">
        <f t="shared" si="20"/>
        <v>7.7611695137976321E-3</v>
      </c>
      <c r="AI30" s="177">
        <f t="shared" si="21"/>
        <v>0.28377649749248179</v>
      </c>
      <c r="AJ30" s="177">
        <f t="shared" si="22"/>
        <v>0.28377649749248179</v>
      </c>
      <c r="AK30" s="177">
        <f t="shared" si="23"/>
        <v>1.2891843316616545</v>
      </c>
      <c r="AM30" s="555">
        <f t="shared" si="24"/>
        <v>25</v>
      </c>
      <c r="AN30" s="469">
        <f t="shared" si="25"/>
        <v>350</v>
      </c>
      <c r="AP30">
        <f t="shared" si="26"/>
        <v>25</v>
      </c>
      <c r="AQ30" s="469">
        <f t="shared" si="27"/>
        <v>350</v>
      </c>
      <c r="AR30" s="469"/>
      <c r="AS30" s="5">
        <f t="shared" si="55"/>
        <v>2.8571428571428572</v>
      </c>
      <c r="AT30" s="5">
        <f t="shared" si="28"/>
        <v>0.35472062186560221</v>
      </c>
      <c r="AU30" s="5">
        <f t="shared" si="56"/>
        <v>2.5024222352772552</v>
      </c>
      <c r="AV30" s="5">
        <f t="shared" si="29"/>
        <v>1.2242535547313054E-5</v>
      </c>
      <c r="AW30" s="177">
        <f t="shared" si="57"/>
        <v>0.12415221765296078</v>
      </c>
      <c r="AX30" s="177">
        <f t="shared" si="30"/>
        <v>0.42277777777777775</v>
      </c>
      <c r="AY30" s="177">
        <f t="shared" si="31"/>
        <v>5677.8866182632964</v>
      </c>
      <c r="AZ30" s="177">
        <f t="shared" si="58"/>
        <v>7.4460412157207427E-5</v>
      </c>
      <c r="BA30" s="469">
        <f t="shared" si="32"/>
        <v>3.7498705811702195</v>
      </c>
      <c r="BB30" s="469">
        <f t="shared" si="33"/>
        <v>0.17554531032581394</v>
      </c>
      <c r="BC30" s="5">
        <f t="shared" si="34"/>
        <v>3.62040253946362E-2</v>
      </c>
      <c r="BD30" s="469">
        <f t="shared" si="35"/>
        <v>4.3965663806896798</v>
      </c>
      <c r="BE30" s="5"/>
      <c r="BF30" s="177">
        <f t="shared" si="59"/>
        <v>5.7728867464744323E-2</v>
      </c>
      <c r="BG30" s="177">
        <f t="shared" si="36"/>
        <v>7005.5424144928329</v>
      </c>
      <c r="BH30" s="177"/>
      <c r="BI30" s="538">
        <f t="shared" si="37"/>
        <v>1.1664177485667055E-3</v>
      </c>
      <c r="BJ30" s="538">
        <f t="shared" si="38"/>
        <v>345.34706274532687</v>
      </c>
      <c r="BK30" s="538">
        <f t="shared" si="39"/>
        <v>4.3749999999999995E-3</v>
      </c>
      <c r="BL30" s="538">
        <f t="shared" si="40"/>
        <v>8462927.8085788898</v>
      </c>
      <c r="BM30">
        <f t="shared" si="41"/>
        <v>6.96E-3</v>
      </c>
      <c r="BN30">
        <f t="shared" si="42"/>
        <v>1.6625000000000001E-5</v>
      </c>
      <c r="BO30" s="538">
        <f t="shared" si="43"/>
        <v>8465094.8912297022</v>
      </c>
      <c r="BP30" s="469">
        <f t="shared" si="60"/>
        <v>8465094891.229702</v>
      </c>
      <c r="BQ30" s="538">
        <f t="shared" si="44"/>
        <v>37495305.14140366</v>
      </c>
      <c r="BR30" s="538"/>
      <c r="BT30" s="469">
        <f t="shared" si="61"/>
        <v>37495305141.403664</v>
      </c>
      <c r="BU30" s="538">
        <f t="shared" si="45"/>
        <v>3.332622138762016E-4</v>
      </c>
      <c r="BV30" s="538">
        <f t="shared" si="46"/>
        <v>1472328.7356377421</v>
      </c>
      <c r="BW30" s="538">
        <f t="shared" si="47"/>
        <v>0</v>
      </c>
      <c r="BX30" s="538">
        <f t="shared" si="48"/>
        <v>-14.000118860334299</v>
      </c>
      <c r="BY30" s="538">
        <f t="shared" si="49"/>
        <v>1.4092592592592592E-3</v>
      </c>
      <c r="BZ30" s="469">
        <f t="shared" si="62"/>
        <v>-13998.709601075039</v>
      </c>
      <c r="CA30" s="177">
        <f t="shared" si="63"/>
        <v>45960386.033923768</v>
      </c>
      <c r="CB30" s="5">
        <f t="shared" si="64"/>
        <v>0.375</v>
      </c>
      <c r="CC30" s="177">
        <f t="shared" si="65"/>
        <v>8.1592003309874081E-9</v>
      </c>
      <c r="CD30" s="5">
        <f t="shared" si="66"/>
        <v>8.1592003309874078E-7</v>
      </c>
      <c r="CG30" s="571">
        <f t="shared" si="50"/>
        <v>-50</v>
      </c>
      <c r="CH30">
        <f t="shared" si="51"/>
        <v>-50</v>
      </c>
    </row>
    <row r="31" spans="5:86" x14ac:dyDescent="0.25">
      <c r="E31" s="174">
        <v>26</v>
      </c>
      <c r="F31" s="221">
        <f t="shared" si="52"/>
        <v>2.6000000000000002E-2</v>
      </c>
      <c r="G31" s="221"/>
      <c r="H31" s="221">
        <f t="shared" si="0"/>
        <v>0.39</v>
      </c>
      <c r="I31" s="551">
        <f t="shared" si="1"/>
        <v>24</v>
      </c>
      <c r="J31" s="176">
        <f t="shared" si="2"/>
        <v>695386.58000000007</v>
      </c>
      <c r="K31" s="451">
        <f t="shared" si="3"/>
        <v>695410.58000000007</v>
      </c>
      <c r="L31" s="451"/>
      <c r="M31" s="221">
        <f t="shared" si="4"/>
        <v>0.99996548801428931</v>
      </c>
      <c r="N31" s="176">
        <f t="shared" si="5"/>
        <v>8.0997204529157436</v>
      </c>
      <c r="O31" s="176">
        <f t="shared" si="53"/>
        <v>0.39</v>
      </c>
      <c r="P31" s="221">
        <f t="shared" si="6"/>
        <v>0.5399813635277162</v>
      </c>
      <c r="Q31" s="221">
        <f t="shared" si="7"/>
        <v>15</v>
      </c>
      <c r="R31" s="221">
        <f t="shared" si="8"/>
        <v>0.59997929280857354</v>
      </c>
      <c r="S31" s="176">
        <f t="shared" si="9"/>
        <v>311.53793661859487</v>
      </c>
      <c r="T31" s="176">
        <f t="shared" si="10"/>
        <v>15</v>
      </c>
      <c r="U31" s="221">
        <f t="shared" si="11"/>
        <v>3.6112357420274382E-2</v>
      </c>
      <c r="V31" s="221">
        <f t="shared" si="12"/>
        <v>4.5140446775342978E-2</v>
      </c>
      <c r="W31" s="221">
        <f t="shared" si="13"/>
        <v>1.5579402216939985E-6</v>
      </c>
      <c r="X31" s="201">
        <f t="shared" si="14"/>
        <v>350</v>
      </c>
      <c r="Y31" s="451">
        <f t="shared" si="54"/>
        <v>350</v>
      </c>
      <c r="AA31" s="221">
        <f t="shared" si="15"/>
        <v>2.2856354011755182</v>
      </c>
      <c r="AB31" s="177">
        <f t="shared" si="16"/>
        <v>9.8605673459021225E-5</v>
      </c>
      <c r="AC31" s="177">
        <f t="shared" si="17"/>
        <v>1.8020156525828219</v>
      </c>
      <c r="AD31" s="177"/>
      <c r="AE31" s="177">
        <f t="shared" si="18"/>
        <v>6.4712206554230591E-6</v>
      </c>
      <c r="AF31" s="555">
        <f t="shared" si="19"/>
        <v>1172.5037037037041</v>
      </c>
      <c r="AG31" s="538">
        <f t="shared" si="20"/>
        <v>7.7611695137976321E-3</v>
      </c>
      <c r="AI31" s="177">
        <f t="shared" si="21"/>
        <v>0.28939637964263576</v>
      </c>
      <c r="AJ31" s="177">
        <f t="shared" si="22"/>
        <v>0.28939637964263576</v>
      </c>
      <c r="AK31" s="177">
        <f t="shared" si="23"/>
        <v>1.2929309197617571</v>
      </c>
      <c r="AM31" s="555">
        <f t="shared" si="24"/>
        <v>26.000000000000004</v>
      </c>
      <c r="AN31" s="469">
        <f t="shared" si="25"/>
        <v>350</v>
      </c>
      <c r="AP31">
        <f t="shared" si="26"/>
        <v>26.000000000000004</v>
      </c>
      <c r="AQ31" s="469">
        <f t="shared" si="27"/>
        <v>350</v>
      </c>
      <c r="AR31" s="469"/>
      <c r="AS31" s="5">
        <f t="shared" si="55"/>
        <v>2.8571428571428572</v>
      </c>
      <c r="AT31" s="5">
        <f t="shared" si="28"/>
        <v>0.3617454745532947</v>
      </c>
      <c r="AU31" s="5">
        <f t="shared" si="56"/>
        <v>2.4953973825895623</v>
      </c>
      <c r="AV31" s="5">
        <f t="shared" si="29"/>
        <v>1.2484985530320519E-5</v>
      </c>
      <c r="AW31" s="177">
        <f t="shared" si="57"/>
        <v>0.12661091609365313</v>
      </c>
      <c r="AX31" s="177">
        <f t="shared" si="30"/>
        <v>0.43968888888888896</v>
      </c>
      <c r="AY31" s="177">
        <f t="shared" si="31"/>
        <v>5774.0761928943411</v>
      </c>
      <c r="AZ31" s="177">
        <f t="shared" si="58"/>
        <v>7.6148785398775343E-5</v>
      </c>
      <c r="BA31" s="469">
        <f t="shared" si="32"/>
        <v>3.7498705811702195</v>
      </c>
      <c r="BB31" s="469">
        <f t="shared" si="33"/>
        <v>0.18674980764840038</v>
      </c>
      <c r="BC31" s="5">
        <f t="shared" si="34"/>
        <v>3.7546488395444805E-2</v>
      </c>
      <c r="BD31" s="469">
        <f t="shared" si="35"/>
        <v>4.5597452741200444</v>
      </c>
      <c r="BE31" s="5"/>
      <c r="BF31" s="177">
        <f t="shared" si="59"/>
        <v>5.9452215315592735E-2</v>
      </c>
      <c r="BG31" s="177">
        <f t="shared" si="36"/>
        <v>7134.2446611720579</v>
      </c>
      <c r="BH31" s="177"/>
      <c r="BI31" s="538">
        <f t="shared" si="37"/>
        <v>1.2370980670760596E-3</v>
      </c>
      <c r="BJ31" s="538">
        <f t="shared" si="38"/>
        <v>352.18628238007472</v>
      </c>
      <c r="BK31" s="538">
        <f t="shared" si="39"/>
        <v>4.3749999999999995E-3</v>
      </c>
      <c r="BL31" s="538">
        <f t="shared" si="40"/>
        <v>8462927.8085788898</v>
      </c>
      <c r="BM31">
        <f t="shared" si="41"/>
        <v>6.96E-3</v>
      </c>
      <c r="BN31">
        <f t="shared" si="42"/>
        <v>1.6625000000000001E-5</v>
      </c>
      <c r="BO31" s="538">
        <f t="shared" si="43"/>
        <v>8465212.1465212237</v>
      </c>
      <c r="BP31" s="469">
        <f t="shared" si="60"/>
        <v>8465212146.521224</v>
      </c>
      <c r="BQ31" s="538">
        <f t="shared" si="44"/>
        <v>38885649.427941963</v>
      </c>
      <c r="BR31" s="538"/>
      <c r="BT31" s="469">
        <f t="shared" si="61"/>
        <v>38885649427.941963</v>
      </c>
      <c r="BU31" s="538">
        <f t="shared" si="45"/>
        <v>3.5345659059315992E-4</v>
      </c>
      <c r="BV31" s="538">
        <f t="shared" si="46"/>
        <v>1526923.4065638601</v>
      </c>
      <c r="BW31" s="538">
        <f t="shared" si="47"/>
        <v>0</v>
      </c>
      <c r="BX31" s="538">
        <f t="shared" si="48"/>
        <v>-14.000114610485268</v>
      </c>
      <c r="BY31" s="538">
        <f t="shared" si="49"/>
        <v>1.4656296296296301E-3</v>
      </c>
      <c r="BZ31" s="469">
        <f t="shared" si="62"/>
        <v>-13998.648980855638</v>
      </c>
      <c r="CA31" s="177">
        <f t="shared" si="63"/>
        <v>47350847.575814202</v>
      </c>
      <c r="CB31" s="5">
        <f t="shared" si="64"/>
        <v>0.39</v>
      </c>
      <c r="CC31" s="177">
        <f t="shared" si="65"/>
        <v>8.2363889297519562E-9</v>
      </c>
      <c r="CD31" s="5">
        <f t="shared" si="66"/>
        <v>8.2363889297519558E-7</v>
      </c>
      <c r="CG31" s="571">
        <f t="shared" si="50"/>
        <v>-50</v>
      </c>
      <c r="CH31">
        <f t="shared" si="51"/>
        <v>-50</v>
      </c>
    </row>
    <row r="32" spans="5:86" x14ac:dyDescent="0.25">
      <c r="E32" s="174">
        <v>27</v>
      </c>
      <c r="F32" s="221">
        <f t="shared" si="52"/>
        <v>2.7000000000000003E-2</v>
      </c>
      <c r="G32" s="221"/>
      <c r="H32" s="221">
        <f t="shared" si="0"/>
        <v>0.40500000000000003</v>
      </c>
      <c r="I32" s="551">
        <f t="shared" si="1"/>
        <v>24</v>
      </c>
      <c r="J32" s="176">
        <f t="shared" si="2"/>
        <v>695386.58000000007</v>
      </c>
      <c r="K32" s="451">
        <f t="shared" si="3"/>
        <v>695410.58000000007</v>
      </c>
      <c r="L32" s="451"/>
      <c r="M32" s="221">
        <f t="shared" si="4"/>
        <v>0.99996548801428931</v>
      </c>
      <c r="N32" s="176">
        <f t="shared" si="5"/>
        <v>8.0997204529157436</v>
      </c>
      <c r="O32" s="176">
        <f t="shared" si="53"/>
        <v>0.40500000000000003</v>
      </c>
      <c r="P32" s="221">
        <f t="shared" si="6"/>
        <v>0.5399813635277162</v>
      </c>
      <c r="Q32" s="221">
        <f t="shared" si="7"/>
        <v>15</v>
      </c>
      <c r="R32" s="221">
        <f t="shared" si="8"/>
        <v>0.59997929280857354</v>
      </c>
      <c r="S32" s="176">
        <f t="shared" si="9"/>
        <v>299.99947509438016</v>
      </c>
      <c r="T32" s="176">
        <f t="shared" si="10"/>
        <v>15</v>
      </c>
      <c r="U32" s="221">
        <f t="shared" si="11"/>
        <v>3.7501294244131088E-2</v>
      </c>
      <c r="V32" s="221">
        <f t="shared" si="12"/>
        <v>4.6876617805163862E-2</v>
      </c>
      <c r="W32" s="221">
        <f t="shared" si="13"/>
        <v>1.6178609994514598E-6</v>
      </c>
      <c r="X32" s="201">
        <f t="shared" si="14"/>
        <v>350</v>
      </c>
      <c r="Y32" s="451">
        <f t="shared" si="54"/>
        <v>350</v>
      </c>
      <c r="AA32" s="221">
        <f t="shared" si="15"/>
        <v>2.2856354011755182</v>
      </c>
      <c r="AB32" s="177">
        <f t="shared" si="16"/>
        <v>9.8605673459021225E-5</v>
      </c>
      <c r="AC32" s="177">
        <f t="shared" si="17"/>
        <v>1.8020156525828219</v>
      </c>
      <c r="AD32" s="177"/>
      <c r="AE32" s="177">
        <f t="shared" si="18"/>
        <v>6.4712206554230591E-6</v>
      </c>
      <c r="AF32" s="555">
        <f t="shared" si="19"/>
        <v>1217.6000000000004</v>
      </c>
      <c r="AG32" s="538">
        <f t="shared" si="20"/>
        <v>7.7611695137976321E-3</v>
      </c>
      <c r="AI32" s="177">
        <f t="shared" si="21"/>
        <v>0.29490918699055235</v>
      </c>
      <c r="AJ32" s="177">
        <f t="shared" si="22"/>
        <v>0.29490918699055235</v>
      </c>
      <c r="AK32" s="177">
        <f t="shared" si="23"/>
        <v>1.2966061246603682</v>
      </c>
      <c r="AM32" s="555">
        <f t="shared" si="24"/>
        <v>27.000000000000004</v>
      </c>
      <c r="AN32" s="469">
        <f t="shared" si="25"/>
        <v>350</v>
      </c>
      <c r="AP32">
        <f t="shared" si="26"/>
        <v>27.000000000000004</v>
      </c>
      <c r="AQ32" s="469">
        <f t="shared" si="27"/>
        <v>350</v>
      </c>
      <c r="AR32" s="469"/>
      <c r="AS32" s="5">
        <f t="shared" si="55"/>
        <v>2.8571428571428572</v>
      </c>
      <c r="AT32" s="5">
        <f t="shared" si="28"/>
        <v>0.36863648373819047</v>
      </c>
      <c r="AU32" s="5">
        <f t="shared" si="56"/>
        <v>2.4885063734046668</v>
      </c>
      <c r="AV32" s="5">
        <f t="shared" si="29"/>
        <v>1.2722816148848559E-5</v>
      </c>
      <c r="AW32" s="177">
        <f t="shared" si="57"/>
        <v>0.12902276930836665</v>
      </c>
      <c r="AX32" s="177">
        <f t="shared" si="30"/>
        <v>0.45660000000000006</v>
      </c>
      <c r="AY32" s="177">
        <f t="shared" si="31"/>
        <v>5867.819697205673</v>
      </c>
      <c r="AZ32" s="177">
        <f t="shared" si="58"/>
        <v>7.7814251896226206E-5</v>
      </c>
      <c r="BA32" s="469">
        <f t="shared" si="32"/>
        <v>3.7498705811702195</v>
      </c>
      <c r="BB32" s="469">
        <f t="shared" si="33"/>
        <v>0.19827604996402939</v>
      </c>
      <c r="BC32" s="5">
        <f t="shared" si="34"/>
        <v>3.8882912084447913E-2</v>
      </c>
      <c r="BD32" s="469">
        <f t="shared" si="35"/>
        <v>4.7221994501337505</v>
      </c>
      <c r="BE32" s="5"/>
      <c r="BF32" s="177">
        <f t="shared" si="59"/>
        <v>6.1159067370779169E-2</v>
      </c>
      <c r="BG32" s="177">
        <f t="shared" si="36"/>
        <v>7260.1020964387262</v>
      </c>
      <c r="BH32" s="177"/>
      <c r="BI32" s="538">
        <f t="shared" si="37"/>
        <v>1.3091510325822268E-3</v>
      </c>
      <c r="BJ32" s="538">
        <f t="shared" si="38"/>
        <v>358.89519535174986</v>
      </c>
      <c r="BK32" s="538">
        <f t="shared" si="39"/>
        <v>4.3749999999999995E-3</v>
      </c>
      <c r="BL32" s="538">
        <f t="shared" si="40"/>
        <v>8462927.8085788898</v>
      </c>
      <c r="BM32">
        <f t="shared" si="41"/>
        <v>6.96E-3</v>
      </c>
      <c r="BN32">
        <f t="shared" si="42"/>
        <v>1.6625000000000001E-5</v>
      </c>
      <c r="BO32" s="538">
        <f t="shared" si="43"/>
        <v>8465331.4189261924</v>
      </c>
      <c r="BP32" s="469">
        <f t="shared" si="60"/>
        <v>8465331418.9261923</v>
      </c>
      <c r="BQ32" s="538">
        <f t="shared" si="44"/>
        <v>40269739.000080973</v>
      </c>
      <c r="BR32" s="538"/>
      <c r="BT32" s="469">
        <f t="shared" si="61"/>
        <v>40269739000.080971</v>
      </c>
      <c r="BU32" s="538">
        <f t="shared" si="45"/>
        <v>3.7404315216635055E-4</v>
      </c>
      <c r="BV32" s="538">
        <f t="shared" si="46"/>
        <v>1581272.4735214196</v>
      </c>
      <c r="BW32" s="538">
        <f t="shared" si="47"/>
        <v>0</v>
      </c>
      <c r="BX32" s="538">
        <f t="shared" si="48"/>
        <v>-14.000110671238689</v>
      </c>
      <c r="BY32" s="538">
        <f t="shared" si="49"/>
        <v>1.5220000000000001E-3</v>
      </c>
      <c r="BZ32" s="469">
        <f t="shared" si="62"/>
        <v>-13998.588671238689</v>
      </c>
      <c r="CA32" s="177">
        <f t="shared" si="63"/>
        <v>48735056.420418493</v>
      </c>
      <c r="CB32" s="5">
        <f t="shared" si="64"/>
        <v>0.40500000000000003</v>
      </c>
      <c r="CC32" s="177">
        <f t="shared" si="65"/>
        <v>8.3102396176701743E-9</v>
      </c>
      <c r="CD32" s="5">
        <f t="shared" si="66"/>
        <v>8.3102396176701741E-7</v>
      </c>
      <c r="CG32" s="571">
        <f t="shared" si="50"/>
        <v>-50</v>
      </c>
      <c r="CH32">
        <f t="shared" si="51"/>
        <v>-50</v>
      </c>
    </row>
    <row r="33" spans="5:86" x14ac:dyDescent="0.25">
      <c r="E33" s="174">
        <v>28</v>
      </c>
      <c r="F33" s="221">
        <f t="shared" si="52"/>
        <v>2.8000000000000004E-2</v>
      </c>
      <c r="G33" s="221"/>
      <c r="H33" s="221">
        <f t="shared" si="0"/>
        <v>0.42000000000000004</v>
      </c>
      <c r="I33" s="551">
        <f t="shared" si="1"/>
        <v>24</v>
      </c>
      <c r="J33" s="176">
        <f t="shared" si="2"/>
        <v>695386.58000000007</v>
      </c>
      <c r="K33" s="451">
        <f t="shared" si="3"/>
        <v>695410.58000000007</v>
      </c>
      <c r="L33" s="451"/>
      <c r="M33" s="221">
        <f t="shared" si="4"/>
        <v>0.99996548801428931</v>
      </c>
      <c r="N33" s="176">
        <f t="shared" si="5"/>
        <v>8.0997204529157436</v>
      </c>
      <c r="O33" s="176">
        <f t="shared" si="53"/>
        <v>0.42000000000000004</v>
      </c>
      <c r="P33" s="221">
        <f t="shared" si="6"/>
        <v>0.5399813635277162</v>
      </c>
      <c r="Q33" s="221">
        <f t="shared" si="7"/>
        <v>15</v>
      </c>
      <c r="R33" s="221">
        <f t="shared" si="8"/>
        <v>0.59997929280857354</v>
      </c>
      <c r="S33" s="176">
        <f t="shared" si="9"/>
        <v>289.28518939434025</v>
      </c>
      <c r="T33" s="176">
        <f t="shared" si="10"/>
        <v>15</v>
      </c>
      <c r="U33" s="221">
        <f t="shared" si="11"/>
        <v>3.8890231067987793E-2</v>
      </c>
      <c r="V33" s="221">
        <f t="shared" si="12"/>
        <v>4.8612788834984745E-2</v>
      </c>
      <c r="W33" s="221">
        <f t="shared" si="13"/>
        <v>1.6777817772089214E-6</v>
      </c>
      <c r="X33" s="201">
        <f t="shared" si="14"/>
        <v>350</v>
      </c>
      <c r="Y33" s="451">
        <f t="shared" si="54"/>
        <v>350</v>
      </c>
      <c r="AA33" s="221">
        <f t="shared" si="15"/>
        <v>2.2856354011755182</v>
      </c>
      <c r="AB33" s="177">
        <f t="shared" si="16"/>
        <v>9.8605673459021225E-5</v>
      </c>
      <c r="AC33" s="177">
        <f t="shared" si="17"/>
        <v>1.8020156525828219</v>
      </c>
      <c r="AD33" s="177"/>
      <c r="AE33" s="177">
        <f t="shared" si="18"/>
        <v>6.4712206554230591E-6</v>
      </c>
      <c r="AF33" s="555">
        <f t="shared" si="19"/>
        <v>1262.6962962962969</v>
      </c>
      <c r="AG33" s="538">
        <f t="shared" si="20"/>
        <v>7.7611695137976321E-3</v>
      </c>
      <c r="AI33" s="177">
        <f t="shared" si="21"/>
        <v>0.30032081611602052</v>
      </c>
      <c r="AJ33" s="177">
        <f t="shared" si="22"/>
        <v>0.30032081611602052</v>
      </c>
      <c r="AK33" s="177">
        <f t="shared" si="23"/>
        <v>1.3002138774106804</v>
      </c>
      <c r="AM33" s="555">
        <f t="shared" si="24"/>
        <v>28.000000000000004</v>
      </c>
      <c r="AN33" s="469">
        <f t="shared" si="25"/>
        <v>350</v>
      </c>
      <c r="AP33">
        <f t="shared" si="26"/>
        <v>28.000000000000004</v>
      </c>
      <c r="AQ33" s="469">
        <f t="shared" si="27"/>
        <v>350</v>
      </c>
      <c r="AR33" s="469"/>
      <c r="AS33" s="5">
        <f t="shared" si="55"/>
        <v>2.8571428571428572</v>
      </c>
      <c r="AT33" s="5">
        <f t="shared" si="28"/>
        <v>0.37540102014502569</v>
      </c>
      <c r="AU33" s="5">
        <f t="shared" si="56"/>
        <v>2.4817418369978315</v>
      </c>
      <c r="AV33" s="5">
        <f t="shared" si="29"/>
        <v>1.2956281790023349E-5</v>
      </c>
      <c r="AW33" s="177">
        <f t="shared" si="57"/>
        <v>0.13139035705075899</v>
      </c>
      <c r="AX33" s="177">
        <f t="shared" si="30"/>
        <v>0.47351111111111116</v>
      </c>
      <c r="AY33" s="177">
        <f t="shared" si="31"/>
        <v>5959.2518356142828</v>
      </c>
      <c r="AZ33" s="177">
        <f t="shared" si="58"/>
        <v>7.9458147460939005E-5</v>
      </c>
      <c r="BA33" s="469">
        <f t="shared" si="32"/>
        <v>3.7498705811702195</v>
      </c>
      <c r="BB33" s="469">
        <f t="shared" si="33"/>
        <v>0.21012403727270101</v>
      </c>
      <c r="BC33" s="5">
        <f t="shared" si="34"/>
        <v>4.0213409395798191E-2</v>
      </c>
      <c r="BD33" s="469">
        <f t="shared" si="35"/>
        <v>4.8839424608291164</v>
      </c>
      <c r="BE33" s="5"/>
      <c r="BF33" s="177">
        <f t="shared" si="59"/>
        <v>6.2850184152672087E-2</v>
      </c>
      <c r="BG33" s="177">
        <f t="shared" si="36"/>
        <v>7383.2705699323078</v>
      </c>
      <c r="BH33" s="177"/>
      <c r="BI33" s="538">
        <f t="shared" si="37"/>
        <v>1.3825509768086775E-3</v>
      </c>
      <c r="BJ33" s="538">
        <f t="shared" si="38"/>
        <v>365.48097761230156</v>
      </c>
      <c r="BK33" s="538">
        <f t="shared" si="39"/>
        <v>4.3749999999999995E-3</v>
      </c>
      <c r="BL33" s="538">
        <f t="shared" si="40"/>
        <v>8462927.8085788898</v>
      </c>
      <c r="BM33">
        <f t="shared" si="41"/>
        <v>6.96E-3</v>
      </c>
      <c r="BN33">
        <f t="shared" si="42"/>
        <v>1.6625000000000001E-5</v>
      </c>
      <c r="BO33" s="538">
        <f t="shared" si="43"/>
        <v>8465452.6756925825</v>
      </c>
      <c r="BP33" s="469">
        <f t="shared" si="60"/>
        <v>8465452675.6925821</v>
      </c>
      <c r="BQ33" s="538">
        <f t="shared" si="44"/>
        <v>41647690.819967002</v>
      </c>
      <c r="BR33" s="538"/>
      <c r="BT33" s="469">
        <f t="shared" si="61"/>
        <v>41647690819.967003</v>
      </c>
      <c r="BU33" s="538">
        <f t="shared" si="45"/>
        <v>3.9501456480247932E-4</v>
      </c>
      <c r="BV33" s="538">
        <f t="shared" si="46"/>
        <v>1635380.5292648564</v>
      </c>
      <c r="BW33" s="538">
        <f t="shared" si="47"/>
        <v>0</v>
      </c>
      <c r="BX33" s="538">
        <f t="shared" si="48"/>
        <v>-14.000107009551874</v>
      </c>
      <c r="BY33" s="538">
        <f t="shared" si="49"/>
        <v>1.5783703703703708E-3</v>
      </c>
      <c r="BZ33" s="469">
        <f t="shared" si="62"/>
        <v>-13998.528639181503</v>
      </c>
      <c r="CA33" s="177">
        <f t="shared" si="63"/>
        <v>50113129.497130938</v>
      </c>
      <c r="CB33" s="5">
        <f t="shared" si="64"/>
        <v>0.42000000000000004</v>
      </c>
      <c r="CC33" s="177">
        <f t="shared" si="65"/>
        <v>8.3810370793947351E-9</v>
      </c>
      <c r="CD33" s="5">
        <f t="shared" si="66"/>
        <v>8.3810370793947354E-7</v>
      </c>
      <c r="CG33" s="571">
        <f t="shared" si="50"/>
        <v>-50</v>
      </c>
      <c r="CH33">
        <f t="shared" si="51"/>
        <v>-50</v>
      </c>
    </row>
    <row r="34" spans="5:86" x14ac:dyDescent="0.25">
      <c r="E34" s="174">
        <v>29</v>
      </c>
      <c r="F34" s="221">
        <f t="shared" si="52"/>
        <v>2.8999999999999998E-2</v>
      </c>
      <c r="G34" s="221"/>
      <c r="H34" s="221">
        <f t="shared" si="0"/>
        <v>0.43499999999999994</v>
      </c>
      <c r="I34" s="551">
        <f t="shared" si="1"/>
        <v>24</v>
      </c>
      <c r="J34" s="176">
        <f t="shared" si="2"/>
        <v>695386.58000000007</v>
      </c>
      <c r="K34" s="451">
        <f t="shared" si="3"/>
        <v>695410.58000000007</v>
      </c>
      <c r="L34" s="451"/>
      <c r="M34" s="221">
        <f t="shared" si="4"/>
        <v>0.99996548801428931</v>
      </c>
      <c r="N34" s="176">
        <f t="shared" si="5"/>
        <v>8.0997204529157436</v>
      </c>
      <c r="O34" s="176">
        <f t="shared" si="53"/>
        <v>0.43499999999999994</v>
      </c>
      <c r="P34" s="221">
        <f t="shared" si="6"/>
        <v>0.5399813635277162</v>
      </c>
      <c r="Q34" s="221">
        <f t="shared" si="7"/>
        <v>15</v>
      </c>
      <c r="R34" s="221">
        <f t="shared" si="8"/>
        <v>0.59997929280857354</v>
      </c>
      <c r="S34" s="176">
        <f t="shared" si="9"/>
        <v>279.30981995045738</v>
      </c>
      <c r="T34" s="176">
        <f t="shared" si="10"/>
        <v>15</v>
      </c>
      <c r="U34" s="221">
        <f t="shared" si="11"/>
        <v>4.0279167891844492E-2</v>
      </c>
      <c r="V34" s="221">
        <f t="shared" si="12"/>
        <v>5.0348959864805615E-2</v>
      </c>
      <c r="W34" s="221">
        <f t="shared" si="13"/>
        <v>1.7377025549663825E-6</v>
      </c>
      <c r="X34" s="201">
        <f t="shared" si="14"/>
        <v>350</v>
      </c>
      <c r="Y34" s="451">
        <f t="shared" si="54"/>
        <v>350</v>
      </c>
      <c r="AA34" s="221">
        <f t="shared" si="15"/>
        <v>2.2856354011755182</v>
      </c>
      <c r="AB34" s="177">
        <f t="shared" si="16"/>
        <v>9.8605673459021225E-5</v>
      </c>
      <c r="AC34" s="177">
        <f t="shared" si="17"/>
        <v>1.8020156525828219</v>
      </c>
      <c r="AD34" s="177"/>
      <c r="AE34" s="177">
        <f t="shared" si="18"/>
        <v>6.4712206554230591E-6</v>
      </c>
      <c r="AF34" s="555">
        <f t="shared" si="19"/>
        <v>1307.7925925925929</v>
      </c>
      <c r="AG34" s="538">
        <f t="shared" si="20"/>
        <v>7.7611695137976321E-3</v>
      </c>
      <c r="AI34" s="177">
        <f t="shared" si="21"/>
        <v>0.30563664147768116</v>
      </c>
      <c r="AJ34" s="177">
        <f t="shared" si="22"/>
        <v>0.30563664147768116</v>
      </c>
      <c r="AK34" s="177">
        <f t="shared" si="23"/>
        <v>1.3037577609851208</v>
      </c>
      <c r="AM34" s="555">
        <f t="shared" si="24"/>
        <v>28.999999999999996</v>
      </c>
      <c r="AN34" s="469">
        <f t="shared" si="25"/>
        <v>350</v>
      </c>
      <c r="AP34">
        <f t="shared" si="26"/>
        <v>28.999999999999996</v>
      </c>
      <c r="AQ34" s="469">
        <f t="shared" si="27"/>
        <v>350</v>
      </c>
      <c r="AR34" s="469"/>
      <c r="AS34" s="5">
        <f t="shared" si="55"/>
        <v>2.8571428571428572</v>
      </c>
      <c r="AT34" s="5">
        <f t="shared" si="28"/>
        <v>0.38204580184710146</v>
      </c>
      <c r="AU34" s="5">
        <f t="shared" si="56"/>
        <v>2.4750970552957559</v>
      </c>
      <c r="AV34" s="5">
        <f t="shared" si="29"/>
        <v>1.3185614315896685E-5</v>
      </c>
      <c r="AW34" s="177">
        <f t="shared" si="57"/>
        <v>0.13371603064648552</v>
      </c>
      <c r="AX34" s="177">
        <f t="shared" si="30"/>
        <v>0.4904222222222222</v>
      </c>
      <c r="AY34" s="177">
        <f t="shared" si="31"/>
        <v>6048.4953849405911</v>
      </c>
      <c r="AZ34" s="177">
        <f t="shared" si="58"/>
        <v>8.1081689083084123E-5</v>
      </c>
      <c r="BA34" s="469">
        <f t="shared" si="32"/>
        <v>3.7498705811702195</v>
      </c>
      <c r="BB34" s="469">
        <f t="shared" si="33"/>
        <v>0.22229376957441516</v>
      </c>
      <c r="BC34" s="5">
        <f t="shared" si="34"/>
        <v>4.1538087154847747E-2</v>
      </c>
      <c r="BD34" s="469">
        <f t="shared" si="35"/>
        <v>5.0449871252483973</v>
      </c>
      <c r="BE34" s="5"/>
      <c r="BF34" s="177">
        <f t="shared" si="59"/>
        <v>6.4526265303798111E-2</v>
      </c>
      <c r="BG34" s="177">
        <f t="shared" si="36"/>
        <v>7503.8921414572123</v>
      </c>
      <c r="BH34" s="177"/>
      <c r="BI34" s="538">
        <f t="shared" si="37"/>
        <v>1.4572736199196488E-3</v>
      </c>
      <c r="BJ34" s="538">
        <f t="shared" si="38"/>
        <v>371.95016970868113</v>
      </c>
      <c r="BK34" s="538">
        <f t="shared" si="39"/>
        <v>4.3749999999999995E-3</v>
      </c>
      <c r="BL34" s="538">
        <f t="shared" si="40"/>
        <v>8462927.8085788898</v>
      </c>
      <c r="BM34">
        <f t="shared" si="41"/>
        <v>6.96E-3</v>
      </c>
      <c r="BN34">
        <f t="shared" si="42"/>
        <v>1.6625000000000001E-5</v>
      </c>
      <c r="BO34" s="538">
        <f t="shared" si="43"/>
        <v>8465575.885600891</v>
      </c>
      <c r="BP34" s="469">
        <f t="shared" si="60"/>
        <v>8465575885.6008911</v>
      </c>
      <c r="BQ34" s="538">
        <f t="shared" si="44"/>
        <v>43019615.523064695</v>
      </c>
      <c r="BR34" s="538"/>
      <c r="BT34" s="469">
        <f t="shared" si="61"/>
        <v>43019615523.064697</v>
      </c>
      <c r="BU34" s="538">
        <f t="shared" si="45"/>
        <v>4.1636389140561398E-4</v>
      </c>
      <c r="BV34" s="538">
        <f t="shared" si="46"/>
        <v>1689251.9181186992</v>
      </c>
      <c r="BW34" s="538">
        <f t="shared" si="47"/>
        <v>0</v>
      </c>
      <c r="BX34" s="538">
        <f t="shared" si="48"/>
        <v>-14.000103596919464</v>
      </c>
      <c r="BY34" s="538">
        <f t="shared" si="49"/>
        <v>1.6347407407407411E-3</v>
      </c>
      <c r="BZ34" s="469">
        <f t="shared" si="62"/>
        <v>-13998.468856178722</v>
      </c>
      <c r="CA34" s="177">
        <f t="shared" si="63"/>
        <v>51485177.410196722</v>
      </c>
      <c r="CB34" s="5">
        <f t="shared" si="64"/>
        <v>0.43499999999999994</v>
      </c>
      <c r="CC34" s="177">
        <f t="shared" si="65"/>
        <v>8.4490336482460645E-9</v>
      </c>
      <c r="CD34" s="5">
        <f t="shared" si="66"/>
        <v>8.4490336482460646E-7</v>
      </c>
      <c r="CG34" s="571">
        <f t="shared" si="50"/>
        <v>-50</v>
      </c>
      <c r="CH34">
        <f t="shared" si="51"/>
        <v>-50</v>
      </c>
    </row>
    <row r="35" spans="5:86" x14ac:dyDescent="0.25">
      <c r="E35" s="174">
        <v>30</v>
      </c>
      <c r="F35" s="221">
        <f t="shared" si="52"/>
        <v>0.03</v>
      </c>
      <c r="G35" s="221"/>
      <c r="H35" s="221">
        <f t="shared" si="0"/>
        <v>0.44999999999999996</v>
      </c>
      <c r="I35" s="551">
        <f t="shared" si="1"/>
        <v>24</v>
      </c>
      <c r="J35" s="176">
        <f t="shared" si="2"/>
        <v>695386.58000000007</v>
      </c>
      <c r="K35" s="451">
        <f t="shared" si="3"/>
        <v>695410.58000000007</v>
      </c>
      <c r="L35" s="451"/>
      <c r="M35" s="221">
        <f t="shared" si="4"/>
        <v>0.99996548801428931</v>
      </c>
      <c r="N35" s="176">
        <f t="shared" si="5"/>
        <v>8.0997204529157436</v>
      </c>
      <c r="O35" s="176">
        <f t="shared" si="53"/>
        <v>0.44999999999999996</v>
      </c>
      <c r="P35" s="221">
        <f t="shared" si="6"/>
        <v>0.5399813635277162</v>
      </c>
      <c r="Q35" s="221">
        <f t="shared" si="7"/>
        <v>15</v>
      </c>
      <c r="R35" s="221">
        <f t="shared" si="8"/>
        <v>0.59997929280857354</v>
      </c>
      <c r="S35" s="176">
        <f t="shared" si="9"/>
        <v>269.9994751371155</v>
      </c>
      <c r="T35" s="176">
        <f t="shared" si="10"/>
        <v>15</v>
      </c>
      <c r="U35" s="221">
        <f t="shared" si="11"/>
        <v>4.1668104715701204E-2</v>
      </c>
      <c r="V35" s="221">
        <f t="shared" si="12"/>
        <v>5.2085130894626505E-2</v>
      </c>
      <c r="W35" s="221">
        <f t="shared" si="13"/>
        <v>1.7976233327238442E-6</v>
      </c>
      <c r="X35" s="201">
        <f t="shared" si="14"/>
        <v>350</v>
      </c>
      <c r="Y35" s="451">
        <f t="shared" si="54"/>
        <v>350</v>
      </c>
      <c r="AA35" s="221">
        <f t="shared" si="15"/>
        <v>2.2856354011755182</v>
      </c>
      <c r="AB35" s="177">
        <f t="shared" si="16"/>
        <v>9.8605673459021225E-5</v>
      </c>
      <c r="AC35" s="177">
        <f t="shared" si="17"/>
        <v>1.8020156525828219</v>
      </c>
      <c r="AD35" s="177"/>
      <c r="AE35" s="177">
        <f t="shared" si="18"/>
        <v>6.4712206554230591E-6</v>
      </c>
      <c r="AF35" s="555">
        <f t="shared" si="19"/>
        <v>1352.8888888888891</v>
      </c>
      <c r="AG35" s="538">
        <f t="shared" si="20"/>
        <v>7.7611695137976321E-3</v>
      </c>
      <c r="AI35" s="177">
        <f t="shared" si="21"/>
        <v>0.31086157793288099</v>
      </c>
      <c r="AJ35" s="177">
        <f t="shared" si="22"/>
        <v>0.31086157793288099</v>
      </c>
      <c r="AK35" s="177">
        <f t="shared" si="23"/>
        <v>1.307241051955254</v>
      </c>
      <c r="AM35" s="555">
        <f t="shared" si="24"/>
        <v>30</v>
      </c>
      <c r="AN35" s="469">
        <f t="shared" si="25"/>
        <v>350</v>
      </c>
      <c r="AP35">
        <f t="shared" si="26"/>
        <v>30</v>
      </c>
      <c r="AQ35" s="469">
        <f t="shared" si="27"/>
        <v>350</v>
      </c>
      <c r="AR35" s="469"/>
      <c r="AS35" s="5">
        <f t="shared" si="55"/>
        <v>2.8571428571428572</v>
      </c>
      <c r="AT35" s="5">
        <f t="shared" si="28"/>
        <v>0.38857697241610129</v>
      </c>
      <c r="AU35" s="5">
        <f t="shared" si="56"/>
        <v>2.4685658847267558</v>
      </c>
      <c r="AV35" s="5">
        <f t="shared" si="29"/>
        <v>1.3411025760644431E-5</v>
      </c>
      <c r="AW35" s="177">
        <f t="shared" si="57"/>
        <v>0.13600194034563545</v>
      </c>
      <c r="AX35" s="177">
        <f t="shared" si="30"/>
        <v>0.50733333333333341</v>
      </c>
      <c r="AY35" s="177">
        <f t="shared" si="31"/>
        <v>6135.6626226432554</v>
      </c>
      <c r="AZ35" s="177">
        <f t="shared" si="58"/>
        <v>8.2685989197165666E-5</v>
      </c>
      <c r="BA35" s="469">
        <f t="shared" si="32"/>
        <v>3.7498705811702195</v>
      </c>
      <c r="BB35" s="469">
        <f t="shared" si="33"/>
        <v>0.23478524686917204</v>
      </c>
      <c r="BC35" s="5">
        <f t="shared" si="34"/>
        <v>4.2857046609839501E-2</v>
      </c>
      <c r="BD35" s="469">
        <f t="shared" si="35"/>
        <v>5.2053455931807404</v>
      </c>
      <c r="BE35" s="5"/>
      <c r="BF35" s="177">
        <f t="shared" si="59"/>
        <v>6.6187956385573385E-2</v>
      </c>
      <c r="BG35" s="177">
        <f t="shared" si="36"/>
        <v>7622.0967316527722</v>
      </c>
      <c r="BH35" s="177"/>
      <c r="BI35" s="538">
        <f t="shared" si="37"/>
        <v>1.5332959496744975E-3</v>
      </c>
      <c r="BJ35" s="538">
        <f t="shared" si="38"/>
        <v>378.30875286753496</v>
      </c>
      <c r="BK35" s="538">
        <f t="shared" si="39"/>
        <v>4.3749999999999995E-3</v>
      </c>
      <c r="BL35" s="538">
        <f t="shared" si="40"/>
        <v>8462927.8085788898</v>
      </c>
      <c r="BM35">
        <f t="shared" si="41"/>
        <v>6.96E-3</v>
      </c>
      <c r="BN35">
        <f t="shared" si="42"/>
        <v>1.6625000000000001E-5</v>
      </c>
      <c r="BO35" s="538">
        <f t="shared" si="43"/>
        <v>8465701.018851554</v>
      </c>
      <c r="BP35" s="469">
        <f t="shared" si="60"/>
        <v>8465701018.8515539</v>
      </c>
      <c r="BQ35" s="538">
        <f t="shared" si="44"/>
        <v>44385617.968812309</v>
      </c>
      <c r="BR35" s="538"/>
      <c r="BT35" s="469">
        <f t="shared" si="61"/>
        <v>44385617968.812309</v>
      </c>
      <c r="BU35" s="538">
        <f t="shared" si="45"/>
        <v>4.3808455704985648E-4</v>
      </c>
      <c r="BV35" s="538">
        <f t="shared" si="46"/>
        <v>1742890.7576001561</v>
      </c>
      <c r="BW35" s="538">
        <f t="shared" si="47"/>
        <v>0</v>
      </c>
      <c r="BX35" s="538">
        <f t="shared" si="48"/>
        <v>-14.000100408619588</v>
      </c>
      <c r="BY35" s="538">
        <f t="shared" si="49"/>
        <v>1.6911111111111115E-3</v>
      </c>
      <c r="BZ35" s="469">
        <f t="shared" si="62"/>
        <v>-13998.409297508477</v>
      </c>
      <c r="CA35" s="177">
        <f t="shared" si="63"/>
        <v>52851304.989254564</v>
      </c>
      <c r="CB35" s="5">
        <f t="shared" si="64"/>
        <v>0.44999999999999996</v>
      </c>
      <c r="CC35" s="177">
        <f t="shared" si="65"/>
        <v>8.5144538296639459E-9</v>
      </c>
      <c r="CD35" s="5">
        <f t="shared" si="66"/>
        <v>8.514453829663946E-7</v>
      </c>
      <c r="CG35" s="571">
        <f t="shared" si="50"/>
        <v>-50</v>
      </c>
      <c r="CH35">
        <f t="shared" si="51"/>
        <v>-50</v>
      </c>
    </row>
    <row r="36" spans="5:86" x14ac:dyDescent="0.25">
      <c r="E36" s="174">
        <v>31</v>
      </c>
      <c r="F36" s="221">
        <f t="shared" si="52"/>
        <v>3.1E-2</v>
      </c>
      <c r="G36" s="221"/>
      <c r="H36" s="221">
        <f t="shared" si="0"/>
        <v>0.46499999999999997</v>
      </c>
      <c r="I36" s="551">
        <f t="shared" si="1"/>
        <v>24</v>
      </c>
      <c r="J36" s="176">
        <f t="shared" si="2"/>
        <v>695386.58000000007</v>
      </c>
      <c r="K36" s="451">
        <f t="shared" si="3"/>
        <v>695410.58000000007</v>
      </c>
      <c r="L36" s="451"/>
      <c r="M36" s="221">
        <f t="shared" si="4"/>
        <v>0.99996548801428931</v>
      </c>
      <c r="N36" s="176">
        <f t="shared" si="5"/>
        <v>8.0997204529157436</v>
      </c>
      <c r="O36" s="176">
        <f t="shared" si="53"/>
        <v>0.46499999999999997</v>
      </c>
      <c r="P36" s="221">
        <f t="shared" si="6"/>
        <v>0.5399813635277162</v>
      </c>
      <c r="Q36" s="221">
        <f t="shared" si="7"/>
        <v>15</v>
      </c>
      <c r="R36" s="221">
        <f t="shared" si="8"/>
        <v>0.59997929280857354</v>
      </c>
      <c r="S36" s="176">
        <f t="shared" si="9"/>
        <v>261.28979773200427</v>
      </c>
      <c r="T36" s="176">
        <f t="shared" si="10"/>
        <v>15</v>
      </c>
      <c r="U36" s="221">
        <f t="shared" si="11"/>
        <v>4.305704153955791E-2</v>
      </c>
      <c r="V36" s="221">
        <f t="shared" si="12"/>
        <v>5.3821301924447389E-2</v>
      </c>
      <c r="W36" s="221">
        <f t="shared" si="13"/>
        <v>1.8575441104813054E-6</v>
      </c>
      <c r="X36" s="201">
        <f t="shared" si="14"/>
        <v>350</v>
      </c>
      <c r="Y36" s="451">
        <f t="shared" si="54"/>
        <v>350</v>
      </c>
      <c r="AA36" s="221">
        <f t="shared" si="15"/>
        <v>2.2856354011755182</v>
      </c>
      <c r="AB36" s="177">
        <f t="shared" si="16"/>
        <v>9.8605673459021225E-5</v>
      </c>
      <c r="AC36" s="177">
        <f t="shared" si="17"/>
        <v>1.8020156525828219</v>
      </c>
      <c r="AD36" s="177"/>
      <c r="AE36" s="177">
        <f t="shared" si="18"/>
        <v>6.4712206554230591E-6</v>
      </c>
      <c r="AF36" s="555">
        <f t="shared" si="19"/>
        <v>1397.9851851851856</v>
      </c>
      <c r="AG36" s="538">
        <f t="shared" si="20"/>
        <v>7.7611695137976321E-3</v>
      </c>
      <c r="AI36" s="177">
        <f t="shared" si="21"/>
        <v>0.31600013394947263</v>
      </c>
      <c r="AJ36" s="177">
        <f t="shared" si="22"/>
        <v>0.31600013394947263</v>
      </c>
      <c r="AK36" s="177">
        <f t="shared" si="23"/>
        <v>1.310666755966315</v>
      </c>
      <c r="AM36" s="555">
        <f t="shared" si="24"/>
        <v>31</v>
      </c>
      <c r="AN36" s="469">
        <f t="shared" si="25"/>
        <v>350</v>
      </c>
      <c r="AP36">
        <f t="shared" si="26"/>
        <v>31</v>
      </c>
      <c r="AQ36" s="469">
        <f t="shared" si="27"/>
        <v>350</v>
      </c>
      <c r="AR36" s="469"/>
      <c r="AS36" s="5">
        <f t="shared" si="55"/>
        <v>2.8571428571428572</v>
      </c>
      <c r="AT36" s="5">
        <f t="shared" si="28"/>
        <v>0.3950001674368408</v>
      </c>
      <c r="AU36" s="5">
        <f t="shared" si="56"/>
        <v>2.4621426897060164</v>
      </c>
      <c r="AV36" s="5">
        <f t="shared" si="29"/>
        <v>1.3632710626201869E-5</v>
      </c>
      <c r="AW36" s="177">
        <f t="shared" si="57"/>
        <v>0.13825005860289427</v>
      </c>
      <c r="AX36" s="177">
        <f t="shared" si="30"/>
        <v>0.52424444444444429</v>
      </c>
      <c r="AY36" s="177">
        <f t="shared" si="31"/>
        <v>6220.8565424161352</v>
      </c>
      <c r="AZ36" s="177">
        <f t="shared" si="58"/>
        <v>8.4272067820556363E-5</v>
      </c>
      <c r="BA36" s="469">
        <f t="shared" si="32"/>
        <v>3.7498705811702195</v>
      </c>
      <c r="BB36" s="469">
        <f t="shared" si="33"/>
        <v>0.24759846915697142</v>
      </c>
      <c r="BC36" s="5">
        <f t="shared" si="34"/>
        <v>4.4170383900975975E-2</v>
      </c>
      <c r="BD36" s="469">
        <f t="shared" si="35"/>
        <v>5.3650294014504514</v>
      </c>
      <c r="BE36" s="5"/>
      <c r="BF36" s="177">
        <f t="shared" si="59"/>
        <v>6.7835854717003638E-2</v>
      </c>
      <c r="BG36" s="177">
        <f t="shared" si="36"/>
        <v>7738.0035269548735</v>
      </c>
      <c r="BH36" s="177"/>
      <c r="BI36" s="538">
        <f t="shared" si="37"/>
        <v>1.6105961148152486E-3</v>
      </c>
      <c r="BJ36" s="538">
        <f t="shared" si="38"/>
        <v>384.5622137522908</v>
      </c>
      <c r="BK36" s="538">
        <f t="shared" si="39"/>
        <v>4.3749999999999995E-3</v>
      </c>
      <c r="BL36" s="538">
        <f t="shared" si="40"/>
        <v>8462927.8085788898</v>
      </c>
      <c r="BM36">
        <f t="shared" si="41"/>
        <v>6.96E-3</v>
      </c>
      <c r="BN36">
        <f t="shared" si="42"/>
        <v>1.6625000000000001E-5</v>
      </c>
      <c r="BO36" s="538">
        <f t="shared" si="43"/>
        <v>8465828.0469632223</v>
      </c>
      <c r="BP36" s="469">
        <f t="shared" si="60"/>
        <v>8465828046.9632225</v>
      </c>
      <c r="BQ36" s="538">
        <f t="shared" si="44"/>
        <v>45745797.726420358</v>
      </c>
      <c r="BR36" s="538"/>
      <c r="BT36" s="469">
        <f t="shared" si="61"/>
        <v>45745797726.420357</v>
      </c>
      <c r="BU36" s="538">
        <f t="shared" si="45"/>
        <v>4.6017031851864249E-4</v>
      </c>
      <c r="BV36" s="538">
        <f t="shared" si="46"/>
        <v>1796300.9574949818</v>
      </c>
      <c r="BW36" s="538">
        <f t="shared" si="47"/>
        <v>0</v>
      </c>
      <c r="BX36" s="538">
        <f t="shared" si="48"/>
        <v>-14.00009742310553</v>
      </c>
      <c r="BY36" s="538">
        <f t="shared" si="49"/>
        <v>1.7474814814814816E-3</v>
      </c>
      <c r="BZ36" s="469">
        <f t="shared" si="62"/>
        <v>-13998.349941624047</v>
      </c>
      <c r="CA36" s="177">
        <f t="shared" si="63"/>
        <v>54211611.775033638</v>
      </c>
      <c r="CB36" s="5">
        <f t="shared" si="64"/>
        <v>0.46499999999999997</v>
      </c>
      <c r="CC36" s="177">
        <f t="shared" si="65"/>
        <v>8.5774980817967901E-9</v>
      </c>
      <c r="CD36" s="5">
        <f t="shared" si="66"/>
        <v>8.5774980817967899E-7</v>
      </c>
      <c r="CG36" s="571">
        <f t="shared" si="50"/>
        <v>-50</v>
      </c>
      <c r="CH36">
        <f t="shared" si="51"/>
        <v>-50</v>
      </c>
    </row>
    <row r="37" spans="5:86" x14ac:dyDescent="0.25">
      <c r="E37" s="174">
        <v>32</v>
      </c>
      <c r="F37" s="221">
        <f t="shared" si="52"/>
        <v>3.2000000000000001E-2</v>
      </c>
      <c r="G37" s="221"/>
      <c r="H37" s="221">
        <f t="shared" ref="H37:H68" si="67">F37*Vout</f>
        <v>0.48</v>
      </c>
      <c r="I37" s="551">
        <f t="shared" ref="I37:I68" si="68">Vin</f>
        <v>24</v>
      </c>
      <c r="J37" s="176">
        <f t="shared" ref="J37:J68" si="69">(T37+Vfwd1)*Nps</f>
        <v>695386.58000000007</v>
      </c>
      <c r="K37" s="451">
        <f t="shared" ref="K37:K68" si="70">(Vout+Vfwd1)*Nps+I37</f>
        <v>695410.58000000007</v>
      </c>
      <c r="L37" s="451"/>
      <c r="M37" s="221">
        <f t="shared" ref="M37:M68" si="71">(Vout+Vfwd1)*Nps/((Vout+Vfwd1)*Nps+I37)</f>
        <v>0.99996548801428931</v>
      </c>
      <c r="N37" s="176">
        <f t="shared" ref="N37:N68" si="72">M37*I37*Isw_max*0.5*Efficiency</f>
        <v>8.0997204529157436</v>
      </c>
      <c r="O37" s="176">
        <f t="shared" si="53"/>
        <v>0.48</v>
      </c>
      <c r="P37" s="221">
        <f t="shared" ref="P37:P68" si="73">N37/Vout</f>
        <v>0.5399813635277162</v>
      </c>
      <c r="Q37" s="221">
        <f t="shared" ref="Q37:Q68" si="74">MIN(Vout,N37/F37)</f>
        <v>15</v>
      </c>
      <c r="R37" s="221">
        <f t="shared" ref="R37:R68" si="75">Isw_max/2*I37*Nps*(Q37+Vfwd1)/Q37/(I37+Nps*(Q37+Vfwd1))</f>
        <v>0.59997929280857354</v>
      </c>
      <c r="S37" s="176">
        <f t="shared" ref="S37:S68" si="76">(SQRT(Isw_max^2*Nps^2*I37^2+4*Isw_max*F37/Efficiency*(Nps^2*Vfwd1*I37-Nps*I37^2)+4*(F37/Efficiency)^2*Nps^2*Vfwd1^2+8*(F37/Efficiency)^2*Nps*Vfwd1*I37+4*(F37/Efficiency)^2*I37^2)-2*F37/Efficiency*I37-2*F37/Efficiency*Nps*Vfwd1+Isw_max*Nps*I37)/(4*F37/Efficiency*Nps)</f>
        <v>253.12447516560195</v>
      </c>
      <c r="T37" s="176">
        <f t="shared" ref="T37:T68" si="77">MIN(Vout, S37)</f>
        <v>15</v>
      </c>
      <c r="U37" s="221">
        <f t="shared" ref="U37:U68" si="78">MIN(2*Vout*F37/(Efficiency*I37*M37), Isw_max)</f>
        <v>4.4445978363414615E-2</v>
      </c>
      <c r="V37" s="221">
        <f t="shared" ref="V37:V68" si="79">L*U37/I37*1000000</f>
        <v>5.5557472954268265E-2</v>
      </c>
      <c r="W37" s="221">
        <f t="shared" ref="W37:W68" si="80">L*U37/J37*1000000</f>
        <v>1.9174648882387671E-6</v>
      </c>
      <c r="X37" s="201">
        <f t="shared" ref="X37:X68" si="81">IF(1/((350000*L)*(1/I37+1/J37))&gt;Isw_min, 350, 0.001/((Isw_min*L)*(1/I37+1/J37)))</f>
        <v>350</v>
      </c>
      <c r="Y37" s="451">
        <f t="shared" si="54"/>
        <v>350</v>
      </c>
      <c r="AA37" s="221">
        <f t="shared" ref="AA37:AA68" si="82">1/((X37*1000*L)*(1/I37+1/J37))</f>
        <v>2.2856354011755182</v>
      </c>
      <c r="AB37" s="177">
        <f t="shared" ref="AB37:AB68" si="83">L*AA37/J37*1000000</f>
        <v>9.8605673459021225E-5</v>
      </c>
      <c r="AC37" s="177">
        <f t="shared" ref="AC37:AC68" si="84">0.5*AB37*AA37*Nps*X37/1000</f>
        <v>1.8020156525828219</v>
      </c>
      <c r="AD37" s="177"/>
      <c r="AE37" s="177">
        <f t="shared" ref="AE37:AE68" si="85">L*Isw_min/J37*1000000</f>
        <v>6.4712206554230591E-6</v>
      </c>
      <c r="AF37" s="555">
        <f t="shared" ref="AF37:AF68" si="86">MAX(12, F37/(0.5*AE37/1000000*Isw_min*Nps)/1000)</f>
        <v>1443.0814814814819</v>
      </c>
      <c r="AG37" s="538">
        <f t="shared" ref="AG37:AG68" si="87">0.5*AE37/1000000*Isw_min*Nps*X37*1000</f>
        <v>7.7611695137976321E-3</v>
      </c>
      <c r="AI37" s="177">
        <f t="shared" ref="AI37:AI68" si="88">SQRT(F37/Efficiency/(0.5*L/J37*Fsw_DCM*Nps))</f>
        <v>0.32105645714928188</v>
      </c>
      <c r="AJ37" s="177">
        <f t="shared" ref="AJ37:AJ71" si="89">MAX(IF(F37&gt;AC37,U37,AI37),Isw_min)</f>
        <v>0.32105645714928188</v>
      </c>
      <c r="AK37" s="177">
        <f t="shared" ref="AK37:AK68" si="90">IF(F37&gt;AG37, (AJ37-Isw_min)/1.2*0.8+1.2, AF37*0.2/350+1)</f>
        <v>1.3140376380995211</v>
      </c>
      <c r="AM37" s="555">
        <f t="shared" ref="AM37:AM68" si="91">F37*1000</f>
        <v>32</v>
      </c>
      <c r="AN37" s="469">
        <f t="shared" ref="AN37:AN68" si="92">IF(F37&gt;AG37, Y37, AF37)</f>
        <v>350</v>
      </c>
      <c r="AP37">
        <f t="shared" ref="AP37:AP68" si="93">IF(H37&gt;N37, "",AM37)</f>
        <v>32</v>
      </c>
      <c r="AQ37" s="469">
        <f t="shared" ref="AQ37:AQ68" si="94">IF(H37&gt;N37, "",AN37)</f>
        <v>350</v>
      </c>
      <c r="AR37" s="469"/>
      <c r="AS37" s="5">
        <f t="shared" si="55"/>
        <v>2.8571428571428572</v>
      </c>
      <c r="AT37" s="5">
        <f t="shared" ref="AT37:AT68" si="95">L*AJ37/I37*1000000</f>
        <v>0.40132057143660232</v>
      </c>
      <c r="AU37" s="5">
        <f t="shared" si="56"/>
        <v>2.455822285706255</v>
      </c>
      <c r="AV37" s="5">
        <f t="shared" ref="AV37:AV68" si="96">L*AJ37/J37*1000000</f>
        <v>1.3850847847075873E-5</v>
      </c>
      <c r="AW37" s="177">
        <f t="shared" si="57"/>
        <v>0.14046220000281082</v>
      </c>
      <c r="AX37" s="177">
        <f t="shared" ref="AX37:AX68" si="97">0.5*L*AJ37^2*AN37*1000</f>
        <v>0.5411555555555555</v>
      </c>
      <c r="AY37" s="177">
        <f t="shared" ref="AY37:AY68" si="98">AJ37*Nps/2*(1-AW37)</f>
        <v>6304.1718946060291</v>
      </c>
      <c r="AZ37" s="177">
        <f t="shared" si="58"/>
        <v>8.5840862940076023E-5</v>
      </c>
      <c r="BA37" s="469">
        <f t="shared" ref="BA37:BA68" si="99">L*Isw_max^2/(2*Vout_ripple*Vout)*1000000000*((1+M37)/2)^2</f>
        <v>3.7498705811702195</v>
      </c>
      <c r="BB37" s="469">
        <f t="shared" ref="BB37:BB68" si="100">L*F37^2/(2*Cout*Vout*Nps^2)*1000000000*((1+M37)/(1-M37))^2+F37*RCoutEsr</f>
        <v>0.26073343643781355</v>
      </c>
      <c r="BC37" s="5">
        <f t="shared" ref="BC37:BC68" si="101">H37/Efficiency/I37*AU37/Vinripple1</f>
        <v>4.5478190476041756E-2</v>
      </c>
      <c r="BD37" s="469">
        <f t="shared" ref="BD37:BD68" si="102">((CB37/I37/Efficiency)*AU37/Cin+(CB37/I37/Efficiency)*RCinEsr)*1000</f>
        <v>5.5240495237916782</v>
      </c>
      <c r="BE37" s="5"/>
      <c r="BF37" s="177">
        <f t="shared" si="59"/>
        <v>6.9470514415453433E-2</v>
      </c>
      <c r="BG37" s="177">
        <f t="shared" ref="BG37:BG68" si="103">AJ37*Nps*SQRT((1-AW37)/3)</f>
        <v>7851.7221821284265</v>
      </c>
      <c r="BH37" s="177"/>
      <c r="BI37" s="538">
        <f t="shared" ref="BI37:BI68" si="104">Rdson*BF37^2</f>
        <v>1.689153330601703E-3</v>
      </c>
      <c r="BJ37" s="538">
        <f t="shared" ref="BJ37:BJ68" si="105">0.5*K37*AJ37*AN37*1000*Trise</f>
        <v>390.71559988812277</v>
      </c>
      <c r="BK37" s="538">
        <f t="shared" ref="BK37:BK68" si="106">Qg*Vdd*AN37*1000</f>
        <v>4.3749999999999995E-3</v>
      </c>
      <c r="BL37" s="538">
        <f t="shared" ref="BL37:BL68" si="107">0.5*(Coss+Csw)*K37^2*AN37*1000</f>
        <v>8462927.8085788898</v>
      </c>
      <c r="BM37">
        <f t="shared" ref="BM37:BM68" si="108">I37*IQ</f>
        <v>6.96E-3</v>
      </c>
      <c r="BN37">
        <f t="shared" ref="BN37:BN68" si="109">(I37-Vdd)*Qg*AN37</f>
        <v>1.6625000000000001E-5</v>
      </c>
      <c r="BO37" s="538">
        <f t="shared" ref="BO37:BO68" si="110">(BJ37+BK37+BL37+BM37+BN37+BI37*(1+RdsonTC*(Ta-25)))/(1-BI37*RdsonTC*ThetaJA)</f>
        <v>8465956.9426807035</v>
      </c>
      <c r="BP37" s="469">
        <f t="shared" si="60"/>
        <v>8465956942.6807032</v>
      </c>
      <c r="BQ37" s="538">
        <f t="shared" ref="BQ37:BQ68" si="111">(Vfwd2*F37+BG37^2*Rdiode)*(1+Diode_TC/1000*(Ta-25))</f>
        <v>47100249.505318262</v>
      </c>
      <c r="BR37" s="538"/>
      <c r="BT37" s="469">
        <f t="shared" si="61"/>
        <v>47100249505.31826</v>
      </c>
      <c r="BU37" s="538">
        <f t="shared" ref="BU37:BU68" si="112">Rdcr_pri*BF37^2</f>
        <v>4.8261523731477231E-4</v>
      </c>
      <c r="BV37" s="538">
        <f t="shared" ref="BV37:BV68" si="113">Rdcr_sec*BG37^2</f>
        <v>1849486.2367598275</v>
      </c>
      <c r="BW37" s="538">
        <f t="shared" ref="BW37:BW68" si="114">AJ37^2.5*AN37^2.5*k_core</f>
        <v>0</v>
      </c>
      <c r="BX37" s="538">
        <f t="shared" ref="BX37:BX68" si="115">(BW37+(BU37+BV37)*(1+Ltc*(Ta-25)))/(1-(BU37+BV37)*Ltc*ThetaCa)</f>
        <v>-14.000094621511233</v>
      </c>
      <c r="BY37" s="538">
        <f t="shared" ref="BY37:BY68" si="116">0.5*Lleak*0.000000001*AJ37^2*AN37*1000</f>
        <v>1.8038518518518521E-3</v>
      </c>
      <c r="BZ37" s="469">
        <f t="shared" si="62"/>
        <v>-13998.290769659381</v>
      </c>
      <c r="CA37" s="177">
        <f t="shared" si="63"/>
        <v>55566192.449708194</v>
      </c>
      <c r="CB37" s="5">
        <f t="shared" si="64"/>
        <v>0.48</v>
      </c>
      <c r="CC37" s="177">
        <f t="shared" si="65"/>
        <v>8.6383459922691655E-9</v>
      </c>
      <c r="CD37" s="5">
        <f t="shared" si="66"/>
        <v>8.6383459922691656E-7</v>
      </c>
      <c r="CG37" s="571">
        <f t="shared" ref="CG37:CG68" si="117">IF(ABS(F37-Ioutmax_Vinnom)&lt;Iout/200, AN37, -50)</f>
        <v>-50</v>
      </c>
      <c r="CH37">
        <f t="shared" ref="CH37:CH68" si="118">IF(ABS(F37-Ioutmax_Vinnom)&lt;Iout/200, N37*CC37, -50)</f>
        <v>-50</v>
      </c>
    </row>
    <row r="38" spans="5:86" x14ac:dyDescent="0.25">
      <c r="E38" s="174">
        <v>33</v>
      </c>
      <c r="F38" s="221">
        <f t="shared" ref="F38:F69" si="119">IF(PLOT_TYPE=1, E38/100*Iout_max, min_I*EXP(N38*rr/100))</f>
        <v>3.3000000000000002E-2</v>
      </c>
      <c r="G38" s="221"/>
      <c r="H38" s="221">
        <f t="shared" si="67"/>
        <v>0.495</v>
      </c>
      <c r="I38" s="551">
        <f t="shared" si="68"/>
        <v>24</v>
      </c>
      <c r="J38" s="176">
        <f t="shared" si="69"/>
        <v>695386.58000000007</v>
      </c>
      <c r="K38" s="451">
        <f t="shared" si="70"/>
        <v>695410.58000000007</v>
      </c>
      <c r="L38" s="451"/>
      <c r="M38" s="221">
        <f t="shared" si="71"/>
        <v>0.99996548801428931</v>
      </c>
      <c r="N38" s="176">
        <f t="shared" si="72"/>
        <v>8.0997204529157436</v>
      </c>
      <c r="O38" s="176">
        <f t="shared" si="53"/>
        <v>0.495</v>
      </c>
      <c r="P38" s="221">
        <f t="shared" si="73"/>
        <v>0.5399813635277162</v>
      </c>
      <c r="Q38" s="221">
        <f t="shared" si="74"/>
        <v>15</v>
      </c>
      <c r="R38" s="221">
        <f t="shared" si="75"/>
        <v>0.59997929280857354</v>
      </c>
      <c r="S38" s="176">
        <f t="shared" si="76"/>
        <v>245.45402063438951</v>
      </c>
      <c r="T38" s="176">
        <f t="shared" si="77"/>
        <v>15</v>
      </c>
      <c r="U38" s="221">
        <f t="shared" si="78"/>
        <v>4.5834915187271327E-2</v>
      </c>
      <c r="V38" s="221">
        <f t="shared" si="79"/>
        <v>5.7293643984089163E-2</v>
      </c>
      <c r="W38" s="221">
        <f t="shared" si="80"/>
        <v>1.9773856659962284E-6</v>
      </c>
      <c r="X38" s="201">
        <f t="shared" si="81"/>
        <v>350</v>
      </c>
      <c r="Y38" s="451">
        <f t="shared" si="54"/>
        <v>350</v>
      </c>
      <c r="AA38" s="221">
        <f t="shared" si="82"/>
        <v>2.2856354011755182</v>
      </c>
      <c r="AB38" s="177">
        <f t="shared" si="83"/>
        <v>9.8605673459021225E-5</v>
      </c>
      <c r="AC38" s="177">
        <f t="shared" si="84"/>
        <v>1.8020156525828219</v>
      </c>
      <c r="AD38" s="177"/>
      <c r="AE38" s="177">
        <f t="shared" si="85"/>
        <v>6.4712206554230591E-6</v>
      </c>
      <c r="AF38" s="555">
        <f t="shared" si="86"/>
        <v>1488.1777777777781</v>
      </c>
      <c r="AG38" s="538">
        <f t="shared" si="87"/>
        <v>7.7611695137976321E-3</v>
      </c>
      <c r="AI38" s="177">
        <f t="shared" si="88"/>
        <v>0.32603437349214071</v>
      </c>
      <c r="AJ38" s="177">
        <f t="shared" si="89"/>
        <v>0.32603437349214071</v>
      </c>
      <c r="AK38" s="177">
        <f t="shared" si="90"/>
        <v>1.3173562489947603</v>
      </c>
      <c r="AM38" s="555">
        <f t="shared" si="91"/>
        <v>33</v>
      </c>
      <c r="AN38" s="469">
        <f t="shared" si="92"/>
        <v>350</v>
      </c>
      <c r="AP38">
        <f t="shared" si="93"/>
        <v>33</v>
      </c>
      <c r="AQ38" s="469">
        <f t="shared" si="94"/>
        <v>350</v>
      </c>
      <c r="AR38" s="469"/>
      <c r="AS38" s="5">
        <f t="shared" si="55"/>
        <v>2.8571428571428572</v>
      </c>
      <c r="AT38" s="5">
        <f t="shared" si="95"/>
        <v>0.40754296686517588</v>
      </c>
      <c r="AU38" s="5">
        <f t="shared" si="56"/>
        <v>2.4495998902776814</v>
      </c>
      <c r="AV38" s="5">
        <f t="shared" si="96"/>
        <v>1.4065602480801715E-5</v>
      </c>
      <c r="AW38" s="177">
        <f t="shared" si="57"/>
        <v>0.14264003840281156</v>
      </c>
      <c r="AX38" s="177">
        <f t="shared" si="97"/>
        <v>0.5580666666666666</v>
      </c>
      <c r="AY38" s="177">
        <f t="shared" si="98"/>
        <v>6385.6960813523192</v>
      </c>
      <c r="AZ38" s="177">
        <f t="shared" si="58"/>
        <v>8.7393239445946667E-5</v>
      </c>
      <c r="BA38" s="469">
        <f t="shared" si="99"/>
        <v>3.7498705811702195</v>
      </c>
      <c r="BB38" s="469">
        <f t="shared" si="100"/>
        <v>0.27419014871169822</v>
      </c>
      <c r="BC38" s="5">
        <f t="shared" si="101"/>
        <v>4.6780553460164048E-2</v>
      </c>
      <c r="BD38" s="469">
        <f t="shared" si="102"/>
        <v>5.682416415219687</v>
      </c>
      <c r="BE38" s="5"/>
      <c r="BF38" s="177">
        <f t="shared" si="59"/>
        <v>7.1092450770011431E-2</v>
      </c>
      <c r="BG38" s="177">
        <f t="shared" si="103"/>
        <v>7963.3538549187833</v>
      </c>
      <c r="BH38" s="177"/>
      <c r="BI38" s="538">
        <f t="shared" si="104"/>
        <v>1.7689477947702746E-3</v>
      </c>
      <c r="BJ38" s="538">
        <f t="shared" si="105"/>
        <v>396.77356734768591</v>
      </c>
      <c r="BK38" s="538">
        <f t="shared" si="106"/>
        <v>4.3749999999999995E-3</v>
      </c>
      <c r="BL38" s="538">
        <f t="shared" si="107"/>
        <v>8462927.8085788898</v>
      </c>
      <c r="BM38">
        <f t="shared" si="108"/>
        <v>6.96E-3</v>
      </c>
      <c r="BN38">
        <f t="shared" si="109"/>
        <v>1.6625000000000001E-5</v>
      </c>
      <c r="BO38" s="538">
        <f t="shared" si="110"/>
        <v>8466087.6798914131</v>
      </c>
      <c r="BP38" s="469">
        <f t="shared" si="60"/>
        <v>8466087679.8914127</v>
      </c>
      <c r="BQ38" s="538">
        <f t="shared" si="111"/>
        <v>48449063.538102977</v>
      </c>
      <c r="BR38" s="538"/>
      <c r="BT38" s="469">
        <f t="shared" si="61"/>
        <v>48449063538.102974</v>
      </c>
      <c r="BU38" s="538">
        <f t="shared" si="112"/>
        <v>5.0541365564864998E-4</v>
      </c>
      <c r="BV38" s="538">
        <f t="shared" si="113"/>
        <v>1902450.1385594953</v>
      </c>
      <c r="BW38" s="538">
        <f t="shared" si="114"/>
        <v>0</v>
      </c>
      <c r="BX38" s="538">
        <f t="shared" si="115"/>
        <v>-14.000091987246474</v>
      </c>
      <c r="BY38" s="538">
        <f t="shared" si="116"/>
        <v>1.8602222222222221E-3</v>
      </c>
      <c r="BZ38" s="469">
        <f t="shared" si="62"/>
        <v>-13998.231765024253</v>
      </c>
      <c r="CA38" s="177">
        <f t="shared" si="63"/>
        <v>56915137.219762631</v>
      </c>
      <c r="CB38" s="5">
        <f t="shared" si="64"/>
        <v>0.495</v>
      </c>
      <c r="CC38" s="177">
        <f t="shared" si="65"/>
        <v>8.6971589611318297E-9</v>
      </c>
      <c r="CD38" s="5">
        <f t="shared" si="66"/>
        <v>8.6971589611318295E-7</v>
      </c>
      <c r="CG38" s="571">
        <f t="shared" si="117"/>
        <v>-50</v>
      </c>
      <c r="CH38">
        <f t="shared" si="118"/>
        <v>-50</v>
      </c>
    </row>
    <row r="39" spans="5:86" x14ac:dyDescent="0.25">
      <c r="E39" s="174">
        <v>34</v>
      </c>
      <c r="F39" s="221">
        <f t="shared" si="119"/>
        <v>3.4000000000000002E-2</v>
      </c>
      <c r="G39" s="221"/>
      <c r="H39" s="221">
        <f t="shared" si="67"/>
        <v>0.51</v>
      </c>
      <c r="I39" s="551">
        <f t="shared" si="68"/>
        <v>24</v>
      </c>
      <c r="J39" s="176">
        <f t="shared" si="69"/>
        <v>695386.58000000007</v>
      </c>
      <c r="K39" s="451">
        <f t="shared" si="70"/>
        <v>695410.58000000007</v>
      </c>
      <c r="L39" s="451"/>
      <c r="M39" s="221">
        <f t="shared" si="71"/>
        <v>0.99996548801428931</v>
      </c>
      <c r="N39" s="176">
        <f t="shared" si="72"/>
        <v>8.0997204529157436</v>
      </c>
      <c r="O39" s="176">
        <f t="shared" si="53"/>
        <v>0.51</v>
      </c>
      <c r="P39" s="221">
        <f t="shared" si="73"/>
        <v>0.5399813635277162</v>
      </c>
      <c r="Q39" s="221">
        <f t="shared" si="74"/>
        <v>15</v>
      </c>
      <c r="R39" s="221">
        <f t="shared" si="75"/>
        <v>0.59997929280857354</v>
      </c>
      <c r="S39" s="176">
        <f t="shared" si="76"/>
        <v>238.23476931173235</v>
      </c>
      <c r="T39" s="176">
        <f t="shared" si="77"/>
        <v>15</v>
      </c>
      <c r="U39" s="221">
        <f t="shared" si="78"/>
        <v>4.7223852011128033E-2</v>
      </c>
      <c r="V39" s="221">
        <f t="shared" si="79"/>
        <v>5.9029815013910039E-2</v>
      </c>
      <c r="W39" s="221">
        <f t="shared" si="80"/>
        <v>2.0373064437536896E-6</v>
      </c>
      <c r="X39" s="201">
        <f t="shared" si="81"/>
        <v>350</v>
      </c>
      <c r="Y39" s="451">
        <f t="shared" si="54"/>
        <v>350</v>
      </c>
      <c r="AA39" s="221">
        <f t="shared" si="82"/>
        <v>2.2856354011755182</v>
      </c>
      <c r="AB39" s="177">
        <f t="shared" si="83"/>
        <v>9.8605673459021225E-5</v>
      </c>
      <c r="AC39" s="177">
        <f t="shared" si="84"/>
        <v>1.8020156525828219</v>
      </c>
      <c r="AD39" s="177"/>
      <c r="AE39" s="177">
        <f t="shared" si="85"/>
        <v>6.4712206554230591E-6</v>
      </c>
      <c r="AF39" s="555">
        <f t="shared" si="86"/>
        <v>1533.2740740740746</v>
      </c>
      <c r="AG39" s="538">
        <f t="shared" si="87"/>
        <v>7.7611695137976321E-3</v>
      </c>
      <c r="AI39" s="177">
        <f t="shared" si="88"/>
        <v>0.33093742115326991</v>
      </c>
      <c r="AJ39" s="177">
        <f t="shared" si="89"/>
        <v>0.33093742115326991</v>
      </c>
      <c r="AK39" s="177">
        <f t="shared" si="90"/>
        <v>1.3206249474355132</v>
      </c>
      <c r="AM39" s="555">
        <f t="shared" si="91"/>
        <v>34</v>
      </c>
      <c r="AN39" s="469">
        <f t="shared" si="92"/>
        <v>350</v>
      </c>
      <c r="AP39">
        <f t="shared" si="93"/>
        <v>34</v>
      </c>
      <c r="AQ39" s="469">
        <f t="shared" si="94"/>
        <v>350</v>
      </c>
      <c r="AR39" s="469"/>
      <c r="AS39" s="5">
        <f t="shared" si="55"/>
        <v>2.8571428571428572</v>
      </c>
      <c r="AT39" s="5">
        <f t="shared" si="95"/>
        <v>0.41367177644158742</v>
      </c>
      <c r="AU39" s="5">
        <f t="shared" si="56"/>
        <v>2.4434710807012698</v>
      </c>
      <c r="AV39" s="5">
        <f t="shared" si="96"/>
        <v>1.4277127169463203E-5</v>
      </c>
      <c r="AW39" s="177">
        <f t="shared" si="57"/>
        <v>0.1447851217545556</v>
      </c>
      <c r="AX39" s="177">
        <f t="shared" si="97"/>
        <v>0.57497777777777792</v>
      </c>
      <c r="AY39" s="177">
        <f t="shared" si="98"/>
        <v>6465.5099304988371</v>
      </c>
      <c r="AZ39" s="177">
        <f t="shared" si="58"/>
        <v>8.8929996853846975E-5</v>
      </c>
      <c r="BA39" s="469">
        <f t="shared" si="99"/>
        <v>3.7498705811702195</v>
      </c>
      <c r="BB39" s="469">
        <f t="shared" si="100"/>
        <v>0.28796860597862539</v>
      </c>
      <c r="BC39" s="5">
        <f t="shared" si="101"/>
        <v>4.8077555986020343E-2</v>
      </c>
      <c r="BD39" s="469">
        <f t="shared" si="102"/>
        <v>5.8401400516557755</v>
      </c>
      <c r="BE39" s="5"/>
      <c r="BF39" s="177">
        <f t="shared" si="59"/>
        <v>7.2702144053325118E-2</v>
      </c>
      <c r="BG39" s="177">
        <f t="shared" si="103"/>
        <v>8072.9921006106633</v>
      </c>
      <c r="BH39" s="177"/>
      <c r="BI39" s="538">
        <f t="shared" si="104"/>
        <v>1.8499606124826528E-3</v>
      </c>
      <c r="BJ39" s="538">
        <f t="shared" si="105"/>
        <v>402.74042197882454</v>
      </c>
      <c r="BK39" s="538">
        <f t="shared" si="106"/>
        <v>4.3749999999999995E-3</v>
      </c>
      <c r="BL39" s="538">
        <f t="shared" si="107"/>
        <v>8462927.8085788898</v>
      </c>
      <c r="BM39">
        <f t="shared" si="108"/>
        <v>6.96E-3</v>
      </c>
      <c r="BN39">
        <f t="shared" si="109"/>
        <v>1.6625000000000001E-5</v>
      </c>
      <c r="BO39" s="538">
        <f t="shared" si="110"/>
        <v>8466220.2335494179</v>
      </c>
      <c r="BP39" s="469">
        <f t="shared" si="60"/>
        <v>8466220233.5494175</v>
      </c>
      <c r="BQ39" s="538">
        <f t="shared" si="111"/>
        <v>49792325.922523923</v>
      </c>
      <c r="BR39" s="538"/>
      <c r="BT39" s="469">
        <f t="shared" si="61"/>
        <v>49792325922.523926</v>
      </c>
      <c r="BU39" s="538">
        <f t="shared" si="112"/>
        <v>5.2856017499504371E-4</v>
      </c>
      <c r="BV39" s="538">
        <f t="shared" si="113"/>
        <v>1955196.043695665</v>
      </c>
      <c r="BW39" s="538">
        <f t="shared" si="114"/>
        <v>0</v>
      </c>
      <c r="BX39" s="538">
        <f t="shared" si="115"/>
        <v>-14.000089505663302</v>
      </c>
      <c r="BY39" s="538">
        <f t="shared" si="116"/>
        <v>1.916592592592593E-3</v>
      </c>
      <c r="BZ39" s="469">
        <f t="shared" si="62"/>
        <v>-13998.17291307071</v>
      </c>
      <c r="CA39" s="177">
        <f t="shared" si="63"/>
        <v>58258532.15790043</v>
      </c>
      <c r="CB39" s="5">
        <f t="shared" si="64"/>
        <v>0.51</v>
      </c>
      <c r="CC39" s="177">
        <f t="shared" si="65"/>
        <v>8.7540824776213829E-9</v>
      </c>
      <c r="CD39" s="5">
        <f t="shared" si="66"/>
        <v>8.754082477621383E-7</v>
      </c>
      <c r="CG39" s="571">
        <f t="shared" si="117"/>
        <v>-50</v>
      </c>
      <c r="CH39">
        <f t="shared" si="118"/>
        <v>-50</v>
      </c>
    </row>
    <row r="40" spans="5:86" x14ac:dyDescent="0.25">
      <c r="E40" s="174">
        <v>35</v>
      </c>
      <c r="F40" s="221">
        <f t="shared" si="119"/>
        <v>3.4999999999999996E-2</v>
      </c>
      <c r="G40" s="221"/>
      <c r="H40" s="221">
        <f t="shared" si="67"/>
        <v>0.52499999999999991</v>
      </c>
      <c r="I40" s="551">
        <f t="shared" si="68"/>
        <v>24</v>
      </c>
      <c r="J40" s="176">
        <f t="shared" si="69"/>
        <v>695386.58000000007</v>
      </c>
      <c r="K40" s="451">
        <f t="shared" si="70"/>
        <v>695410.58000000007</v>
      </c>
      <c r="L40" s="451"/>
      <c r="M40" s="221">
        <f t="shared" si="71"/>
        <v>0.99996548801428931</v>
      </c>
      <c r="N40" s="176">
        <f t="shared" si="72"/>
        <v>8.0997204529157436</v>
      </c>
      <c r="O40" s="176">
        <f t="shared" si="53"/>
        <v>0.52499999999999991</v>
      </c>
      <c r="P40" s="221">
        <f t="shared" si="73"/>
        <v>0.5399813635277162</v>
      </c>
      <c r="Q40" s="221">
        <f t="shared" si="74"/>
        <v>15</v>
      </c>
      <c r="R40" s="221">
        <f t="shared" si="75"/>
        <v>0.59997929280857354</v>
      </c>
      <c r="S40" s="176">
        <f t="shared" si="76"/>
        <v>231.42804663689731</v>
      </c>
      <c r="T40" s="176">
        <f t="shared" si="77"/>
        <v>15</v>
      </c>
      <c r="U40" s="221">
        <f t="shared" si="78"/>
        <v>4.8612788834984731E-2</v>
      </c>
      <c r="V40" s="221">
        <f t="shared" si="79"/>
        <v>6.0765986043730916E-2</v>
      </c>
      <c r="W40" s="221">
        <f t="shared" si="80"/>
        <v>2.0972272215111513E-6</v>
      </c>
      <c r="X40" s="201">
        <f t="shared" si="81"/>
        <v>350</v>
      </c>
      <c r="Y40" s="451">
        <f t="shared" si="54"/>
        <v>350</v>
      </c>
      <c r="AA40" s="221">
        <f t="shared" si="82"/>
        <v>2.2856354011755182</v>
      </c>
      <c r="AB40" s="177">
        <f t="shared" si="83"/>
        <v>9.8605673459021225E-5</v>
      </c>
      <c r="AC40" s="177">
        <f t="shared" si="84"/>
        <v>1.8020156525828219</v>
      </c>
      <c r="AD40" s="177"/>
      <c r="AE40" s="177">
        <f t="shared" si="85"/>
        <v>6.4712206554230591E-6</v>
      </c>
      <c r="AF40" s="555">
        <f t="shared" si="86"/>
        <v>1578.3703703703707</v>
      </c>
      <c r="AG40" s="538">
        <f t="shared" si="87"/>
        <v>7.7611695137976321E-3</v>
      </c>
      <c r="AI40" s="177">
        <f t="shared" si="88"/>
        <v>0.33576887994681809</v>
      </c>
      <c r="AJ40" s="177">
        <f t="shared" si="89"/>
        <v>0.33576887994681809</v>
      </c>
      <c r="AK40" s="177">
        <f t="shared" si="90"/>
        <v>1.3238459199645454</v>
      </c>
      <c r="AM40" s="555">
        <f t="shared" si="91"/>
        <v>34.999999999999993</v>
      </c>
      <c r="AN40" s="469">
        <f t="shared" si="92"/>
        <v>350</v>
      </c>
      <c r="AP40">
        <f t="shared" si="93"/>
        <v>34.999999999999993</v>
      </c>
      <c r="AQ40" s="469">
        <f t="shared" si="94"/>
        <v>350</v>
      </c>
      <c r="AR40" s="469"/>
      <c r="AS40" s="5">
        <f t="shared" si="55"/>
        <v>2.8571428571428572</v>
      </c>
      <c r="AT40" s="5">
        <f t="shared" si="95"/>
        <v>0.41971109993352257</v>
      </c>
      <c r="AU40" s="5">
        <f t="shared" si="56"/>
        <v>2.4374317572093345</v>
      </c>
      <c r="AV40" s="5">
        <f t="shared" si="96"/>
        <v>1.4485563409067431E-5</v>
      </c>
      <c r="AW40" s="177">
        <f t="shared" si="57"/>
        <v>0.1468988849767329</v>
      </c>
      <c r="AX40" s="177">
        <f t="shared" si="97"/>
        <v>0.59188888888888891</v>
      </c>
      <c r="AY40" s="177">
        <f t="shared" si="98"/>
        <v>6543.6883677599008</v>
      </c>
      <c r="AZ40" s="177">
        <f t="shared" si="58"/>
        <v>9.0451876010029197E-5</v>
      </c>
      <c r="BA40" s="469">
        <f t="shared" si="99"/>
        <v>3.7498705811702195</v>
      </c>
      <c r="BB40" s="469">
        <f t="shared" si="100"/>
        <v>0.30206880823859517</v>
      </c>
      <c r="BC40" s="5">
        <f t="shared" si="101"/>
        <v>4.9369277489772385E-2</v>
      </c>
      <c r="BD40" s="469">
        <f t="shared" si="102"/>
        <v>5.9972299654393524</v>
      </c>
      <c r="BE40" s="5"/>
      <c r="BF40" s="177">
        <f t="shared" si="59"/>
        <v>7.4300042858367485E-2</v>
      </c>
      <c r="BG40" s="177">
        <f t="shared" si="103"/>
        <v>8180.7236490052401</v>
      </c>
      <c r="BH40" s="177"/>
      <c r="BI40" s="538">
        <f t="shared" si="104"/>
        <v>1.9321737290643355E-3</v>
      </c>
      <c r="BJ40" s="538">
        <f t="shared" si="105"/>
        <v>408.62015521209253</v>
      </c>
      <c r="BK40" s="538">
        <f t="shared" si="106"/>
        <v>4.3749999999999995E-3</v>
      </c>
      <c r="BL40" s="538">
        <f t="shared" si="107"/>
        <v>8462927.8085788898</v>
      </c>
      <c r="BM40">
        <f t="shared" si="108"/>
        <v>6.96E-3</v>
      </c>
      <c r="BN40">
        <f t="shared" si="109"/>
        <v>1.6625000000000001E-5</v>
      </c>
      <c r="BO40" s="538">
        <f t="shared" si="110"/>
        <v>8466354.5796062313</v>
      </c>
      <c r="BP40" s="469">
        <f t="shared" si="60"/>
        <v>8466354579.6062317</v>
      </c>
      <c r="BQ40" s="538">
        <f t="shared" si="111"/>
        <v>51130118.927972198</v>
      </c>
      <c r="BR40" s="538"/>
      <c r="BT40" s="469">
        <f t="shared" si="61"/>
        <v>51130118927.972198</v>
      </c>
      <c r="BU40" s="538">
        <f t="shared" si="112"/>
        <v>5.5204963687552453E-4</v>
      </c>
      <c r="BV40" s="538">
        <f t="shared" si="113"/>
        <v>2007727.1826418082</v>
      </c>
      <c r="BW40" s="538">
        <f t="shared" si="114"/>
        <v>0</v>
      </c>
      <c r="BX40" s="538">
        <f t="shared" si="115"/>
        <v>-14.000087163779529</v>
      </c>
      <c r="BY40" s="538">
        <f t="shared" si="116"/>
        <v>1.9729629629629633E-3</v>
      </c>
      <c r="BZ40" s="469">
        <f t="shared" si="62"/>
        <v>-13998.114200816566</v>
      </c>
      <c r="CA40" s="177">
        <f t="shared" si="63"/>
        <v>59596459.509464234</v>
      </c>
      <c r="CB40" s="5">
        <f t="shared" si="64"/>
        <v>0.52499999999999991</v>
      </c>
      <c r="CC40" s="177">
        <f t="shared" si="65"/>
        <v>8.8092480609820768E-9</v>
      </c>
      <c r="CD40" s="5">
        <f t="shared" si="66"/>
        <v>8.8092480609820764E-7</v>
      </c>
      <c r="CG40" s="571">
        <f t="shared" si="117"/>
        <v>-50</v>
      </c>
      <c r="CH40">
        <f t="shared" si="118"/>
        <v>-50</v>
      </c>
    </row>
    <row r="41" spans="5:86" x14ac:dyDescent="0.25">
      <c r="E41" s="174">
        <v>36</v>
      </c>
      <c r="F41" s="221">
        <f t="shared" si="119"/>
        <v>3.5999999999999997E-2</v>
      </c>
      <c r="G41" s="221"/>
      <c r="H41" s="221">
        <f t="shared" si="67"/>
        <v>0.53999999999999992</v>
      </c>
      <c r="I41" s="551">
        <f t="shared" si="68"/>
        <v>24</v>
      </c>
      <c r="J41" s="176">
        <f t="shared" si="69"/>
        <v>695386.58000000007</v>
      </c>
      <c r="K41" s="451">
        <f t="shared" si="70"/>
        <v>695410.58000000007</v>
      </c>
      <c r="L41" s="451"/>
      <c r="M41" s="221">
        <f t="shared" si="71"/>
        <v>0.99996548801428931</v>
      </c>
      <c r="N41" s="176">
        <f t="shared" si="72"/>
        <v>8.0997204529157436</v>
      </c>
      <c r="O41" s="176">
        <f t="shared" si="53"/>
        <v>0.53999999999999992</v>
      </c>
      <c r="P41" s="221">
        <f t="shared" si="73"/>
        <v>0.5399813635277162</v>
      </c>
      <c r="Q41" s="221">
        <f t="shared" si="74"/>
        <v>15</v>
      </c>
      <c r="R41" s="221">
        <f t="shared" si="75"/>
        <v>0.59997929280857354</v>
      </c>
      <c r="S41" s="176">
        <f t="shared" si="76"/>
        <v>224.99947522256562</v>
      </c>
      <c r="T41" s="176">
        <f t="shared" si="77"/>
        <v>15</v>
      </c>
      <c r="U41" s="221">
        <f t="shared" si="78"/>
        <v>5.0001725658841437E-2</v>
      </c>
      <c r="V41" s="221">
        <f t="shared" si="79"/>
        <v>6.2502157073551806E-2</v>
      </c>
      <c r="W41" s="221">
        <f t="shared" si="80"/>
        <v>2.1571479992686126E-6</v>
      </c>
      <c r="X41" s="201">
        <f t="shared" si="81"/>
        <v>350</v>
      </c>
      <c r="Y41" s="451">
        <f t="shared" si="54"/>
        <v>350</v>
      </c>
      <c r="AA41" s="221">
        <f t="shared" si="82"/>
        <v>2.2856354011755182</v>
      </c>
      <c r="AB41" s="177">
        <f t="shared" si="83"/>
        <v>9.8605673459021225E-5</v>
      </c>
      <c r="AC41" s="177">
        <f t="shared" si="84"/>
        <v>1.8020156525828219</v>
      </c>
      <c r="AD41" s="177"/>
      <c r="AE41" s="177">
        <f t="shared" si="85"/>
        <v>6.4712206554230591E-6</v>
      </c>
      <c r="AF41" s="555">
        <f t="shared" si="86"/>
        <v>1623.4666666666669</v>
      </c>
      <c r="AG41" s="538">
        <f t="shared" si="87"/>
        <v>7.7611695137976321E-3</v>
      </c>
      <c r="AI41" s="177">
        <f t="shared" si="88"/>
        <v>0.34053179699097813</v>
      </c>
      <c r="AJ41" s="177">
        <f t="shared" si="89"/>
        <v>0.34053179699097813</v>
      </c>
      <c r="AK41" s="177">
        <f t="shared" si="90"/>
        <v>1.3270211979939854</v>
      </c>
      <c r="AM41" s="555">
        <f t="shared" si="91"/>
        <v>36</v>
      </c>
      <c r="AN41" s="469">
        <f t="shared" si="92"/>
        <v>350</v>
      </c>
      <c r="AP41">
        <f t="shared" si="93"/>
        <v>36</v>
      </c>
      <c r="AQ41" s="469">
        <f t="shared" si="94"/>
        <v>350</v>
      </c>
      <c r="AR41" s="469"/>
      <c r="AS41" s="5">
        <f t="shared" si="55"/>
        <v>2.8571428571428572</v>
      </c>
      <c r="AT41" s="5">
        <f t="shared" si="95"/>
        <v>0.42566474623872269</v>
      </c>
      <c r="AU41" s="5">
        <f t="shared" si="56"/>
        <v>2.4314781109041346</v>
      </c>
      <c r="AV41" s="5">
        <f t="shared" si="96"/>
        <v>1.4691042656775665E-5</v>
      </c>
      <c r="AW41" s="177">
        <f t="shared" si="57"/>
        <v>0.14898266118355294</v>
      </c>
      <c r="AX41" s="177">
        <f t="shared" si="97"/>
        <v>0.6087999999999999</v>
      </c>
      <c r="AY41" s="177">
        <f t="shared" si="98"/>
        <v>6620.3010030270661</v>
      </c>
      <c r="AZ41" s="177">
        <f t="shared" si="58"/>
        <v>9.1959564938457063E-5</v>
      </c>
      <c r="BA41" s="469">
        <f t="shared" si="99"/>
        <v>3.7498705811702195</v>
      </c>
      <c r="BB41" s="469">
        <f t="shared" si="100"/>
        <v>0.31649075549160766</v>
      </c>
      <c r="BC41" s="5">
        <f t="shared" si="101"/>
        <v>5.0655793977169447E-2</v>
      </c>
      <c r="BD41" s="469">
        <f t="shared" si="102"/>
        <v>6.1536952772603355</v>
      </c>
      <c r="BE41" s="5"/>
      <c r="BF41" s="177">
        <f t="shared" si="59"/>
        <v>7.5886567031199684E-2</v>
      </c>
      <c r="BG41" s="177">
        <f t="shared" si="103"/>
        <v>8286.6290821719758</v>
      </c>
      <c r="BH41" s="177"/>
      <c r="BI41" s="538">
        <f t="shared" si="104"/>
        <v>2.0155698695232668E-3</v>
      </c>
      <c r="BJ41" s="538">
        <f t="shared" si="105"/>
        <v>414.41647529439217</v>
      </c>
      <c r="BK41" s="538">
        <f t="shared" si="106"/>
        <v>4.3749999999999995E-3</v>
      </c>
      <c r="BL41" s="538">
        <f t="shared" si="107"/>
        <v>8462927.8085788898</v>
      </c>
      <c r="BM41">
        <f t="shared" si="108"/>
        <v>6.96E-3</v>
      </c>
      <c r="BN41">
        <f t="shared" si="109"/>
        <v>1.6625000000000001E-5</v>
      </c>
      <c r="BO41" s="538">
        <f t="shared" si="110"/>
        <v>8466490.6949475948</v>
      </c>
      <c r="BP41" s="469">
        <f t="shared" si="60"/>
        <v>8466490694.9475946</v>
      </c>
      <c r="BQ41" s="538">
        <f t="shared" si="111"/>
        <v>52462521.271074727</v>
      </c>
      <c r="BR41" s="538"/>
      <c r="BT41" s="469">
        <f t="shared" si="61"/>
        <v>52462521271.07473</v>
      </c>
      <c r="BU41" s="538">
        <f t="shared" si="112"/>
        <v>5.7587710557807637E-4</v>
      </c>
      <c r="BV41" s="538">
        <f t="shared" si="113"/>
        <v>2060046.6463649506</v>
      </c>
      <c r="BW41" s="538">
        <f t="shared" si="114"/>
        <v>0</v>
      </c>
      <c r="BX41" s="538">
        <f t="shared" si="115"/>
        <v>-14.000084950048166</v>
      </c>
      <c r="BY41" s="538">
        <f t="shared" si="116"/>
        <v>2.0293333333333331E-3</v>
      </c>
      <c r="BZ41" s="469">
        <f t="shared" si="62"/>
        <v>-13998.055616714833</v>
      </c>
      <c r="CA41" s="177">
        <f t="shared" si="63"/>
        <v>60928997.967966706</v>
      </c>
      <c r="CB41" s="5">
        <f t="shared" si="64"/>
        <v>0.53999999999999992</v>
      </c>
      <c r="CC41" s="177">
        <f t="shared" si="65"/>
        <v>8.8627749220166949E-9</v>
      </c>
      <c r="CD41" s="5">
        <f t="shared" si="66"/>
        <v>8.8627749220166952E-7</v>
      </c>
      <c r="CG41" s="571">
        <f t="shared" si="117"/>
        <v>-50</v>
      </c>
      <c r="CH41">
        <f t="shared" si="118"/>
        <v>-50</v>
      </c>
    </row>
    <row r="42" spans="5:86" x14ac:dyDescent="0.25">
      <c r="E42" s="174">
        <v>37</v>
      </c>
      <c r="F42" s="221">
        <f t="shared" si="119"/>
        <v>3.6999999999999998E-2</v>
      </c>
      <c r="G42" s="221"/>
      <c r="H42" s="221">
        <f t="shared" si="67"/>
        <v>0.55499999999999994</v>
      </c>
      <c r="I42" s="551">
        <f t="shared" si="68"/>
        <v>24</v>
      </c>
      <c r="J42" s="176">
        <f t="shared" si="69"/>
        <v>695386.58000000007</v>
      </c>
      <c r="K42" s="451">
        <f t="shared" si="70"/>
        <v>695410.58000000007</v>
      </c>
      <c r="L42" s="451"/>
      <c r="M42" s="221">
        <f t="shared" si="71"/>
        <v>0.99996548801428931</v>
      </c>
      <c r="N42" s="176">
        <f t="shared" si="72"/>
        <v>8.0997204529157436</v>
      </c>
      <c r="O42" s="176">
        <f t="shared" si="53"/>
        <v>0.55499999999999994</v>
      </c>
      <c r="P42" s="221">
        <f t="shared" si="73"/>
        <v>0.5399813635277162</v>
      </c>
      <c r="Q42" s="221">
        <f t="shared" si="74"/>
        <v>15</v>
      </c>
      <c r="R42" s="221">
        <f t="shared" si="75"/>
        <v>0.59997929280857354</v>
      </c>
      <c r="S42" s="176">
        <f t="shared" si="76"/>
        <v>218.91839415572352</v>
      </c>
      <c r="T42" s="176">
        <f t="shared" si="77"/>
        <v>15</v>
      </c>
      <c r="U42" s="221">
        <f t="shared" si="78"/>
        <v>5.1390662482698149E-2</v>
      </c>
      <c r="V42" s="221">
        <f t="shared" si="79"/>
        <v>6.4238328103372683E-2</v>
      </c>
      <c r="W42" s="221">
        <f t="shared" si="80"/>
        <v>2.2170687770260743E-6</v>
      </c>
      <c r="X42" s="201">
        <f t="shared" si="81"/>
        <v>350</v>
      </c>
      <c r="Y42" s="451">
        <f t="shared" si="54"/>
        <v>350</v>
      </c>
      <c r="AA42" s="221">
        <f t="shared" si="82"/>
        <v>2.2856354011755182</v>
      </c>
      <c r="AB42" s="177">
        <f t="shared" si="83"/>
        <v>9.8605673459021225E-5</v>
      </c>
      <c r="AC42" s="177">
        <f t="shared" si="84"/>
        <v>1.8020156525828219</v>
      </c>
      <c r="AD42" s="177"/>
      <c r="AE42" s="177">
        <f t="shared" si="85"/>
        <v>6.4712206554230591E-6</v>
      </c>
      <c r="AF42" s="555">
        <f t="shared" si="86"/>
        <v>1668.5629629629634</v>
      </c>
      <c r="AG42" s="538">
        <f t="shared" si="87"/>
        <v>7.7611695137976321E-3</v>
      </c>
      <c r="AI42" s="177">
        <f t="shared" si="88"/>
        <v>0.34522900918530697</v>
      </c>
      <c r="AJ42" s="177">
        <f t="shared" si="89"/>
        <v>0.34522900918530697</v>
      </c>
      <c r="AK42" s="177">
        <f t="shared" si="90"/>
        <v>1.3301526727902047</v>
      </c>
      <c r="AM42" s="555">
        <f t="shared" si="91"/>
        <v>37</v>
      </c>
      <c r="AN42" s="469">
        <f t="shared" si="92"/>
        <v>350</v>
      </c>
      <c r="AP42">
        <f t="shared" si="93"/>
        <v>37</v>
      </c>
      <c r="AQ42" s="469">
        <f t="shared" si="94"/>
        <v>350</v>
      </c>
      <c r="AR42" s="469"/>
      <c r="AS42" s="5">
        <f t="shared" si="55"/>
        <v>2.8571428571428572</v>
      </c>
      <c r="AT42" s="5">
        <f t="shared" si="95"/>
        <v>0.43153626148163371</v>
      </c>
      <c r="AU42" s="5">
        <f t="shared" si="56"/>
        <v>2.4256065956612236</v>
      </c>
      <c r="AV42" s="5">
        <f t="shared" si="96"/>
        <v>1.489368730060797E-5</v>
      </c>
      <c r="AW42" s="177">
        <f t="shared" si="57"/>
        <v>0.1510376915185718</v>
      </c>
      <c r="AX42" s="177">
        <f t="shared" si="97"/>
        <v>0.625711111111111</v>
      </c>
      <c r="AY42" s="177">
        <f t="shared" si="98"/>
        <v>6695.4126438522635</v>
      </c>
      <c r="AZ42" s="177">
        <f t="shared" si="58"/>
        <v>9.3453703960373488E-5</v>
      </c>
      <c r="BA42" s="469">
        <f t="shared" si="99"/>
        <v>3.7498705811702195</v>
      </c>
      <c r="BB42" s="469">
        <f t="shared" si="100"/>
        <v>0.33123444773766275</v>
      </c>
      <c r="BC42" s="5">
        <f t="shared" si="101"/>
        <v>5.1937178263579423E-2</v>
      </c>
      <c r="BD42" s="469">
        <f t="shared" si="102"/>
        <v>6.3095447249628656</v>
      </c>
      <c r="BE42" s="5"/>
      <c r="BF42" s="177">
        <f t="shared" si="59"/>
        <v>7.7462110258486719E-2</v>
      </c>
      <c r="BG42" s="177">
        <f t="shared" si="103"/>
        <v>8390.7834280380739</v>
      </c>
      <c r="BH42" s="177"/>
      <c r="BI42" s="538">
        <f t="shared" si="104"/>
        <v>2.1001324839942837E-3</v>
      </c>
      <c r="BJ42" s="538">
        <f t="shared" si="105"/>
        <v>420.13283464316447</v>
      </c>
      <c r="BK42" s="538">
        <f t="shared" si="106"/>
        <v>4.3749999999999995E-3</v>
      </c>
      <c r="BL42" s="538">
        <f t="shared" si="107"/>
        <v>8462927.8085788898</v>
      </c>
      <c r="BM42">
        <f t="shared" si="108"/>
        <v>6.96E-3</v>
      </c>
      <c r="BN42">
        <f t="shared" si="109"/>
        <v>1.6625000000000001E-5</v>
      </c>
      <c r="BO42" s="538">
        <f t="shared" si="110"/>
        <v>8466628.5573356636</v>
      </c>
      <c r="BP42" s="469">
        <f t="shared" si="60"/>
        <v>8466628557.3356638</v>
      </c>
      <c r="BQ42" s="538">
        <f t="shared" si="111"/>
        <v>53789608.364286609</v>
      </c>
      <c r="BR42" s="538"/>
      <c r="BT42" s="469">
        <f t="shared" si="61"/>
        <v>53789608364.286606</v>
      </c>
      <c r="BU42" s="538">
        <f t="shared" si="112"/>
        <v>6.0003785256979546E-4</v>
      </c>
      <c r="BV42" s="538">
        <f t="shared" si="113"/>
        <v>2112157.396087151</v>
      </c>
      <c r="BW42" s="538">
        <f t="shared" si="114"/>
        <v>0</v>
      </c>
      <c r="BX42" s="538">
        <f t="shared" si="115"/>
        <v>-14.000082854164161</v>
      </c>
      <c r="BY42" s="538">
        <f t="shared" si="116"/>
        <v>2.0857037037037033E-3</v>
      </c>
      <c r="BZ42" s="469">
        <f t="shared" si="62"/>
        <v>-13997.997150460456</v>
      </c>
      <c r="CA42" s="177">
        <f t="shared" si="63"/>
        <v>62256222.923625126</v>
      </c>
      <c r="CB42" s="5">
        <f t="shared" si="64"/>
        <v>0.55499999999999994</v>
      </c>
      <c r="CC42" s="177">
        <f t="shared" si="65"/>
        <v>8.914771391338121E-9</v>
      </c>
      <c r="CD42" s="5">
        <f t="shared" si="66"/>
        <v>8.9147713913381208E-7</v>
      </c>
      <c r="CG42" s="571">
        <f t="shared" si="117"/>
        <v>-50</v>
      </c>
      <c r="CH42">
        <f t="shared" si="118"/>
        <v>-50</v>
      </c>
    </row>
    <row r="43" spans="5:86" x14ac:dyDescent="0.25">
      <c r="E43" s="174">
        <v>38</v>
      </c>
      <c r="F43" s="221">
        <f t="shared" si="119"/>
        <v>3.8000000000000006E-2</v>
      </c>
      <c r="G43" s="221"/>
      <c r="H43" s="221">
        <f t="shared" si="67"/>
        <v>0.57000000000000006</v>
      </c>
      <c r="I43" s="551">
        <f t="shared" si="68"/>
        <v>24</v>
      </c>
      <c r="J43" s="176">
        <f t="shared" si="69"/>
        <v>695386.58000000007</v>
      </c>
      <c r="K43" s="451">
        <f t="shared" si="70"/>
        <v>695410.58000000007</v>
      </c>
      <c r="L43" s="451"/>
      <c r="M43" s="221">
        <f t="shared" si="71"/>
        <v>0.99996548801428931</v>
      </c>
      <c r="N43" s="176">
        <f t="shared" si="72"/>
        <v>8.0997204529157436</v>
      </c>
      <c r="O43" s="176">
        <f t="shared" si="53"/>
        <v>0.57000000000000006</v>
      </c>
      <c r="P43" s="221">
        <f t="shared" si="73"/>
        <v>0.5399813635277162</v>
      </c>
      <c r="Q43" s="221">
        <f t="shared" si="74"/>
        <v>15</v>
      </c>
      <c r="R43" s="221">
        <f t="shared" si="75"/>
        <v>0.59997929280857354</v>
      </c>
      <c r="S43" s="176">
        <f t="shared" si="76"/>
        <v>213.15736998788481</v>
      </c>
      <c r="T43" s="176">
        <f t="shared" si="77"/>
        <v>15</v>
      </c>
      <c r="U43" s="221">
        <f t="shared" si="78"/>
        <v>5.2779599306554868E-2</v>
      </c>
      <c r="V43" s="221">
        <f t="shared" si="79"/>
        <v>6.5974499133193587E-2</v>
      </c>
      <c r="W43" s="221">
        <f t="shared" si="80"/>
        <v>2.2769895547835364E-6</v>
      </c>
      <c r="X43" s="201">
        <f t="shared" si="81"/>
        <v>350</v>
      </c>
      <c r="Y43" s="451">
        <f t="shared" si="54"/>
        <v>350</v>
      </c>
      <c r="AA43" s="221">
        <f t="shared" si="82"/>
        <v>2.2856354011755182</v>
      </c>
      <c r="AB43" s="177">
        <f t="shared" si="83"/>
        <v>9.8605673459021225E-5</v>
      </c>
      <c r="AC43" s="177">
        <f t="shared" si="84"/>
        <v>1.8020156525828219</v>
      </c>
      <c r="AD43" s="177"/>
      <c r="AE43" s="177">
        <f t="shared" si="85"/>
        <v>6.4712206554230591E-6</v>
      </c>
      <c r="AF43" s="555">
        <f t="shared" si="86"/>
        <v>1713.6592592592601</v>
      </c>
      <c r="AG43" s="538">
        <f t="shared" si="87"/>
        <v>7.7611695137976321E-3</v>
      </c>
      <c r="AI43" s="177">
        <f t="shared" si="88"/>
        <v>0.34986316297122916</v>
      </c>
      <c r="AJ43" s="177">
        <f t="shared" si="89"/>
        <v>0.34986316297122916</v>
      </c>
      <c r="AK43" s="177">
        <f t="shared" si="90"/>
        <v>1.3332421086474862</v>
      </c>
      <c r="AM43" s="555">
        <f t="shared" si="91"/>
        <v>38.000000000000007</v>
      </c>
      <c r="AN43" s="469">
        <f t="shared" si="92"/>
        <v>350</v>
      </c>
      <c r="AP43">
        <f t="shared" si="93"/>
        <v>38.000000000000007</v>
      </c>
      <c r="AQ43" s="469">
        <f t="shared" si="94"/>
        <v>350</v>
      </c>
      <c r="AR43" s="469"/>
      <c r="AS43" s="5">
        <f t="shared" si="55"/>
        <v>2.8571428571428572</v>
      </c>
      <c r="AT43" s="5">
        <f t="shared" si="95"/>
        <v>0.43732895371403646</v>
      </c>
      <c r="AU43" s="5">
        <f t="shared" si="56"/>
        <v>2.4198139034288206</v>
      </c>
      <c r="AV43" s="5">
        <f t="shared" si="96"/>
        <v>1.5093611511940414E-5</v>
      </c>
      <c r="AW43" s="177">
        <f t="shared" si="57"/>
        <v>0.15306513379991277</v>
      </c>
      <c r="AX43" s="177">
        <f t="shared" si="97"/>
        <v>0.64262222222222243</v>
      </c>
      <c r="AY43" s="177">
        <f t="shared" si="98"/>
        <v>6769.0837468666141</v>
      </c>
      <c r="AZ43" s="177">
        <f t="shared" si="58"/>
        <v>9.4934890193918792E-5</v>
      </c>
      <c r="BA43" s="469">
        <f t="shared" si="99"/>
        <v>3.7498705811702195</v>
      </c>
      <c r="BB43" s="469">
        <f t="shared" si="100"/>
        <v>0.34629988497676051</v>
      </c>
      <c r="BC43" s="5">
        <f t="shared" si="101"/>
        <v>5.3213500191143043E-2</v>
      </c>
      <c r="BD43" s="469">
        <f t="shared" si="102"/>
        <v>6.4647866896038328</v>
      </c>
      <c r="BE43" s="5"/>
      <c r="BF43" s="177">
        <f t="shared" si="59"/>
        <v>7.9027042358624663E-2</v>
      </c>
      <c r="BG43" s="177">
        <f t="shared" si="103"/>
        <v>8493.2566822482277</v>
      </c>
      <c r="BH43" s="177"/>
      <c r="BI43" s="538">
        <f t="shared" si="104"/>
        <v>2.18584569838315E-3</v>
      </c>
      <c r="BJ43" s="538">
        <f t="shared" si="105"/>
        <v>425.77245389429976</v>
      </c>
      <c r="BK43" s="538">
        <f t="shared" si="106"/>
        <v>4.3749999999999995E-3</v>
      </c>
      <c r="BL43" s="538">
        <f t="shared" si="107"/>
        <v>8462927.8085788898</v>
      </c>
      <c r="BM43">
        <f t="shared" si="108"/>
        <v>6.96E-3</v>
      </c>
      <c r="BN43">
        <f t="shared" si="109"/>
        <v>1.6625000000000001E-5</v>
      </c>
      <c r="BO43" s="538">
        <f t="shared" si="110"/>
        <v>8466768.1453559808</v>
      </c>
      <c r="BP43" s="469">
        <f t="shared" si="60"/>
        <v>8466768145.3559809</v>
      </c>
      <c r="BQ43" s="538">
        <f t="shared" si="111"/>
        <v>55111452.540790372</v>
      </c>
      <c r="BR43" s="538"/>
      <c r="BT43" s="469">
        <f t="shared" si="61"/>
        <v>55111452540.790375</v>
      </c>
      <c r="BU43" s="538">
        <f t="shared" si="112"/>
        <v>6.2452734239518571E-4</v>
      </c>
      <c r="BV43" s="538">
        <f t="shared" si="113"/>
        <v>2164062.2721166248</v>
      </c>
      <c r="BW43" s="538">
        <f t="shared" si="114"/>
        <v>0</v>
      </c>
      <c r="BX43" s="538">
        <f t="shared" si="115"/>
        <v>-14.000080866901587</v>
      </c>
      <c r="BY43" s="538">
        <f t="shared" si="116"/>
        <v>2.1420740740740753E-3</v>
      </c>
      <c r="BZ43" s="469">
        <f t="shared" si="62"/>
        <v>-13997.938792827514</v>
      </c>
      <c r="CA43" s="177">
        <f t="shared" si="63"/>
        <v>63578206.688207552</v>
      </c>
      <c r="CB43" s="5">
        <f t="shared" si="64"/>
        <v>0.57000000000000006</v>
      </c>
      <c r="CC43" s="177">
        <f t="shared" si="65"/>
        <v>8.9653361518213706E-9</v>
      </c>
      <c r="CD43" s="5">
        <f t="shared" si="66"/>
        <v>8.9653361518213705E-7</v>
      </c>
      <c r="CG43" s="571">
        <f t="shared" si="117"/>
        <v>-50</v>
      </c>
      <c r="CH43">
        <f t="shared" si="118"/>
        <v>-50</v>
      </c>
    </row>
    <row r="44" spans="5:86" x14ac:dyDescent="0.25">
      <c r="E44" s="174">
        <v>39</v>
      </c>
      <c r="F44" s="221">
        <f t="shared" si="119"/>
        <v>3.9000000000000007E-2</v>
      </c>
      <c r="G44" s="221"/>
      <c r="H44" s="221">
        <f t="shared" si="67"/>
        <v>0.58500000000000008</v>
      </c>
      <c r="I44" s="551">
        <f t="shared" si="68"/>
        <v>24</v>
      </c>
      <c r="J44" s="176">
        <f t="shared" si="69"/>
        <v>695386.58000000007</v>
      </c>
      <c r="K44" s="451">
        <f t="shared" si="70"/>
        <v>695410.58000000007</v>
      </c>
      <c r="L44" s="451"/>
      <c r="M44" s="221">
        <f t="shared" si="71"/>
        <v>0.99996548801428931</v>
      </c>
      <c r="N44" s="176">
        <f t="shared" si="72"/>
        <v>8.0997204529157436</v>
      </c>
      <c r="O44" s="176">
        <f t="shared" si="53"/>
        <v>0.58500000000000008</v>
      </c>
      <c r="P44" s="221">
        <f t="shared" si="73"/>
        <v>0.5399813635277162</v>
      </c>
      <c r="Q44" s="221">
        <f t="shared" si="74"/>
        <v>15</v>
      </c>
      <c r="R44" s="221">
        <f t="shared" si="75"/>
        <v>0.59997929280857354</v>
      </c>
      <c r="S44" s="176">
        <f t="shared" si="76"/>
        <v>207.69178295758786</v>
      </c>
      <c r="T44" s="176">
        <f t="shared" si="77"/>
        <v>15</v>
      </c>
      <c r="U44" s="221">
        <f t="shared" si="78"/>
        <v>5.4168536130411574E-2</v>
      </c>
      <c r="V44" s="221">
        <f t="shared" si="79"/>
        <v>6.7710670163014464E-2</v>
      </c>
      <c r="W44" s="221">
        <f t="shared" si="80"/>
        <v>2.3369103325409976E-6</v>
      </c>
      <c r="X44" s="201">
        <f t="shared" si="81"/>
        <v>350</v>
      </c>
      <c r="Y44" s="451">
        <f t="shared" si="54"/>
        <v>350</v>
      </c>
      <c r="AA44" s="221">
        <f t="shared" si="82"/>
        <v>2.2856354011755182</v>
      </c>
      <c r="AB44" s="177">
        <f t="shared" si="83"/>
        <v>9.8605673459021225E-5</v>
      </c>
      <c r="AC44" s="177">
        <f t="shared" si="84"/>
        <v>1.8020156525828219</v>
      </c>
      <c r="AD44" s="177"/>
      <c r="AE44" s="177">
        <f t="shared" si="85"/>
        <v>6.4712206554230591E-6</v>
      </c>
      <c r="AF44" s="555">
        <f t="shared" si="86"/>
        <v>1758.7555555555562</v>
      </c>
      <c r="AG44" s="538">
        <f t="shared" si="87"/>
        <v>7.7611695137976321E-3</v>
      </c>
      <c r="AI44" s="177">
        <f t="shared" si="88"/>
        <v>0.35443673176661145</v>
      </c>
      <c r="AJ44" s="177">
        <f t="shared" si="89"/>
        <v>0.35443673176661145</v>
      </c>
      <c r="AK44" s="177">
        <f t="shared" si="90"/>
        <v>1.3362911545110743</v>
      </c>
      <c r="AM44" s="555">
        <f t="shared" si="91"/>
        <v>39.000000000000007</v>
      </c>
      <c r="AN44" s="469">
        <f t="shared" si="92"/>
        <v>350</v>
      </c>
      <c r="AP44">
        <f t="shared" si="93"/>
        <v>39.000000000000007</v>
      </c>
      <c r="AQ44" s="469">
        <f t="shared" si="94"/>
        <v>350</v>
      </c>
      <c r="AR44" s="469"/>
      <c r="AS44" s="5">
        <f t="shared" si="55"/>
        <v>2.8571428571428572</v>
      </c>
      <c r="AT44" s="5">
        <f t="shared" si="95"/>
        <v>0.44304591470826432</v>
      </c>
      <c r="AU44" s="5">
        <f t="shared" si="56"/>
        <v>2.4140969424345928</v>
      </c>
      <c r="AV44" s="5">
        <f t="shared" si="96"/>
        <v>1.5290921997658259E-5</v>
      </c>
      <c r="AW44" s="177">
        <f t="shared" si="57"/>
        <v>0.1550660701478925</v>
      </c>
      <c r="AX44" s="177">
        <f t="shared" si="97"/>
        <v>0.65953333333333353</v>
      </c>
      <c r="AY44" s="177">
        <f t="shared" si="98"/>
        <v>6841.3708160645774</v>
      </c>
      <c r="AZ44" s="177">
        <f t="shared" si="58"/>
        <v>9.6403681523101942E-5</v>
      </c>
      <c r="BA44" s="469">
        <f t="shared" si="99"/>
        <v>3.7498705811702195</v>
      </c>
      <c r="BB44" s="469">
        <f t="shared" si="100"/>
        <v>0.36168706720890087</v>
      </c>
      <c r="BC44" s="5">
        <f t="shared" si="101"/>
        <v>5.4484826825780729E-2</v>
      </c>
      <c r="BD44" s="469">
        <f t="shared" si="102"/>
        <v>6.6194292190936901</v>
      </c>
      <c r="BE44" s="5"/>
      <c r="BF44" s="177">
        <f t="shared" si="59"/>
        <v>8.0581711317320268E-2</v>
      </c>
      <c r="BG44" s="177">
        <f t="shared" si="103"/>
        <v>8594.1142686133917</v>
      </c>
      <c r="BH44" s="177"/>
      <c r="BI44" s="538">
        <f t="shared" si="104"/>
        <v>2.2726942695897793E-3</v>
      </c>
      <c r="BJ44" s="538">
        <f t="shared" si="105"/>
        <v>431.33834311946657</v>
      </c>
      <c r="BK44" s="538">
        <f t="shared" si="106"/>
        <v>4.3749999999999995E-3</v>
      </c>
      <c r="BL44" s="538">
        <f t="shared" si="107"/>
        <v>8462927.8085788898</v>
      </c>
      <c r="BM44">
        <f t="shared" si="108"/>
        <v>6.96E-3</v>
      </c>
      <c r="BN44">
        <f t="shared" si="109"/>
        <v>1.6625000000000001E-5</v>
      </c>
      <c r="BO44" s="538">
        <f t="shared" si="110"/>
        <v>8466909.4383687787</v>
      </c>
      <c r="BP44" s="469">
        <f t="shared" si="60"/>
        <v>8466909438.3687782</v>
      </c>
      <c r="BQ44" s="538">
        <f t="shared" si="111"/>
        <v>56428123.258529477</v>
      </c>
      <c r="BR44" s="538"/>
      <c r="BT44" s="469">
        <f t="shared" si="61"/>
        <v>56428123258.52948</v>
      </c>
      <c r="BU44" s="538">
        <f t="shared" si="112"/>
        <v>6.4934121988279416E-4</v>
      </c>
      <c r="BV44" s="538">
        <f t="shared" si="113"/>
        <v>2215764.0018595285</v>
      </c>
      <c r="BW44" s="538">
        <f t="shared" si="114"/>
        <v>0</v>
      </c>
      <c r="BX44" s="538">
        <f t="shared" si="115"/>
        <v>-14.000078979975781</v>
      </c>
      <c r="BY44" s="538">
        <f t="shared" si="116"/>
        <v>2.1984444444444451E-3</v>
      </c>
      <c r="BZ44" s="469">
        <f t="shared" si="62"/>
        <v>-13997.880535531336</v>
      </c>
      <c r="CA44" s="177">
        <f t="shared" si="63"/>
        <v>64895018.699017711</v>
      </c>
      <c r="CB44" s="5">
        <f t="shared" si="64"/>
        <v>0.58500000000000008</v>
      </c>
      <c r="CC44" s="177">
        <f t="shared" si="65"/>
        <v>9.0145593060032171E-9</v>
      </c>
      <c r="CD44" s="5">
        <f t="shared" si="66"/>
        <v>9.0145593060032166E-7</v>
      </c>
      <c r="CG44" s="571">
        <f t="shared" si="117"/>
        <v>-50</v>
      </c>
      <c r="CH44">
        <f t="shared" si="118"/>
        <v>-50</v>
      </c>
    </row>
    <row r="45" spans="5:86" x14ac:dyDescent="0.25">
      <c r="E45" s="174">
        <v>40</v>
      </c>
      <c r="F45" s="221">
        <f t="shared" si="119"/>
        <v>4.0000000000000008E-2</v>
      </c>
      <c r="G45" s="221"/>
      <c r="H45" s="221">
        <f t="shared" si="67"/>
        <v>0.60000000000000009</v>
      </c>
      <c r="I45" s="551">
        <f t="shared" si="68"/>
        <v>24</v>
      </c>
      <c r="J45" s="176">
        <f t="shared" si="69"/>
        <v>695386.58000000007</v>
      </c>
      <c r="K45" s="451">
        <f t="shared" si="70"/>
        <v>695410.58000000007</v>
      </c>
      <c r="L45" s="451"/>
      <c r="M45" s="221">
        <f t="shared" si="71"/>
        <v>0.99996548801428931</v>
      </c>
      <c r="N45" s="176">
        <f t="shared" si="72"/>
        <v>8.0997204529157436</v>
      </c>
      <c r="O45" s="176">
        <f t="shared" si="53"/>
        <v>0.60000000000000009</v>
      </c>
      <c r="P45" s="221">
        <f t="shared" si="73"/>
        <v>0.5399813635277162</v>
      </c>
      <c r="Q45" s="221">
        <f t="shared" si="74"/>
        <v>15</v>
      </c>
      <c r="R45" s="221">
        <f t="shared" si="75"/>
        <v>0.59997929280857354</v>
      </c>
      <c r="S45" s="176">
        <f t="shared" si="76"/>
        <v>202.49947527951679</v>
      </c>
      <c r="T45" s="176">
        <f t="shared" si="77"/>
        <v>15</v>
      </c>
      <c r="U45" s="221">
        <f t="shared" si="78"/>
        <v>5.5557472954268279E-2</v>
      </c>
      <c r="V45" s="221">
        <f t="shared" si="79"/>
        <v>6.9446841192835354E-2</v>
      </c>
      <c r="W45" s="221">
        <f t="shared" si="80"/>
        <v>2.3968311102984589E-6</v>
      </c>
      <c r="X45" s="201">
        <f t="shared" si="81"/>
        <v>350</v>
      </c>
      <c r="Y45" s="451">
        <f t="shared" si="54"/>
        <v>350</v>
      </c>
      <c r="AA45" s="221">
        <f t="shared" si="82"/>
        <v>2.2856354011755182</v>
      </c>
      <c r="AB45" s="177">
        <f t="shared" si="83"/>
        <v>9.8605673459021225E-5</v>
      </c>
      <c r="AC45" s="177">
        <f t="shared" si="84"/>
        <v>1.8020156525828219</v>
      </c>
      <c r="AD45" s="177"/>
      <c r="AE45" s="177">
        <f t="shared" si="85"/>
        <v>6.4712206554230591E-6</v>
      </c>
      <c r="AF45" s="555">
        <f t="shared" si="86"/>
        <v>1803.8518518518526</v>
      </c>
      <c r="AG45" s="538">
        <f t="shared" si="87"/>
        <v>7.7611695137976321E-3</v>
      </c>
      <c r="AI45" s="177">
        <f t="shared" si="88"/>
        <v>0.35895203140052134</v>
      </c>
      <c r="AJ45" s="177">
        <f t="shared" si="89"/>
        <v>0.35895203140052134</v>
      </c>
      <c r="AK45" s="177">
        <f t="shared" si="90"/>
        <v>1.3393013542670142</v>
      </c>
      <c r="AM45" s="555">
        <f t="shared" si="91"/>
        <v>40.000000000000007</v>
      </c>
      <c r="AN45" s="469">
        <f t="shared" si="92"/>
        <v>350</v>
      </c>
      <c r="AP45">
        <f t="shared" si="93"/>
        <v>40.000000000000007</v>
      </c>
      <c r="AQ45" s="469">
        <f t="shared" si="94"/>
        <v>350</v>
      </c>
      <c r="AR45" s="469"/>
      <c r="AS45" s="5">
        <f t="shared" si="55"/>
        <v>2.8571428571428572</v>
      </c>
      <c r="AT45" s="5">
        <f t="shared" si="95"/>
        <v>0.44869003925065165</v>
      </c>
      <c r="AU45" s="5">
        <f t="shared" si="56"/>
        <v>2.4084528178922056</v>
      </c>
      <c r="AV45" s="5">
        <f t="shared" si="96"/>
        <v>1.5485718666034135E-5</v>
      </c>
      <c r="AW45" s="177">
        <f t="shared" si="57"/>
        <v>0.15704151373772807</v>
      </c>
      <c r="AX45" s="177">
        <f t="shared" si="97"/>
        <v>0.67644444444444451</v>
      </c>
      <c r="AY45" s="177">
        <f t="shared" si="98"/>
        <v>6912.3267554032827</v>
      </c>
      <c r="AZ45" s="177">
        <f t="shared" si="58"/>
        <v>9.7860600110617749E-5</v>
      </c>
      <c r="BA45" s="469">
        <f t="shared" si="99"/>
        <v>3.7498705811702195</v>
      </c>
      <c r="BB45" s="469">
        <f t="shared" si="100"/>
        <v>0.37739599443408378</v>
      </c>
      <c r="BC45" s="5">
        <f t="shared" si="101"/>
        <v>5.5751222636393649E-2</v>
      </c>
      <c r="BD45" s="469">
        <f t="shared" si="102"/>
        <v>6.7734800497005727</v>
      </c>
      <c r="BE45" s="5"/>
      <c r="BF45" s="177">
        <f t="shared" si="59"/>
        <v>8.2126445101936563E-2</v>
      </c>
      <c r="BG45" s="177">
        <f t="shared" si="103"/>
        <v>8693.4174467574958</v>
      </c>
      <c r="BH45" s="177"/>
      <c r="BI45" s="538">
        <f t="shared" si="104"/>
        <v>2.3606635447784899E-3</v>
      </c>
      <c r="BJ45" s="538">
        <f t="shared" si="105"/>
        <v>436.83332060972589</v>
      </c>
      <c r="BK45" s="538">
        <f t="shared" si="106"/>
        <v>4.3749999999999995E-3</v>
      </c>
      <c r="BL45" s="538">
        <f t="shared" si="107"/>
        <v>8462927.8085788898</v>
      </c>
      <c r="BM45">
        <f t="shared" si="108"/>
        <v>6.96E-3</v>
      </c>
      <c r="BN45">
        <f t="shared" si="109"/>
        <v>1.6625000000000001E-5</v>
      </c>
      <c r="BO45" s="538">
        <f t="shared" si="110"/>
        <v>8467052.4164641779</v>
      </c>
      <c r="BP45" s="469">
        <f t="shared" si="60"/>
        <v>8467052416.4641781</v>
      </c>
      <c r="BQ45" s="538">
        <f t="shared" si="111"/>
        <v>57739687.285800934</v>
      </c>
      <c r="BR45" s="538"/>
      <c r="BT45" s="469">
        <f t="shared" si="61"/>
        <v>57739687285.800934</v>
      </c>
      <c r="BU45" s="538">
        <f t="shared" si="112"/>
        <v>6.7447529850813998E-4</v>
      </c>
      <c r="BV45" s="538">
        <f t="shared" si="113"/>
        <v>2267265.2071076287</v>
      </c>
      <c r="BW45" s="538">
        <f t="shared" si="114"/>
        <v>0</v>
      </c>
      <c r="BX45" s="538">
        <f t="shared" si="115"/>
        <v>-14.000077185926122</v>
      </c>
      <c r="BY45" s="538">
        <f t="shared" si="116"/>
        <v>2.254814814814815E-3</v>
      </c>
      <c r="BZ45" s="469">
        <f t="shared" si="62"/>
        <v>-13997.822371111306</v>
      </c>
      <c r="CA45" s="177">
        <f t="shared" si="63"/>
        <v>66206725.704442739</v>
      </c>
      <c r="CB45" s="5">
        <f t="shared" si="64"/>
        <v>0.60000000000000009</v>
      </c>
      <c r="CC45" s="177">
        <f t="shared" si="65"/>
        <v>9.0625233037649474E-9</v>
      </c>
      <c r="CD45" s="5">
        <f t="shared" si="66"/>
        <v>9.062523303764947E-7</v>
      </c>
      <c r="CG45" s="571">
        <f t="shared" si="117"/>
        <v>-50</v>
      </c>
      <c r="CH45">
        <f t="shared" si="118"/>
        <v>-50</v>
      </c>
    </row>
    <row r="46" spans="5:86" x14ac:dyDescent="0.25">
      <c r="E46" s="174">
        <v>41</v>
      </c>
      <c r="F46" s="221">
        <f t="shared" si="119"/>
        <v>4.1000000000000002E-2</v>
      </c>
      <c r="G46" s="221"/>
      <c r="H46" s="221">
        <f t="shared" si="67"/>
        <v>0.61499999999999999</v>
      </c>
      <c r="I46" s="551">
        <f t="shared" si="68"/>
        <v>24</v>
      </c>
      <c r="J46" s="176">
        <f t="shared" si="69"/>
        <v>695386.58000000007</v>
      </c>
      <c r="K46" s="451">
        <f t="shared" si="70"/>
        <v>695410.58000000007</v>
      </c>
      <c r="L46" s="451"/>
      <c r="M46" s="221">
        <f t="shared" si="71"/>
        <v>0.99996548801428931</v>
      </c>
      <c r="N46" s="176">
        <f t="shared" si="72"/>
        <v>8.0997204529157436</v>
      </c>
      <c r="O46" s="176">
        <f t="shared" si="53"/>
        <v>0.61499999999999999</v>
      </c>
      <c r="P46" s="221">
        <f t="shared" si="73"/>
        <v>0.5399813635277162</v>
      </c>
      <c r="Q46" s="221">
        <f t="shared" si="74"/>
        <v>15</v>
      </c>
      <c r="R46" s="221">
        <f t="shared" si="75"/>
        <v>0.59997929280857354</v>
      </c>
      <c r="S46" s="176">
        <f t="shared" si="76"/>
        <v>197.56045090350881</v>
      </c>
      <c r="T46" s="176">
        <f t="shared" si="77"/>
        <v>15</v>
      </c>
      <c r="U46" s="221">
        <f t="shared" si="78"/>
        <v>5.6946409778124978E-2</v>
      </c>
      <c r="V46" s="221">
        <f t="shared" si="79"/>
        <v>7.1183012222656231E-2</v>
      </c>
      <c r="W46" s="221">
        <f t="shared" si="80"/>
        <v>2.4567518880559202E-6</v>
      </c>
      <c r="X46" s="201">
        <f t="shared" si="81"/>
        <v>350</v>
      </c>
      <c r="Y46" s="451">
        <f t="shared" si="54"/>
        <v>350</v>
      </c>
      <c r="AA46" s="221">
        <f t="shared" si="82"/>
        <v>2.2856354011755182</v>
      </c>
      <c r="AB46" s="177">
        <f t="shared" si="83"/>
        <v>9.8605673459021225E-5</v>
      </c>
      <c r="AC46" s="177">
        <f t="shared" si="84"/>
        <v>1.8020156525828219</v>
      </c>
      <c r="AD46" s="177"/>
      <c r="AE46" s="177">
        <f t="shared" si="85"/>
        <v>6.4712206554230591E-6</v>
      </c>
      <c r="AF46" s="555">
        <f t="shared" si="86"/>
        <v>1848.9481481481487</v>
      </c>
      <c r="AG46" s="538">
        <f t="shared" si="87"/>
        <v>7.7611695137976321E-3</v>
      </c>
      <c r="AI46" s="177">
        <f t="shared" si="88"/>
        <v>0.36341123382158241</v>
      </c>
      <c r="AJ46" s="177">
        <f t="shared" si="89"/>
        <v>0.36341123382158241</v>
      </c>
      <c r="AK46" s="177">
        <f t="shared" si="90"/>
        <v>1.3422741558810549</v>
      </c>
      <c r="AM46" s="555">
        <f t="shared" si="91"/>
        <v>41</v>
      </c>
      <c r="AN46" s="469">
        <f t="shared" si="92"/>
        <v>350</v>
      </c>
      <c r="AP46">
        <f t="shared" si="93"/>
        <v>41</v>
      </c>
      <c r="AQ46" s="469">
        <f t="shared" si="94"/>
        <v>350</v>
      </c>
      <c r="AR46" s="469"/>
      <c r="AS46" s="5">
        <f t="shared" si="55"/>
        <v>2.8571428571428572</v>
      </c>
      <c r="AT46" s="5">
        <f t="shared" si="95"/>
        <v>0.45426404227697809</v>
      </c>
      <c r="AU46" s="5">
        <f t="shared" si="56"/>
        <v>2.4028788148658791</v>
      </c>
      <c r="AV46" s="5">
        <f t="shared" si="96"/>
        <v>1.5678095218126686E-5</v>
      </c>
      <c r="AW46" s="177">
        <f t="shared" si="57"/>
        <v>0.15899241479694232</v>
      </c>
      <c r="AX46" s="177">
        <f t="shared" si="97"/>
        <v>0.69335555555555539</v>
      </c>
      <c r="AY46" s="177">
        <f t="shared" si="98"/>
        <v>6982.0011819630645</v>
      </c>
      <c r="AZ46" s="177">
        <f t="shared" si="58"/>
        <v>9.9306135516953752E-5</v>
      </c>
      <c r="BA46" s="469">
        <f t="shared" si="99"/>
        <v>3.7498705811702195</v>
      </c>
      <c r="BB46" s="469">
        <f t="shared" si="100"/>
        <v>0.39342666665230913</v>
      </c>
      <c r="BC46" s="5">
        <f t="shared" si="101"/>
        <v>5.701274965827606E-2</v>
      </c>
      <c r="BD46" s="469">
        <f t="shared" si="102"/>
        <v>6.9269466256597934</v>
      </c>
      <c r="BE46" s="5"/>
      <c r="BF46" s="177">
        <f t="shared" si="59"/>
        <v>8.3661553283567794E-2</v>
      </c>
      <c r="BG46" s="177">
        <f t="shared" si="103"/>
        <v>8791.2236741799952</v>
      </c>
      <c r="BH46" s="177"/>
      <c r="BI46" s="538">
        <f t="shared" si="104"/>
        <v>2.4497394242367384E-3</v>
      </c>
      <c r="BJ46" s="538">
        <f t="shared" si="105"/>
        <v>442.26002955816904</v>
      </c>
      <c r="BK46" s="538">
        <f t="shared" si="106"/>
        <v>4.3749999999999995E-3</v>
      </c>
      <c r="BL46" s="538">
        <f t="shared" si="107"/>
        <v>8462927.8085788898</v>
      </c>
      <c r="BM46">
        <f t="shared" si="108"/>
        <v>6.96E-3</v>
      </c>
      <c r="BN46">
        <f t="shared" si="109"/>
        <v>1.6625000000000001E-5</v>
      </c>
      <c r="BO46" s="538">
        <f t="shared" si="110"/>
        <v>8467197.0604208633</v>
      </c>
      <c r="BP46" s="469">
        <f t="shared" si="60"/>
        <v>8467197060.4208632</v>
      </c>
      <c r="BQ46" s="538">
        <f t="shared" si="111"/>
        <v>59046208.870496072</v>
      </c>
      <c r="BR46" s="538"/>
      <c r="BT46" s="469">
        <f t="shared" si="61"/>
        <v>59046208870.496071</v>
      </c>
      <c r="BU46" s="538">
        <f t="shared" si="112"/>
        <v>6.9992554978192539E-4</v>
      </c>
      <c r="BV46" s="538">
        <f t="shared" si="113"/>
        <v>2318568.4106838843</v>
      </c>
      <c r="BW46" s="538">
        <f t="shared" si="114"/>
        <v>0</v>
      </c>
      <c r="BX46" s="538">
        <f t="shared" si="115"/>
        <v>-14.000075478015924</v>
      </c>
      <c r="BY46" s="538">
        <f t="shared" si="116"/>
        <v>2.3111851851851848E-3</v>
      </c>
      <c r="BZ46" s="469">
        <f t="shared" si="62"/>
        <v>-13997.76429283074</v>
      </c>
      <c r="CA46" s="177">
        <f t="shared" si="63"/>
        <v>67513391.933152646</v>
      </c>
      <c r="CB46" s="5">
        <f t="shared" si="64"/>
        <v>0.61499999999999999</v>
      </c>
      <c r="CC46" s="177">
        <f t="shared" si="65"/>
        <v>9.1093037512722078E-9</v>
      </c>
      <c r="CD46" s="5">
        <f t="shared" si="66"/>
        <v>9.1093037512722075E-7</v>
      </c>
      <c r="CG46" s="571">
        <f t="shared" si="117"/>
        <v>-50</v>
      </c>
      <c r="CH46">
        <f t="shared" si="118"/>
        <v>-50</v>
      </c>
    </row>
    <row r="47" spans="5:86" x14ac:dyDescent="0.25">
      <c r="E47" s="174">
        <v>42</v>
      </c>
      <c r="F47" s="221">
        <f t="shared" si="119"/>
        <v>4.2000000000000003E-2</v>
      </c>
      <c r="G47" s="221"/>
      <c r="H47" s="221">
        <f t="shared" si="67"/>
        <v>0.63</v>
      </c>
      <c r="I47" s="551">
        <f t="shared" si="68"/>
        <v>24</v>
      </c>
      <c r="J47" s="176">
        <f t="shared" si="69"/>
        <v>695386.58000000007</v>
      </c>
      <c r="K47" s="451">
        <f t="shared" si="70"/>
        <v>695410.58000000007</v>
      </c>
      <c r="L47" s="451"/>
      <c r="M47" s="221">
        <f t="shared" si="71"/>
        <v>0.99996548801428931</v>
      </c>
      <c r="N47" s="176">
        <f t="shared" si="72"/>
        <v>8.0997204529157436</v>
      </c>
      <c r="O47" s="176">
        <f t="shared" si="53"/>
        <v>0.63</v>
      </c>
      <c r="P47" s="221">
        <f t="shared" si="73"/>
        <v>0.5399813635277162</v>
      </c>
      <c r="Q47" s="221">
        <f t="shared" si="74"/>
        <v>15</v>
      </c>
      <c r="R47" s="221">
        <f t="shared" si="75"/>
        <v>0.59997929280857354</v>
      </c>
      <c r="S47" s="176">
        <f t="shared" si="76"/>
        <v>192.8566181651307</v>
      </c>
      <c r="T47" s="176">
        <f t="shared" si="77"/>
        <v>15</v>
      </c>
      <c r="U47" s="221">
        <f t="shared" si="78"/>
        <v>5.833534660198169E-2</v>
      </c>
      <c r="V47" s="221">
        <f t="shared" si="79"/>
        <v>7.2919183252477121E-2</v>
      </c>
      <c r="W47" s="221">
        <f t="shared" si="80"/>
        <v>2.5166726658133823E-6</v>
      </c>
      <c r="X47" s="201">
        <f t="shared" si="81"/>
        <v>350</v>
      </c>
      <c r="Y47" s="451">
        <f t="shared" si="54"/>
        <v>350</v>
      </c>
      <c r="AA47" s="221">
        <f t="shared" si="82"/>
        <v>2.2856354011755182</v>
      </c>
      <c r="AB47" s="177">
        <f t="shared" si="83"/>
        <v>9.8605673459021225E-5</v>
      </c>
      <c r="AC47" s="177">
        <f t="shared" si="84"/>
        <v>1.8020156525828219</v>
      </c>
      <c r="AD47" s="177"/>
      <c r="AE47" s="177">
        <f t="shared" si="85"/>
        <v>6.4712206554230591E-6</v>
      </c>
      <c r="AF47" s="555">
        <f t="shared" si="86"/>
        <v>1894.0444444444449</v>
      </c>
      <c r="AG47" s="538">
        <f t="shared" si="87"/>
        <v>7.7611695137976321E-3</v>
      </c>
      <c r="AI47" s="177">
        <f t="shared" si="88"/>
        <v>0.36781637931023259</v>
      </c>
      <c r="AJ47" s="177">
        <f t="shared" si="89"/>
        <v>0.36781637931023259</v>
      </c>
      <c r="AK47" s="177">
        <f t="shared" si="90"/>
        <v>1.3452109195401549</v>
      </c>
      <c r="AM47" s="555">
        <f t="shared" si="91"/>
        <v>42</v>
      </c>
      <c r="AN47" s="469">
        <f t="shared" si="92"/>
        <v>350</v>
      </c>
      <c r="AP47">
        <f t="shared" si="93"/>
        <v>42</v>
      </c>
      <c r="AQ47" s="469">
        <f t="shared" si="94"/>
        <v>350</v>
      </c>
      <c r="AR47" s="469"/>
      <c r="AS47" s="5">
        <f t="shared" si="55"/>
        <v>2.8571428571428572</v>
      </c>
      <c r="AT47" s="5">
        <f t="shared" si="95"/>
        <v>0.45977047413779071</v>
      </c>
      <c r="AU47" s="5">
        <f t="shared" si="56"/>
        <v>2.3973723830050666</v>
      </c>
      <c r="AV47" s="5">
        <f t="shared" si="96"/>
        <v>1.5868139674635333E-5</v>
      </c>
      <c r="AW47" s="177">
        <f t="shared" si="57"/>
        <v>0.16091966594822674</v>
      </c>
      <c r="AX47" s="177">
        <f t="shared" si="97"/>
        <v>0.71026666666666671</v>
      </c>
      <c r="AY47" s="177">
        <f t="shared" si="98"/>
        <v>7050.4407049303873</v>
      </c>
      <c r="AZ47" s="177">
        <f t="shared" si="58"/>
        <v>1.007407474783776E-4</v>
      </c>
      <c r="BA47" s="469">
        <f t="shared" si="99"/>
        <v>3.7498705811702195</v>
      </c>
      <c r="BB47" s="469">
        <f t="shared" si="100"/>
        <v>0.4097790838635772</v>
      </c>
      <c r="BC47" s="5">
        <f t="shared" si="101"/>
        <v>5.8269467642484245E-2</v>
      </c>
      <c r="BD47" s="469">
        <f t="shared" si="102"/>
        <v>7.079836117098111</v>
      </c>
      <c r="BE47" s="5"/>
      <c r="BF47" s="177">
        <f t="shared" si="59"/>
        <v>8.5187328491403314E-2</v>
      </c>
      <c r="BG47" s="177">
        <f t="shared" si="103"/>
        <v>8887.5869288142712</v>
      </c>
      <c r="BH47" s="177"/>
      <c r="BI47" s="538">
        <f t="shared" si="104"/>
        <v>2.5399083274257892E-3</v>
      </c>
      <c r="BJ47" s="538">
        <f t="shared" si="105"/>
        <v>447.62095292185052</v>
      </c>
      <c r="BK47" s="538">
        <f t="shared" si="106"/>
        <v>4.3749999999999995E-3</v>
      </c>
      <c r="BL47" s="538">
        <f t="shared" si="107"/>
        <v>8462927.8085788898</v>
      </c>
      <c r="BM47">
        <f t="shared" si="108"/>
        <v>6.96E-3</v>
      </c>
      <c r="BN47">
        <f t="shared" si="109"/>
        <v>1.6625000000000001E-5</v>
      </c>
      <c r="BO47" s="538">
        <f t="shared" si="110"/>
        <v>8467343.3516679518</v>
      </c>
      <c r="BP47" s="469">
        <f t="shared" si="60"/>
        <v>8467343351.6679516</v>
      </c>
      <c r="BQ47" s="538">
        <f t="shared" si="111"/>
        <v>60347749.894796923</v>
      </c>
      <c r="BR47" s="538"/>
      <c r="BT47" s="469">
        <f t="shared" si="61"/>
        <v>60347749894.796921</v>
      </c>
      <c r="BU47" s="538">
        <f t="shared" si="112"/>
        <v>7.2568809355022556E-4</v>
      </c>
      <c r="BV47" s="538">
        <f t="shared" si="113"/>
        <v>2369676.0425169086</v>
      </c>
      <c r="BW47" s="538">
        <f t="shared" si="114"/>
        <v>0</v>
      </c>
      <c r="BX47" s="538">
        <f t="shared" si="115"/>
        <v>-14.000073850146576</v>
      </c>
      <c r="BY47" s="538">
        <f t="shared" si="116"/>
        <v>2.3675555555555559E-3</v>
      </c>
      <c r="BZ47" s="469">
        <f t="shared" si="62"/>
        <v>-13997.70629459102</v>
      </c>
      <c r="CA47" s="177">
        <f t="shared" si="63"/>
        <v>68815079.248758584</v>
      </c>
      <c r="CB47" s="5">
        <f t="shared" si="64"/>
        <v>0.63</v>
      </c>
      <c r="CC47" s="177">
        <f t="shared" si="65"/>
        <v>9.1549701186129786E-9</v>
      </c>
      <c r="CD47" s="5">
        <f t="shared" si="66"/>
        <v>9.1549701186129785E-7</v>
      </c>
      <c r="CG47" s="571">
        <f t="shared" si="117"/>
        <v>-50</v>
      </c>
      <c r="CH47">
        <f t="shared" si="118"/>
        <v>-50</v>
      </c>
    </row>
    <row r="48" spans="5:86" x14ac:dyDescent="0.25">
      <c r="E48" s="174">
        <v>43</v>
      </c>
      <c r="F48" s="221">
        <f t="shared" si="119"/>
        <v>4.3000000000000003E-2</v>
      </c>
      <c r="G48" s="221"/>
      <c r="H48" s="221">
        <f t="shared" si="67"/>
        <v>0.64500000000000002</v>
      </c>
      <c r="I48" s="551">
        <f t="shared" si="68"/>
        <v>24</v>
      </c>
      <c r="J48" s="176">
        <f t="shared" si="69"/>
        <v>695386.58000000007</v>
      </c>
      <c r="K48" s="451">
        <f t="shared" si="70"/>
        <v>695410.58000000007</v>
      </c>
      <c r="L48" s="451"/>
      <c r="M48" s="221">
        <f t="shared" si="71"/>
        <v>0.99996548801428931</v>
      </c>
      <c r="N48" s="176">
        <f t="shared" si="72"/>
        <v>8.0997204529157436</v>
      </c>
      <c r="O48" s="176">
        <f t="shared" si="53"/>
        <v>0.64500000000000002</v>
      </c>
      <c r="P48" s="221">
        <f t="shared" si="73"/>
        <v>0.5399813635277162</v>
      </c>
      <c r="Q48" s="221">
        <f t="shared" si="74"/>
        <v>15</v>
      </c>
      <c r="R48" s="221">
        <f t="shared" si="75"/>
        <v>0.59997929280857354</v>
      </c>
      <c r="S48" s="176">
        <f t="shared" si="76"/>
        <v>188.37156834547801</v>
      </c>
      <c r="T48" s="176">
        <f t="shared" si="77"/>
        <v>15</v>
      </c>
      <c r="U48" s="221">
        <f t="shared" si="78"/>
        <v>5.9724283425838395E-2</v>
      </c>
      <c r="V48" s="221">
        <f t="shared" si="79"/>
        <v>7.4655354282297998E-2</v>
      </c>
      <c r="W48" s="221">
        <f t="shared" si="80"/>
        <v>2.5765934435708431E-6</v>
      </c>
      <c r="X48" s="201">
        <f t="shared" si="81"/>
        <v>350</v>
      </c>
      <c r="Y48" s="451">
        <f t="shared" si="54"/>
        <v>350</v>
      </c>
      <c r="AA48" s="221">
        <f t="shared" si="82"/>
        <v>2.2856354011755182</v>
      </c>
      <c r="AB48" s="177">
        <f t="shared" si="83"/>
        <v>9.8605673459021225E-5</v>
      </c>
      <c r="AC48" s="177">
        <f t="shared" si="84"/>
        <v>1.8020156525828219</v>
      </c>
      <c r="AD48" s="177"/>
      <c r="AE48" s="177">
        <f t="shared" si="85"/>
        <v>6.4712206554230591E-6</v>
      </c>
      <c r="AF48" s="555">
        <f t="shared" si="86"/>
        <v>1939.1407407407414</v>
      </c>
      <c r="AG48" s="538">
        <f t="shared" si="87"/>
        <v>7.7611695137976321E-3</v>
      </c>
      <c r="AI48" s="177">
        <f t="shared" si="88"/>
        <v>0.37216938738973804</v>
      </c>
      <c r="AJ48" s="177">
        <f t="shared" si="89"/>
        <v>0.37216938738973804</v>
      </c>
      <c r="AK48" s="177">
        <f t="shared" si="90"/>
        <v>1.348112924926492</v>
      </c>
      <c r="AM48" s="555">
        <f t="shared" si="91"/>
        <v>43</v>
      </c>
      <c r="AN48" s="469">
        <f t="shared" si="92"/>
        <v>350</v>
      </c>
      <c r="AP48">
        <f t="shared" si="93"/>
        <v>43</v>
      </c>
      <c r="AQ48" s="469">
        <f t="shared" si="94"/>
        <v>350</v>
      </c>
      <c r="AR48" s="469"/>
      <c r="AS48" s="5">
        <f t="shared" si="55"/>
        <v>2.8571428571428572</v>
      </c>
      <c r="AT48" s="5">
        <f t="shared" si="95"/>
        <v>0.46521173423717255</v>
      </c>
      <c r="AU48" s="5">
        <f t="shared" si="56"/>
        <v>2.3919311229056848</v>
      </c>
      <c r="AV48" s="5">
        <f t="shared" si="96"/>
        <v>1.605593484661746E-5</v>
      </c>
      <c r="AW48" s="177">
        <f t="shared" si="57"/>
        <v>0.16282410698301039</v>
      </c>
      <c r="AX48" s="177">
        <f t="shared" si="97"/>
        <v>0.7271777777777777</v>
      </c>
      <c r="AY48" s="177">
        <f t="shared" si="98"/>
        <v>7117.6891748544995</v>
      </c>
      <c r="AZ48" s="177">
        <f t="shared" si="58"/>
        <v>1.0216486838829159E-4</v>
      </c>
      <c r="BA48" s="469">
        <f t="shared" si="99"/>
        <v>3.7498705811702195</v>
      </c>
      <c r="BB48" s="469">
        <f t="shared" si="100"/>
        <v>0.42645324606788793</v>
      </c>
      <c r="BC48" s="5">
        <f t="shared" si="101"/>
        <v>5.9521434192676172E-2</v>
      </c>
      <c r="BD48" s="469">
        <f t="shared" si="102"/>
        <v>7.2321554364544749</v>
      </c>
      <c r="BE48" s="5"/>
      <c r="BF48" s="177">
        <f t="shared" si="59"/>
        <v>8.6704047720293664E-2</v>
      </c>
      <c r="BG48" s="177">
        <f t="shared" si="103"/>
        <v>8982.5579972260584</v>
      </c>
      <c r="BH48" s="177"/>
      <c r="BI48" s="538">
        <f t="shared" si="104"/>
        <v>2.6311571618790361E-3</v>
      </c>
      <c r="BJ48" s="538">
        <f t="shared" si="105"/>
        <v>452.91842670014927</v>
      </c>
      <c r="BK48" s="538">
        <f t="shared" si="106"/>
        <v>4.3749999999999995E-3</v>
      </c>
      <c r="BL48" s="538">
        <f t="shared" si="107"/>
        <v>8462927.8085788898</v>
      </c>
      <c r="BM48">
        <f t="shared" si="108"/>
        <v>6.96E-3</v>
      </c>
      <c r="BN48">
        <f t="shared" si="109"/>
        <v>1.6625000000000001E-5</v>
      </c>
      <c r="BO48" s="538">
        <f t="shared" si="110"/>
        <v>8467491.2722496893</v>
      </c>
      <c r="BP48" s="469">
        <f t="shared" si="60"/>
        <v>8467491272.2496891</v>
      </c>
      <c r="BQ48" s="538">
        <f t="shared" si="111"/>
        <v>61644370.01689627</v>
      </c>
      <c r="BR48" s="538"/>
      <c r="BT48" s="469">
        <f t="shared" si="61"/>
        <v>61644370016.896271</v>
      </c>
      <c r="BU48" s="538">
        <f t="shared" si="112"/>
        <v>7.5175918910829614E-4</v>
      </c>
      <c r="BV48" s="538">
        <f t="shared" si="113"/>
        <v>2420590.4452058943</v>
      </c>
      <c r="BW48" s="538">
        <f t="shared" si="114"/>
        <v>0</v>
      </c>
      <c r="BX48" s="538">
        <f t="shared" si="115"/>
        <v>-14.000072296783623</v>
      </c>
      <c r="BY48" s="538">
        <f t="shared" si="116"/>
        <v>2.4239259259259257E-3</v>
      </c>
      <c r="BZ48" s="469">
        <f t="shared" si="62"/>
        <v>-13997.648370857696</v>
      </c>
      <c r="CA48" s="177">
        <f t="shared" si="63"/>
        <v>70111847.291497588</v>
      </c>
      <c r="CB48" s="5">
        <f t="shared" si="64"/>
        <v>0.64500000000000002</v>
      </c>
      <c r="CC48" s="177">
        <f t="shared" si="65"/>
        <v>9.1995863606989221E-9</v>
      </c>
      <c r="CD48" s="5">
        <f t="shared" si="66"/>
        <v>9.1995863606989225E-7</v>
      </c>
      <c r="CG48" s="571">
        <f t="shared" si="117"/>
        <v>-50</v>
      </c>
      <c r="CH48">
        <f t="shared" si="118"/>
        <v>-50</v>
      </c>
    </row>
    <row r="49" spans="5:86" x14ac:dyDescent="0.25">
      <c r="E49" s="174">
        <v>44</v>
      </c>
      <c r="F49" s="221">
        <f t="shared" si="119"/>
        <v>4.4000000000000004E-2</v>
      </c>
      <c r="G49" s="221"/>
      <c r="H49" s="221">
        <f t="shared" si="67"/>
        <v>0.66</v>
      </c>
      <c r="I49" s="551">
        <f t="shared" si="68"/>
        <v>24</v>
      </c>
      <c r="J49" s="176">
        <f t="shared" si="69"/>
        <v>695386.58000000007</v>
      </c>
      <c r="K49" s="451">
        <f t="shared" si="70"/>
        <v>695410.58000000007</v>
      </c>
      <c r="L49" s="451"/>
      <c r="M49" s="221">
        <f t="shared" si="71"/>
        <v>0.99996548801428931</v>
      </c>
      <c r="N49" s="176">
        <f t="shared" si="72"/>
        <v>8.0997204529157436</v>
      </c>
      <c r="O49" s="176">
        <f t="shared" si="53"/>
        <v>0.66</v>
      </c>
      <c r="P49" s="221">
        <f t="shared" si="73"/>
        <v>0.5399813635277162</v>
      </c>
      <c r="Q49" s="221">
        <f t="shared" si="74"/>
        <v>15</v>
      </c>
      <c r="R49" s="221">
        <f t="shared" si="75"/>
        <v>0.59997929280857354</v>
      </c>
      <c r="S49" s="176">
        <f t="shared" si="76"/>
        <v>184.09038442736485</v>
      </c>
      <c r="T49" s="176">
        <f t="shared" si="77"/>
        <v>15</v>
      </c>
      <c r="U49" s="221">
        <f t="shared" si="78"/>
        <v>6.1113220249695108E-2</v>
      </c>
      <c r="V49" s="221">
        <f t="shared" si="79"/>
        <v>7.6391525312118874E-2</v>
      </c>
      <c r="W49" s="221">
        <f t="shared" si="80"/>
        <v>2.6365142213283048E-6</v>
      </c>
      <c r="X49" s="201">
        <f t="shared" si="81"/>
        <v>350</v>
      </c>
      <c r="Y49" s="451">
        <f t="shared" si="54"/>
        <v>350</v>
      </c>
      <c r="AA49" s="221">
        <f t="shared" si="82"/>
        <v>2.2856354011755182</v>
      </c>
      <c r="AB49" s="177">
        <f t="shared" si="83"/>
        <v>9.8605673459021225E-5</v>
      </c>
      <c r="AC49" s="177">
        <f t="shared" si="84"/>
        <v>1.8020156525828219</v>
      </c>
      <c r="AD49" s="177"/>
      <c r="AE49" s="177">
        <f t="shared" si="85"/>
        <v>6.4712206554230591E-6</v>
      </c>
      <c r="AF49" s="555">
        <f t="shared" si="86"/>
        <v>1984.2370370370377</v>
      </c>
      <c r="AG49" s="538">
        <f t="shared" si="87"/>
        <v>7.7611695137976321E-3</v>
      </c>
      <c r="AI49" s="177">
        <f t="shared" si="88"/>
        <v>0.37647206660151683</v>
      </c>
      <c r="AJ49" s="177">
        <f t="shared" si="89"/>
        <v>0.37647206660151683</v>
      </c>
      <c r="AK49" s="177">
        <f t="shared" si="90"/>
        <v>1.3509813777343445</v>
      </c>
      <c r="AM49" s="555">
        <f t="shared" si="91"/>
        <v>44.000000000000007</v>
      </c>
      <c r="AN49" s="469">
        <f t="shared" si="92"/>
        <v>350</v>
      </c>
      <c r="AP49">
        <f t="shared" si="93"/>
        <v>44.000000000000007</v>
      </c>
      <c r="AQ49" s="469">
        <f t="shared" si="94"/>
        <v>350</v>
      </c>
      <c r="AR49" s="469"/>
      <c r="AS49" s="5">
        <f t="shared" si="55"/>
        <v>2.8571428571428572</v>
      </c>
      <c r="AT49" s="5">
        <f t="shared" si="95"/>
        <v>0.47059008325189605</v>
      </c>
      <c r="AU49" s="5">
        <f t="shared" si="56"/>
        <v>2.3865527738909611</v>
      </c>
      <c r="AV49" s="5">
        <f t="shared" si="96"/>
        <v>1.6241558757210276E-5</v>
      </c>
      <c r="AW49" s="177">
        <f t="shared" si="57"/>
        <v>0.16470652913816361</v>
      </c>
      <c r="AX49" s="177">
        <f t="shared" si="97"/>
        <v>0.74408888888888891</v>
      </c>
      <c r="AY49" s="177">
        <f t="shared" si="98"/>
        <v>7183.787906959833</v>
      </c>
      <c r="AZ49" s="177">
        <f t="shared" si="58"/>
        <v>1.0357890551974635E-4</v>
      </c>
      <c r="BA49" s="469">
        <f t="shared" si="99"/>
        <v>3.7498705811702195</v>
      </c>
      <c r="BB49" s="469">
        <f t="shared" si="100"/>
        <v>0.44344915326524126</v>
      </c>
      <c r="BC49" s="5">
        <f t="shared" si="101"/>
        <v>6.0768704890742063E-2</v>
      </c>
      <c r="BD49" s="469">
        <f t="shared" si="102"/>
        <v>7.3839112535557145</v>
      </c>
      <c r="BE49" s="5"/>
      <c r="BF49" s="177">
        <f t="shared" si="59"/>
        <v>8.8211973509399258E-2</v>
      </c>
      <c r="BG49" s="177">
        <f t="shared" si="103"/>
        <v>9076.1847328227086</v>
      </c>
      <c r="BH49" s="177"/>
      <c r="BI49" s="538">
        <f t="shared" si="104"/>
        <v>2.7234732946480348E-3</v>
      </c>
      <c r="BJ49" s="538">
        <f t="shared" si="105"/>
        <v>458.15465183102907</v>
      </c>
      <c r="BK49" s="538">
        <f t="shared" si="106"/>
        <v>4.3749999999999995E-3</v>
      </c>
      <c r="BL49" s="538">
        <f t="shared" si="107"/>
        <v>8462927.8085788898</v>
      </c>
      <c r="BM49">
        <f t="shared" si="108"/>
        <v>6.96E-3</v>
      </c>
      <c r="BN49">
        <f t="shared" si="109"/>
        <v>1.6625000000000001E-5</v>
      </c>
      <c r="BO49" s="538">
        <f t="shared" si="110"/>
        <v>8467640.8047927842</v>
      </c>
      <c r="BP49" s="469">
        <f t="shared" si="60"/>
        <v>8467640804.7927837</v>
      </c>
      <c r="BQ49" s="538">
        <f t="shared" si="111"/>
        <v>62936126.80110953</v>
      </c>
      <c r="BR49" s="538"/>
      <c r="BT49" s="469">
        <f t="shared" si="61"/>
        <v>62936126801.109528</v>
      </c>
      <c r="BU49" s="538">
        <f t="shared" si="112"/>
        <v>7.7813522704229567E-4</v>
      </c>
      <c r="BV49" s="538">
        <f t="shared" si="113"/>
        <v>2471313.8791297204</v>
      </c>
      <c r="BW49" s="538">
        <f t="shared" si="114"/>
        <v>0</v>
      </c>
      <c r="BX49" s="538">
        <f t="shared" si="115"/>
        <v>-14.000070812892927</v>
      </c>
      <c r="BY49" s="538">
        <f t="shared" si="116"/>
        <v>2.4802962962962964E-3</v>
      </c>
      <c r="BZ49" s="469">
        <f t="shared" si="62"/>
        <v>-13997.590516596631</v>
      </c>
      <c r="CA49" s="177">
        <f t="shared" si="63"/>
        <v>71403753.608311802</v>
      </c>
      <c r="CB49" s="5">
        <f t="shared" si="64"/>
        <v>0.66</v>
      </c>
      <c r="CC49" s="177">
        <f t="shared" si="65"/>
        <v>9.2432114636428975E-9</v>
      </c>
      <c r="CD49" s="5">
        <f t="shared" si="66"/>
        <v>9.2432114636428974E-7</v>
      </c>
      <c r="CG49" s="571">
        <f t="shared" si="117"/>
        <v>-50</v>
      </c>
      <c r="CH49">
        <f t="shared" si="118"/>
        <v>-50</v>
      </c>
    </row>
    <row r="50" spans="5:86" x14ac:dyDescent="0.25">
      <c r="E50" s="174">
        <v>45</v>
      </c>
      <c r="F50" s="221">
        <f t="shared" si="119"/>
        <v>4.5000000000000005E-2</v>
      </c>
      <c r="G50" s="221"/>
      <c r="H50" s="221">
        <f t="shared" si="67"/>
        <v>0.67500000000000004</v>
      </c>
      <c r="I50" s="551">
        <f t="shared" si="68"/>
        <v>24</v>
      </c>
      <c r="J50" s="176">
        <f t="shared" si="69"/>
        <v>695386.58000000007</v>
      </c>
      <c r="K50" s="451">
        <f t="shared" si="70"/>
        <v>695410.58000000007</v>
      </c>
      <c r="L50" s="451"/>
      <c r="M50" s="221">
        <f t="shared" si="71"/>
        <v>0.99996548801428931</v>
      </c>
      <c r="N50" s="176">
        <f t="shared" si="72"/>
        <v>8.0997204529157436</v>
      </c>
      <c r="O50" s="176">
        <f t="shared" si="53"/>
        <v>0.67500000000000004</v>
      </c>
      <c r="P50" s="221">
        <f t="shared" si="73"/>
        <v>0.5399813635277162</v>
      </c>
      <c r="Q50" s="221">
        <f t="shared" si="74"/>
        <v>15</v>
      </c>
      <c r="R50" s="221">
        <f t="shared" si="75"/>
        <v>0.59997929280857354</v>
      </c>
      <c r="S50" s="176">
        <f t="shared" si="76"/>
        <v>179.99947535068856</v>
      </c>
      <c r="T50" s="176">
        <f t="shared" si="77"/>
        <v>15</v>
      </c>
      <c r="U50" s="221">
        <f t="shared" si="78"/>
        <v>6.2502157073551806E-2</v>
      </c>
      <c r="V50" s="221">
        <f t="shared" si="79"/>
        <v>7.8127696341939751E-2</v>
      </c>
      <c r="W50" s="221">
        <f t="shared" si="80"/>
        <v>2.696434999085766E-6</v>
      </c>
      <c r="X50" s="201">
        <f t="shared" si="81"/>
        <v>350</v>
      </c>
      <c r="Y50" s="451">
        <f t="shared" si="54"/>
        <v>350</v>
      </c>
      <c r="AA50" s="221">
        <f t="shared" si="82"/>
        <v>2.2856354011755182</v>
      </c>
      <c r="AB50" s="177">
        <f t="shared" si="83"/>
        <v>9.8605673459021225E-5</v>
      </c>
      <c r="AC50" s="177">
        <f t="shared" si="84"/>
        <v>1.8020156525828219</v>
      </c>
      <c r="AD50" s="177"/>
      <c r="AE50" s="177">
        <f t="shared" si="85"/>
        <v>6.4712206554230591E-6</v>
      </c>
      <c r="AF50" s="555">
        <f t="shared" si="86"/>
        <v>2029.3333333333342</v>
      </c>
      <c r="AG50" s="538">
        <f t="shared" si="87"/>
        <v>7.7611695137976321E-3</v>
      </c>
      <c r="AI50" s="177">
        <f t="shared" si="88"/>
        <v>0.38072612328599276</v>
      </c>
      <c r="AJ50" s="177">
        <f t="shared" si="89"/>
        <v>0.38072612328599276</v>
      </c>
      <c r="AK50" s="177">
        <f t="shared" si="90"/>
        <v>1.353817415523995</v>
      </c>
      <c r="AM50" s="555">
        <f t="shared" si="91"/>
        <v>45.000000000000007</v>
      </c>
      <c r="AN50" s="469">
        <f t="shared" si="92"/>
        <v>350</v>
      </c>
      <c r="AP50">
        <f t="shared" si="93"/>
        <v>45.000000000000007</v>
      </c>
      <c r="AQ50" s="469">
        <f t="shared" si="94"/>
        <v>350</v>
      </c>
      <c r="AR50" s="469"/>
      <c r="AS50" s="5">
        <f t="shared" si="55"/>
        <v>2.8571428571428572</v>
      </c>
      <c r="AT50" s="5">
        <f t="shared" si="95"/>
        <v>0.47590765410749097</v>
      </c>
      <c r="AU50" s="5">
        <f t="shared" si="56"/>
        <v>2.3812352030353661</v>
      </c>
      <c r="AV50" s="5">
        <f t="shared" si="96"/>
        <v>1.6425085020449752E-5</v>
      </c>
      <c r="AW50" s="177">
        <f t="shared" si="57"/>
        <v>0.16656767893762184</v>
      </c>
      <c r="AX50" s="177">
        <f t="shared" si="97"/>
        <v>0.76100000000000001</v>
      </c>
      <c r="AY50" s="177">
        <f t="shared" si="98"/>
        <v>7248.7758817401946</v>
      </c>
      <c r="AZ50" s="177">
        <f t="shared" si="58"/>
        <v>1.0498324302134566E-4</v>
      </c>
      <c r="BA50" s="469">
        <f t="shared" si="99"/>
        <v>3.7498705811702195</v>
      </c>
      <c r="BB50" s="469">
        <f t="shared" si="100"/>
        <v>0.46076680545563714</v>
      </c>
      <c r="BC50" s="5">
        <f t="shared" si="101"/>
        <v>6.2011333412379313E-2</v>
      </c>
      <c r="BD50" s="469">
        <f t="shared" si="102"/>
        <v>7.5351100094855195</v>
      </c>
      <c r="BE50" s="5"/>
      <c r="BF50" s="177">
        <f t="shared" si="59"/>
        <v>8.9711355007267693E-2</v>
      </c>
      <c r="BG50" s="177">
        <f t="shared" si="103"/>
        <v>9168.5122878016282</v>
      </c>
      <c r="BH50" s="177"/>
      <c r="BI50" s="538">
        <f t="shared" si="104"/>
        <v>2.8168445260340048E-3</v>
      </c>
      <c r="BJ50" s="538">
        <f t="shared" si="105"/>
        <v>463.33170487706155</v>
      </c>
      <c r="BK50" s="538">
        <f t="shared" si="106"/>
        <v>4.3749999999999995E-3</v>
      </c>
      <c r="BL50" s="538">
        <f t="shared" si="107"/>
        <v>8462927.8085788898</v>
      </c>
      <c r="BM50">
        <f t="shared" si="108"/>
        <v>6.96E-3</v>
      </c>
      <c r="BN50">
        <f t="shared" si="109"/>
        <v>1.6625000000000001E-5</v>
      </c>
      <c r="BO50" s="538">
        <f t="shared" si="110"/>
        <v>8467791.9324760623</v>
      </c>
      <c r="BP50" s="469">
        <f t="shared" si="60"/>
        <v>8467791932.4760628</v>
      </c>
      <c r="BQ50" s="538">
        <f t="shared" si="111"/>
        <v>64223075.837571539</v>
      </c>
      <c r="BR50" s="538"/>
      <c r="BT50" s="469">
        <f t="shared" si="61"/>
        <v>64223075837.571541</v>
      </c>
      <c r="BU50" s="538">
        <f t="shared" si="112"/>
        <v>8.0481272172400154E-4</v>
      </c>
      <c r="BV50" s="538">
        <f t="shared" si="113"/>
        <v>2521848.5271470831</v>
      </c>
      <c r="BW50" s="538">
        <f t="shared" si="114"/>
        <v>0</v>
      </c>
      <c r="BX50" s="538">
        <f t="shared" si="115"/>
        <v>-14.000069393885274</v>
      </c>
      <c r="BY50" s="538">
        <f t="shared" si="116"/>
        <v>2.5366666666666667E-3</v>
      </c>
      <c r="BZ50" s="469">
        <f t="shared" si="62"/>
        <v>-13997.532727218608</v>
      </c>
      <c r="CA50" s="177">
        <f t="shared" si="63"/>
        <v>72690853.77251488</v>
      </c>
      <c r="CB50" s="5">
        <f t="shared" si="64"/>
        <v>0.67500000000000004</v>
      </c>
      <c r="CC50" s="177">
        <f t="shared" si="65"/>
        <v>9.2858999268934391E-9</v>
      </c>
      <c r="CD50" s="5">
        <f t="shared" si="66"/>
        <v>9.285899926893439E-7</v>
      </c>
      <c r="CG50" s="571">
        <f t="shared" si="117"/>
        <v>-50</v>
      </c>
      <c r="CH50">
        <f t="shared" si="118"/>
        <v>-50</v>
      </c>
    </row>
    <row r="51" spans="5:86" x14ac:dyDescent="0.25">
      <c r="E51" s="174">
        <v>46</v>
      </c>
      <c r="F51" s="221">
        <f t="shared" si="119"/>
        <v>4.6000000000000006E-2</v>
      </c>
      <c r="G51" s="221"/>
      <c r="H51" s="221">
        <f t="shared" si="67"/>
        <v>0.69000000000000006</v>
      </c>
      <c r="I51" s="551">
        <f t="shared" si="68"/>
        <v>24</v>
      </c>
      <c r="J51" s="176">
        <f t="shared" si="69"/>
        <v>695386.58000000007</v>
      </c>
      <c r="K51" s="451">
        <f t="shared" si="70"/>
        <v>695410.58000000007</v>
      </c>
      <c r="L51" s="451"/>
      <c r="M51" s="221">
        <f t="shared" si="71"/>
        <v>0.99996548801428931</v>
      </c>
      <c r="N51" s="176">
        <f t="shared" si="72"/>
        <v>8.0997204529157436</v>
      </c>
      <c r="O51" s="176">
        <f t="shared" si="53"/>
        <v>0.69000000000000006</v>
      </c>
      <c r="P51" s="221">
        <f t="shared" si="73"/>
        <v>0.5399813635277162</v>
      </c>
      <c r="Q51" s="221">
        <f t="shared" si="74"/>
        <v>15</v>
      </c>
      <c r="R51" s="221">
        <f t="shared" si="75"/>
        <v>0.59997929280857354</v>
      </c>
      <c r="S51" s="176">
        <f t="shared" si="76"/>
        <v>176.08643188665977</v>
      </c>
      <c r="T51" s="176">
        <f t="shared" si="77"/>
        <v>15</v>
      </c>
      <c r="U51" s="221">
        <f t="shared" si="78"/>
        <v>6.3891093897408519E-2</v>
      </c>
      <c r="V51" s="221">
        <f t="shared" si="79"/>
        <v>7.9863867371760655E-2</v>
      </c>
      <c r="W51" s="221">
        <f t="shared" si="80"/>
        <v>2.7563557768432282E-6</v>
      </c>
      <c r="X51" s="201">
        <f t="shared" si="81"/>
        <v>350</v>
      </c>
      <c r="Y51" s="451">
        <f t="shared" si="54"/>
        <v>350</v>
      </c>
      <c r="AA51" s="221">
        <f t="shared" si="82"/>
        <v>2.2856354011755182</v>
      </c>
      <c r="AB51" s="177">
        <f t="shared" si="83"/>
        <v>9.8605673459021225E-5</v>
      </c>
      <c r="AC51" s="177">
        <f t="shared" si="84"/>
        <v>1.8020156525828219</v>
      </c>
      <c r="AD51" s="177"/>
      <c r="AE51" s="177">
        <f t="shared" si="85"/>
        <v>6.4712206554230591E-6</v>
      </c>
      <c r="AF51" s="555">
        <f t="shared" si="86"/>
        <v>2074.4296296296302</v>
      </c>
      <c r="AG51" s="538">
        <f t="shared" si="87"/>
        <v>7.7611695137976321E-3</v>
      </c>
      <c r="AI51" s="177">
        <f t="shared" si="88"/>
        <v>0.38493316948990636</v>
      </c>
      <c r="AJ51" s="177">
        <f t="shared" si="89"/>
        <v>0.38493316948990636</v>
      </c>
      <c r="AK51" s="177">
        <f t="shared" si="90"/>
        <v>1.356622112993271</v>
      </c>
      <c r="AM51" s="555">
        <f t="shared" si="91"/>
        <v>46.000000000000007</v>
      </c>
      <c r="AN51" s="469">
        <f t="shared" si="92"/>
        <v>350</v>
      </c>
      <c r="AP51">
        <f t="shared" si="93"/>
        <v>46.000000000000007</v>
      </c>
      <c r="AQ51" s="469">
        <f t="shared" si="94"/>
        <v>350</v>
      </c>
      <c r="AR51" s="469"/>
      <c r="AS51" s="5">
        <f t="shared" si="55"/>
        <v>2.8571428571428572</v>
      </c>
      <c r="AT51" s="5">
        <f t="shared" si="95"/>
        <v>0.48116646186238293</v>
      </c>
      <c r="AU51" s="5">
        <f t="shared" si="56"/>
        <v>2.3759763952804742</v>
      </c>
      <c r="AV51" s="5">
        <f t="shared" si="96"/>
        <v>1.6606583182403647E-5</v>
      </c>
      <c r="AW51" s="177">
        <f t="shared" si="57"/>
        <v>0.16840826165183403</v>
      </c>
      <c r="AX51" s="177">
        <f t="shared" si="97"/>
        <v>0.77791111111111111</v>
      </c>
      <c r="AY51" s="177">
        <f t="shared" si="98"/>
        <v>7312.6899255973512</v>
      </c>
      <c r="AZ51" s="177">
        <f t="shared" si="58"/>
        <v>1.0637824371413724E-4</v>
      </c>
      <c r="BA51" s="469">
        <f t="shared" si="99"/>
        <v>3.7498705811702195</v>
      </c>
      <c r="BB51" s="469">
        <f t="shared" si="100"/>
        <v>0.47840620263907568</v>
      </c>
      <c r="BC51" s="5">
        <f t="shared" si="101"/>
        <v>6.3249371633623735E-2</v>
      </c>
      <c r="BD51" s="469">
        <f t="shared" si="102"/>
        <v>7.6857579293681804</v>
      </c>
      <c r="BE51" s="5"/>
      <c r="BF51" s="177">
        <f t="shared" si="59"/>
        <v>9.1202428936559499E-2</v>
      </c>
      <c r="BG51" s="177">
        <f t="shared" si="103"/>
        <v>9259.5833220306813</v>
      </c>
      <c r="BH51" s="177"/>
      <c r="BI51" s="538">
        <f t="shared" si="104"/>
        <v>2.9112590653748646E-3</v>
      </c>
      <c r="BJ51" s="538">
        <f t="shared" si="105"/>
        <v>468.45154764837474</v>
      </c>
      <c r="BK51" s="538">
        <f t="shared" si="106"/>
        <v>4.3749999999999995E-3</v>
      </c>
      <c r="BL51" s="538">
        <f t="shared" si="107"/>
        <v>8462927.8085788898</v>
      </c>
      <c r="BM51">
        <f t="shared" si="108"/>
        <v>6.96E-3</v>
      </c>
      <c r="BN51">
        <f t="shared" si="109"/>
        <v>1.6625000000000001E-5</v>
      </c>
      <c r="BO51" s="538">
        <f t="shared" si="110"/>
        <v>8467944.6390022896</v>
      </c>
      <c r="BP51" s="469">
        <f t="shared" si="60"/>
        <v>8467944639.0022898</v>
      </c>
      <c r="BQ51" s="538">
        <f t="shared" si="111"/>
        <v>65505270.852567337</v>
      </c>
      <c r="BR51" s="538"/>
      <c r="BT51" s="469">
        <f t="shared" si="61"/>
        <v>65505270852.567337</v>
      </c>
      <c r="BU51" s="538">
        <f t="shared" si="112"/>
        <v>8.3178830439281865E-4</v>
      </c>
      <c r="BV51" s="538">
        <f t="shared" si="113"/>
        <v>2572196.4989288622</v>
      </c>
      <c r="BW51" s="538">
        <f t="shared" si="114"/>
        <v>0</v>
      </c>
      <c r="BX51" s="538">
        <f t="shared" si="115"/>
        <v>-14.000068035568226</v>
      </c>
      <c r="BY51" s="538">
        <f t="shared" si="116"/>
        <v>2.5930370370370374E-3</v>
      </c>
      <c r="BZ51" s="469">
        <f t="shared" si="62"/>
        <v>-13997.474998531188</v>
      </c>
      <c r="CA51" s="177">
        <f t="shared" si="63"/>
        <v>73973201.494094625</v>
      </c>
      <c r="CB51" s="5">
        <f t="shared" si="64"/>
        <v>0.69000000000000006</v>
      </c>
      <c r="CC51" s="177">
        <f t="shared" si="65"/>
        <v>9.3277021898122006E-9</v>
      </c>
      <c r="CD51" s="5">
        <f t="shared" si="66"/>
        <v>9.3277021898122007E-7</v>
      </c>
      <c r="CG51" s="571">
        <f t="shared" si="117"/>
        <v>-50</v>
      </c>
      <c r="CH51">
        <f t="shared" si="118"/>
        <v>-50</v>
      </c>
    </row>
    <row r="52" spans="5:86" x14ac:dyDescent="0.25">
      <c r="E52" s="174">
        <v>47</v>
      </c>
      <c r="F52" s="221">
        <f t="shared" si="119"/>
        <v>4.7E-2</v>
      </c>
      <c r="G52" s="221"/>
      <c r="H52" s="221">
        <f t="shared" si="67"/>
        <v>0.70499999999999996</v>
      </c>
      <c r="I52" s="551">
        <f t="shared" si="68"/>
        <v>24</v>
      </c>
      <c r="J52" s="176">
        <f t="shared" si="69"/>
        <v>695386.58000000007</v>
      </c>
      <c r="K52" s="451">
        <f t="shared" si="70"/>
        <v>695410.58000000007</v>
      </c>
      <c r="L52" s="451"/>
      <c r="M52" s="221">
        <f t="shared" si="71"/>
        <v>0.99996548801428931</v>
      </c>
      <c r="N52" s="176">
        <f t="shared" si="72"/>
        <v>8.0997204529157436</v>
      </c>
      <c r="O52" s="176">
        <f t="shared" si="53"/>
        <v>0.70499999999999996</v>
      </c>
      <c r="P52" s="221">
        <f t="shared" si="73"/>
        <v>0.5399813635277162</v>
      </c>
      <c r="Q52" s="221">
        <f t="shared" si="74"/>
        <v>15</v>
      </c>
      <c r="R52" s="221">
        <f t="shared" si="75"/>
        <v>0.59997929280857354</v>
      </c>
      <c r="S52" s="176">
        <f t="shared" si="76"/>
        <v>172.33990091106679</v>
      </c>
      <c r="T52" s="176">
        <f t="shared" si="77"/>
        <v>15</v>
      </c>
      <c r="U52" s="221">
        <f t="shared" si="78"/>
        <v>6.5280030721265217E-2</v>
      </c>
      <c r="V52" s="221">
        <f t="shared" si="79"/>
        <v>8.1600038401581518E-2</v>
      </c>
      <c r="W52" s="221">
        <f t="shared" si="80"/>
        <v>2.8162765546006886E-6</v>
      </c>
      <c r="X52" s="201">
        <f t="shared" si="81"/>
        <v>350</v>
      </c>
      <c r="Y52" s="451">
        <f t="shared" si="54"/>
        <v>350</v>
      </c>
      <c r="AA52" s="221">
        <f t="shared" si="82"/>
        <v>2.2856354011755182</v>
      </c>
      <c r="AB52" s="177">
        <f t="shared" si="83"/>
        <v>9.8605673459021225E-5</v>
      </c>
      <c r="AC52" s="177">
        <f t="shared" si="84"/>
        <v>1.8020156525828219</v>
      </c>
      <c r="AD52" s="177"/>
      <c r="AE52" s="177">
        <f t="shared" si="85"/>
        <v>6.4712206554230591E-6</v>
      </c>
      <c r="AF52" s="555">
        <f t="shared" si="86"/>
        <v>2119.5259259259265</v>
      </c>
      <c r="AG52" s="538">
        <f t="shared" si="87"/>
        <v>7.7611695137976321E-3</v>
      </c>
      <c r="AI52" s="177">
        <f t="shared" si="88"/>
        <v>0.38909473010400564</v>
      </c>
      <c r="AJ52" s="177">
        <f t="shared" si="89"/>
        <v>0.38909473010400564</v>
      </c>
      <c r="AK52" s="177">
        <f t="shared" si="90"/>
        <v>1.3593964867360038</v>
      </c>
      <c r="AM52" s="555">
        <f t="shared" si="91"/>
        <v>47</v>
      </c>
      <c r="AN52" s="469">
        <f t="shared" si="92"/>
        <v>350</v>
      </c>
      <c r="AP52">
        <f t="shared" si="93"/>
        <v>47</v>
      </c>
      <c r="AQ52" s="469">
        <f t="shared" si="94"/>
        <v>350</v>
      </c>
      <c r="AR52" s="469"/>
      <c r="AS52" s="5">
        <f t="shared" si="55"/>
        <v>2.8571428571428572</v>
      </c>
      <c r="AT52" s="5">
        <f t="shared" si="95"/>
        <v>0.48636841263000702</v>
      </c>
      <c r="AU52" s="5">
        <f t="shared" si="56"/>
        <v>2.37077444451285</v>
      </c>
      <c r="AV52" s="5">
        <f t="shared" si="96"/>
        <v>1.6786119029102009E-5</v>
      </c>
      <c r="AW52" s="177">
        <f t="shared" si="57"/>
        <v>0.17022894442050246</v>
      </c>
      <c r="AX52" s="177">
        <f t="shared" si="97"/>
        <v>0.79482222222222221</v>
      </c>
      <c r="AY52" s="177">
        <f t="shared" si="98"/>
        <v>7375.5648738979935</v>
      </c>
      <c r="AZ52" s="177">
        <f t="shared" si="58"/>
        <v>1.0776425071320102E-4</v>
      </c>
      <c r="BA52" s="469">
        <f t="shared" si="99"/>
        <v>3.7498705811702195</v>
      </c>
      <c r="BB52" s="469">
        <f t="shared" si="100"/>
        <v>0.49636734481555667</v>
      </c>
      <c r="BC52" s="5">
        <f t="shared" si="101"/>
        <v>6.4482869729226802E-2</v>
      </c>
      <c r="BD52" s="469">
        <f t="shared" si="102"/>
        <v>7.8358610341738837</v>
      </c>
      <c r="BE52" s="5"/>
      <c r="BF52" s="177">
        <f t="shared" si="59"/>
        <v>9.2685420469849636E-2</v>
      </c>
      <c r="BG52" s="177">
        <f t="shared" si="103"/>
        <v>9349.4381916043367</v>
      </c>
      <c r="BH52" s="177"/>
      <c r="BI52" s="538">
        <f t="shared" si="104"/>
        <v>3.0067055086854875E-3</v>
      </c>
      <c r="BJ52" s="538">
        <f t="shared" si="105"/>
        <v>473.51603588899764</v>
      </c>
      <c r="BK52" s="538">
        <f t="shared" si="106"/>
        <v>4.3749999999999995E-3</v>
      </c>
      <c r="BL52" s="538">
        <f t="shared" si="107"/>
        <v>8462927.8085788898</v>
      </c>
      <c r="BM52">
        <f t="shared" si="108"/>
        <v>6.96E-3</v>
      </c>
      <c r="BN52">
        <f t="shared" si="109"/>
        <v>1.6625000000000001E-5</v>
      </c>
      <c r="BO52" s="538">
        <f t="shared" si="110"/>
        <v>8468098.9085719474</v>
      </c>
      <c r="BP52" s="469">
        <f t="shared" si="60"/>
        <v>8468098908.5719471</v>
      </c>
      <c r="BQ52" s="538">
        <f t="shared" si="111"/>
        <v>66782763.810418621</v>
      </c>
      <c r="BR52" s="538"/>
      <c r="BT52" s="469">
        <f t="shared" si="61"/>
        <v>66782763810.418617</v>
      </c>
      <c r="BU52" s="538">
        <f t="shared" si="112"/>
        <v>8.5905871676728225E-4</v>
      </c>
      <c r="BV52" s="538">
        <f t="shared" si="113"/>
        <v>2622359.8349588928</v>
      </c>
      <c r="BW52" s="538">
        <f t="shared" si="114"/>
        <v>0</v>
      </c>
      <c r="BX52" s="538">
        <f t="shared" si="115"/>
        <v>-14.000066734104065</v>
      </c>
      <c r="BY52" s="538">
        <f t="shared" si="116"/>
        <v>2.649407407407408E-3</v>
      </c>
      <c r="BZ52" s="469">
        <f t="shared" si="62"/>
        <v>-13997.417326696657</v>
      </c>
      <c r="CA52" s="177">
        <f t="shared" si="63"/>
        <v>75250848.721573249</v>
      </c>
      <c r="CB52" s="5">
        <f t="shared" si="64"/>
        <v>0.70499999999999996</v>
      </c>
      <c r="CC52" s="177">
        <f t="shared" si="65"/>
        <v>9.368665010059595E-9</v>
      </c>
      <c r="CD52" s="5">
        <f t="shared" si="66"/>
        <v>9.3686650100595952E-7</v>
      </c>
      <c r="CG52" s="571">
        <f t="shared" si="117"/>
        <v>-50</v>
      </c>
      <c r="CH52">
        <f t="shared" si="118"/>
        <v>-50</v>
      </c>
    </row>
    <row r="53" spans="5:86" x14ac:dyDescent="0.25">
      <c r="E53" s="174">
        <v>48</v>
      </c>
      <c r="F53" s="221">
        <f t="shared" si="119"/>
        <v>4.8000000000000001E-2</v>
      </c>
      <c r="G53" s="221"/>
      <c r="H53" s="221">
        <f t="shared" si="67"/>
        <v>0.72</v>
      </c>
      <c r="I53" s="551">
        <f t="shared" si="68"/>
        <v>24</v>
      </c>
      <c r="J53" s="176">
        <f t="shared" si="69"/>
        <v>695386.58000000007</v>
      </c>
      <c r="K53" s="451">
        <f t="shared" si="70"/>
        <v>695410.58000000007</v>
      </c>
      <c r="L53" s="451"/>
      <c r="M53" s="221">
        <f t="shared" si="71"/>
        <v>0.99996548801428931</v>
      </c>
      <c r="N53" s="176">
        <f t="shared" si="72"/>
        <v>8.0997204529157436</v>
      </c>
      <c r="O53" s="176">
        <f t="shared" si="53"/>
        <v>0.72</v>
      </c>
      <c r="P53" s="221">
        <f t="shared" si="73"/>
        <v>0.5399813635277162</v>
      </c>
      <c r="Q53" s="221">
        <f t="shared" si="74"/>
        <v>15</v>
      </c>
      <c r="R53" s="221">
        <f t="shared" si="75"/>
        <v>0.59997929280857354</v>
      </c>
      <c r="S53" s="176">
        <f t="shared" si="76"/>
        <v>168.7494753933824</v>
      </c>
      <c r="T53" s="176">
        <f t="shared" si="77"/>
        <v>15</v>
      </c>
      <c r="U53" s="221">
        <f t="shared" si="78"/>
        <v>6.6668967545121929E-2</v>
      </c>
      <c r="V53" s="221">
        <f t="shared" si="79"/>
        <v>8.3336209431402422E-2</v>
      </c>
      <c r="W53" s="221">
        <f t="shared" si="80"/>
        <v>2.8761973323581507E-6</v>
      </c>
      <c r="X53" s="201">
        <f t="shared" si="81"/>
        <v>350</v>
      </c>
      <c r="Y53" s="451">
        <f t="shared" si="54"/>
        <v>350</v>
      </c>
      <c r="AA53" s="221">
        <f t="shared" si="82"/>
        <v>2.2856354011755182</v>
      </c>
      <c r="AB53" s="177">
        <f t="shared" si="83"/>
        <v>9.8605673459021225E-5</v>
      </c>
      <c r="AC53" s="177">
        <f t="shared" si="84"/>
        <v>1.8020156525828219</v>
      </c>
      <c r="AD53" s="177"/>
      <c r="AE53" s="177">
        <f t="shared" si="85"/>
        <v>6.4712206554230591E-6</v>
      </c>
      <c r="AF53" s="555">
        <f t="shared" si="86"/>
        <v>2164.6222222222232</v>
      </c>
      <c r="AG53" s="538">
        <f t="shared" si="87"/>
        <v>7.7611695137976321E-3</v>
      </c>
      <c r="AI53" s="177">
        <f t="shared" si="88"/>
        <v>0.39321224932073645</v>
      </c>
      <c r="AJ53" s="177">
        <f t="shared" si="89"/>
        <v>0.39321224932073645</v>
      </c>
      <c r="AK53" s="177">
        <f t="shared" si="90"/>
        <v>1.3621414995471577</v>
      </c>
      <c r="AM53" s="555">
        <f t="shared" si="91"/>
        <v>48</v>
      </c>
      <c r="AN53" s="469">
        <f t="shared" si="92"/>
        <v>350</v>
      </c>
      <c r="AP53">
        <f t="shared" si="93"/>
        <v>48</v>
      </c>
      <c r="AQ53" s="469">
        <f t="shared" si="94"/>
        <v>350</v>
      </c>
      <c r="AR53" s="469"/>
      <c r="AS53" s="5">
        <f t="shared" si="55"/>
        <v>2.8571428571428572</v>
      </c>
      <c r="AT53" s="5">
        <f t="shared" si="95"/>
        <v>0.49151531165092061</v>
      </c>
      <c r="AU53" s="5">
        <f t="shared" si="56"/>
        <v>2.3656275454919364</v>
      </c>
      <c r="AV53" s="5">
        <f t="shared" si="96"/>
        <v>1.6963754865131411E-5</v>
      </c>
      <c r="AW53" s="177">
        <f t="shared" si="57"/>
        <v>0.17203035907782221</v>
      </c>
      <c r="AX53" s="177">
        <f t="shared" si="97"/>
        <v>0.81173333333333342</v>
      </c>
      <c r="AY53" s="177">
        <f t="shared" si="98"/>
        <v>7437.4337184964525</v>
      </c>
      <c r="AZ53" s="177">
        <f t="shared" si="58"/>
        <v>1.0914158889437915E-4</v>
      </c>
      <c r="BA53" s="469">
        <f t="shared" si="99"/>
        <v>3.7498705811702195</v>
      </c>
      <c r="BB53" s="469">
        <f t="shared" si="100"/>
        <v>0.51465023198508031</v>
      </c>
      <c r="BC53" s="5">
        <f t="shared" si="101"/>
        <v>6.5711876263664898E-2</v>
      </c>
      <c r="BD53" s="469">
        <f t="shared" si="102"/>
        <v>7.9854251516397881</v>
      </c>
      <c r="BE53" s="5"/>
      <c r="BF53" s="177">
        <f t="shared" si="59"/>
        <v>9.4160544026415494E-2</v>
      </c>
      <c r="BG53" s="177">
        <f t="shared" si="103"/>
        <v>9438.1151194417853</v>
      </c>
      <c r="BH53" s="177"/>
      <c r="BI53" s="538">
        <f t="shared" si="104"/>
        <v>3.1031728179726852E-3</v>
      </c>
      <c r="BJ53" s="538">
        <f t="shared" si="105"/>
        <v>478.52692713566643</v>
      </c>
      <c r="BK53" s="538">
        <f t="shared" si="106"/>
        <v>4.3749999999999995E-3</v>
      </c>
      <c r="BL53" s="538">
        <f t="shared" si="107"/>
        <v>8462927.8085788898</v>
      </c>
      <c r="BM53">
        <f t="shared" si="108"/>
        <v>6.96E-3</v>
      </c>
      <c r="BN53">
        <f t="shared" si="109"/>
        <v>1.6625000000000001E-5</v>
      </c>
      <c r="BO53" s="538">
        <f t="shared" si="110"/>
        <v>8468254.7258587889</v>
      </c>
      <c r="BP53" s="469">
        <f t="shared" si="60"/>
        <v>8468254725.8587885</v>
      </c>
      <c r="BQ53" s="538">
        <f t="shared" si="111"/>
        <v>68055605.007738397</v>
      </c>
      <c r="BR53" s="538"/>
      <c r="BT53" s="469">
        <f t="shared" si="61"/>
        <v>68055605007.738396</v>
      </c>
      <c r="BU53" s="538">
        <f t="shared" si="112"/>
        <v>8.866208051350531E-4</v>
      </c>
      <c r="BV53" s="538">
        <f t="shared" si="113"/>
        <v>2672340.5102350689</v>
      </c>
      <c r="BW53" s="538">
        <f t="shared" si="114"/>
        <v>0</v>
      </c>
      <c r="BX53" s="538">
        <f t="shared" si="115"/>
        <v>-14.000065485973009</v>
      </c>
      <c r="BY53" s="538">
        <f t="shared" si="116"/>
        <v>2.7057777777777779E-3</v>
      </c>
      <c r="BZ53" s="469">
        <f t="shared" si="62"/>
        <v>-13997.359708195232</v>
      </c>
      <c r="CA53" s="177">
        <f t="shared" si="63"/>
        <v>76523845.736237481</v>
      </c>
      <c r="CB53" s="5">
        <f t="shared" si="64"/>
        <v>0.72</v>
      </c>
      <c r="CC53" s="177">
        <f t="shared" si="65"/>
        <v>9.4088318000553477E-9</v>
      </c>
      <c r="CD53" s="5">
        <f t="shared" si="66"/>
        <v>9.4088318000553476E-7</v>
      </c>
      <c r="CG53" s="571">
        <f t="shared" si="117"/>
        <v>-50</v>
      </c>
      <c r="CH53">
        <f t="shared" si="118"/>
        <v>-50</v>
      </c>
    </row>
    <row r="54" spans="5:86" x14ac:dyDescent="0.25">
      <c r="E54" s="174">
        <v>49</v>
      </c>
      <c r="F54" s="221">
        <f t="shared" si="119"/>
        <v>4.9000000000000002E-2</v>
      </c>
      <c r="G54" s="221"/>
      <c r="H54" s="221">
        <f t="shared" si="67"/>
        <v>0.73499999999999999</v>
      </c>
      <c r="I54" s="551">
        <f t="shared" si="68"/>
        <v>24</v>
      </c>
      <c r="J54" s="176">
        <f t="shared" si="69"/>
        <v>695386.58000000007</v>
      </c>
      <c r="K54" s="451">
        <f t="shared" si="70"/>
        <v>695410.58000000007</v>
      </c>
      <c r="L54" s="451"/>
      <c r="M54" s="221">
        <f t="shared" si="71"/>
        <v>0.99996548801428931</v>
      </c>
      <c r="N54" s="176">
        <f t="shared" si="72"/>
        <v>8.0997204529157436</v>
      </c>
      <c r="O54" s="176">
        <f t="shared" si="53"/>
        <v>0.73499999999999999</v>
      </c>
      <c r="P54" s="221">
        <f t="shared" si="73"/>
        <v>0.5399813635277162</v>
      </c>
      <c r="Q54" s="221">
        <f t="shared" si="74"/>
        <v>15</v>
      </c>
      <c r="R54" s="221">
        <f t="shared" si="75"/>
        <v>0.59997929280857354</v>
      </c>
      <c r="S54" s="176">
        <f t="shared" si="76"/>
        <v>165.30559785659167</v>
      </c>
      <c r="T54" s="176">
        <f t="shared" si="77"/>
        <v>15</v>
      </c>
      <c r="U54" s="221">
        <f t="shared" si="78"/>
        <v>6.8057904368978628E-2</v>
      </c>
      <c r="V54" s="221">
        <f t="shared" si="79"/>
        <v>8.5072380461223285E-2</v>
      </c>
      <c r="W54" s="221">
        <f t="shared" si="80"/>
        <v>2.9361181101156119E-6</v>
      </c>
      <c r="X54" s="201">
        <f t="shared" si="81"/>
        <v>350</v>
      </c>
      <c r="Y54" s="451">
        <f t="shared" si="54"/>
        <v>350</v>
      </c>
      <c r="AA54" s="221">
        <f t="shared" si="82"/>
        <v>2.2856354011755182</v>
      </c>
      <c r="AB54" s="177">
        <f t="shared" si="83"/>
        <v>9.8605673459021225E-5</v>
      </c>
      <c r="AC54" s="177">
        <f t="shared" si="84"/>
        <v>1.8020156525828219</v>
      </c>
      <c r="AD54" s="177"/>
      <c r="AE54" s="177">
        <f t="shared" si="85"/>
        <v>6.4712206554230591E-6</v>
      </c>
      <c r="AF54" s="555">
        <f t="shared" si="86"/>
        <v>2209.718518518519</v>
      </c>
      <c r="AG54" s="538">
        <f t="shared" si="87"/>
        <v>7.7611695137976321E-3</v>
      </c>
      <c r="AI54" s="177">
        <f t="shared" si="88"/>
        <v>0.39728709648947452</v>
      </c>
      <c r="AJ54" s="177">
        <f t="shared" si="89"/>
        <v>0.39728709648947452</v>
      </c>
      <c r="AK54" s="177">
        <f t="shared" si="90"/>
        <v>1.3648580643263164</v>
      </c>
      <c r="AM54" s="555">
        <f t="shared" si="91"/>
        <v>49</v>
      </c>
      <c r="AN54" s="469">
        <f t="shared" si="92"/>
        <v>350</v>
      </c>
      <c r="AP54">
        <f t="shared" si="93"/>
        <v>49</v>
      </c>
      <c r="AQ54" s="469">
        <f t="shared" si="94"/>
        <v>350</v>
      </c>
      <c r="AR54" s="469"/>
      <c r="AS54" s="5">
        <f t="shared" si="55"/>
        <v>2.8571428571428572</v>
      </c>
      <c r="AT54" s="5">
        <f t="shared" si="95"/>
        <v>0.49660887061184317</v>
      </c>
      <c r="AU54" s="5">
        <f t="shared" si="56"/>
        <v>2.360533986531014</v>
      </c>
      <c r="AV54" s="5">
        <f t="shared" si="96"/>
        <v>1.7139549766238277E-5</v>
      </c>
      <c r="AW54" s="177">
        <f t="shared" si="57"/>
        <v>0.1738131047141451</v>
      </c>
      <c r="AX54" s="177">
        <f t="shared" si="97"/>
        <v>0.82864444444444463</v>
      </c>
      <c r="AY54" s="177">
        <f t="shared" si="98"/>
        <v>7498.3277414945414</v>
      </c>
      <c r="AZ54" s="177">
        <f t="shared" si="58"/>
        <v>1.1051056622383407E-4</v>
      </c>
      <c r="BA54" s="469">
        <f t="shared" si="99"/>
        <v>3.7498705811702195</v>
      </c>
      <c r="BB54" s="469">
        <f t="shared" si="100"/>
        <v>0.53325486414764678</v>
      </c>
      <c r="BC54" s="5">
        <f t="shared" si="101"/>
        <v>6.6936438275474339E-2</v>
      </c>
      <c r="BD54" s="469">
        <f t="shared" si="102"/>
        <v>8.1344559263902543</v>
      </c>
      <c r="BE54" s="5"/>
      <c r="BF54" s="177">
        <f t="shared" si="59"/>
        <v>9.5628003998635108E-2</v>
      </c>
      <c r="BG54" s="177">
        <f t="shared" si="103"/>
        <v>9525.6503499744667</v>
      </c>
      <c r="BH54" s="177"/>
      <c r="BI54" s="538">
        <f t="shared" si="104"/>
        <v>3.20065030206704E-3</v>
      </c>
      <c r="BJ54" s="538">
        <f t="shared" si="105"/>
        <v>483.48588784345765</v>
      </c>
      <c r="BK54" s="538">
        <f t="shared" si="106"/>
        <v>4.3749999999999995E-3</v>
      </c>
      <c r="BL54" s="538">
        <f t="shared" si="107"/>
        <v>8462927.8085788898</v>
      </c>
      <c r="BM54">
        <f t="shared" si="108"/>
        <v>6.96E-3</v>
      </c>
      <c r="BN54">
        <f t="shared" si="109"/>
        <v>1.6625000000000001E-5</v>
      </c>
      <c r="BO54" s="538">
        <f t="shared" si="110"/>
        <v>8468412.0759870335</v>
      </c>
      <c r="BP54" s="469">
        <f t="shared" si="60"/>
        <v>8468412075.9870338</v>
      </c>
      <c r="BQ54" s="538">
        <f t="shared" si="111"/>
        <v>69323843.160774544</v>
      </c>
      <c r="BR54" s="538"/>
      <c r="BT54" s="469">
        <f t="shared" si="61"/>
        <v>69323843160.774551</v>
      </c>
      <c r="BU54" s="538">
        <f t="shared" si="112"/>
        <v>9.1447151487629723E-4</v>
      </c>
      <c r="BV54" s="538">
        <f t="shared" si="113"/>
        <v>2722140.4376990604</v>
      </c>
      <c r="BW54" s="538">
        <f t="shared" si="114"/>
        <v>0</v>
      </c>
      <c r="BX54" s="538">
        <f t="shared" si="115"/>
        <v>-14.000064287940885</v>
      </c>
      <c r="BY54" s="538">
        <f t="shared" si="116"/>
        <v>2.7621481481481486E-3</v>
      </c>
      <c r="BZ54" s="469">
        <f t="shared" si="62"/>
        <v>-13997.302139792737</v>
      </c>
      <c r="CA54" s="177">
        <f t="shared" si="63"/>
        <v>77792241.23945944</v>
      </c>
      <c r="CB54" s="5">
        <f t="shared" si="64"/>
        <v>0.73499999999999999</v>
      </c>
      <c r="CC54" s="177">
        <f t="shared" si="65"/>
        <v>9.4482429268629825E-9</v>
      </c>
      <c r="CD54" s="5">
        <f t="shared" si="66"/>
        <v>9.4482429268629825E-7</v>
      </c>
      <c r="CG54" s="571">
        <f t="shared" si="117"/>
        <v>-50</v>
      </c>
      <c r="CH54">
        <f t="shared" si="118"/>
        <v>-50</v>
      </c>
    </row>
    <row r="55" spans="5:86" x14ac:dyDescent="0.25">
      <c r="E55" s="174">
        <v>50</v>
      </c>
      <c r="F55" s="221">
        <f t="shared" si="119"/>
        <v>0.05</v>
      </c>
      <c r="G55" s="221"/>
      <c r="H55" s="221">
        <f t="shared" si="67"/>
        <v>0.75</v>
      </c>
      <c r="I55" s="551">
        <f t="shared" si="68"/>
        <v>24</v>
      </c>
      <c r="J55" s="176">
        <f t="shared" si="69"/>
        <v>695386.58000000007</v>
      </c>
      <c r="K55" s="451">
        <f t="shared" si="70"/>
        <v>695410.58000000007</v>
      </c>
      <c r="L55" s="451"/>
      <c r="M55" s="221">
        <f t="shared" si="71"/>
        <v>0.99996548801428931</v>
      </c>
      <c r="N55" s="176">
        <f t="shared" si="72"/>
        <v>8.0997204529157436</v>
      </c>
      <c r="O55" s="176">
        <f t="shared" si="53"/>
        <v>0.75</v>
      </c>
      <c r="P55" s="221">
        <f t="shared" si="73"/>
        <v>0.5399813635277162</v>
      </c>
      <c r="Q55" s="221">
        <f t="shared" si="74"/>
        <v>15</v>
      </c>
      <c r="R55" s="221">
        <f t="shared" si="75"/>
        <v>0.59997929280857354</v>
      </c>
      <c r="S55" s="176">
        <f t="shared" si="76"/>
        <v>161.99947542184105</v>
      </c>
      <c r="T55" s="176">
        <f t="shared" si="77"/>
        <v>15</v>
      </c>
      <c r="U55" s="221">
        <f t="shared" si="78"/>
        <v>6.944684119283534E-2</v>
      </c>
      <c r="V55" s="221">
        <f t="shared" si="79"/>
        <v>8.6808551491044175E-2</v>
      </c>
      <c r="W55" s="221">
        <f t="shared" si="80"/>
        <v>2.9960388878730732E-6</v>
      </c>
      <c r="X55" s="201">
        <f t="shared" si="81"/>
        <v>350</v>
      </c>
      <c r="Y55" s="451">
        <f t="shared" si="54"/>
        <v>350</v>
      </c>
      <c r="AA55" s="221">
        <f t="shared" si="82"/>
        <v>2.2856354011755182</v>
      </c>
      <c r="AB55" s="177">
        <f t="shared" si="83"/>
        <v>9.8605673459021225E-5</v>
      </c>
      <c r="AC55" s="177">
        <f t="shared" si="84"/>
        <v>1.8020156525828219</v>
      </c>
      <c r="AD55" s="177"/>
      <c r="AE55" s="177">
        <f t="shared" si="85"/>
        <v>6.4712206554230591E-6</v>
      </c>
      <c r="AF55" s="555">
        <f t="shared" si="86"/>
        <v>2254.8148148148152</v>
      </c>
      <c r="AG55" s="538">
        <f t="shared" si="87"/>
        <v>7.7611695137976321E-3</v>
      </c>
      <c r="AI55" s="177">
        <f t="shared" si="88"/>
        <v>0.40132057143660238</v>
      </c>
      <c r="AJ55" s="177">
        <f t="shared" si="89"/>
        <v>0.40132057143660238</v>
      </c>
      <c r="AK55" s="177">
        <f t="shared" si="90"/>
        <v>1.3675470476244016</v>
      </c>
      <c r="AM55" s="555">
        <f t="shared" si="91"/>
        <v>50</v>
      </c>
      <c r="AN55" s="469">
        <f t="shared" si="92"/>
        <v>350</v>
      </c>
      <c r="AP55">
        <f t="shared" si="93"/>
        <v>50</v>
      </c>
      <c r="AQ55" s="469">
        <f t="shared" si="94"/>
        <v>350</v>
      </c>
      <c r="AR55" s="469"/>
      <c r="AS55" s="5">
        <f t="shared" si="55"/>
        <v>2.8571428571428572</v>
      </c>
      <c r="AT55" s="5">
        <f t="shared" si="95"/>
        <v>0.50165071429575303</v>
      </c>
      <c r="AU55" s="5">
        <f t="shared" si="56"/>
        <v>2.3554921428471043</v>
      </c>
      <c r="AV55" s="5">
        <f t="shared" si="96"/>
        <v>1.7313559808844844E-5</v>
      </c>
      <c r="AW55" s="177">
        <f t="shared" si="57"/>
        <v>0.17557775000351356</v>
      </c>
      <c r="AX55" s="177">
        <f t="shared" si="97"/>
        <v>0.84555555555555562</v>
      </c>
      <c r="AY55" s="177">
        <f t="shared" si="98"/>
        <v>7558.2766367760551</v>
      </c>
      <c r="AZ55" s="177">
        <f t="shared" si="58"/>
        <v>1.1187147496578308E-4</v>
      </c>
      <c r="BA55" s="469">
        <f t="shared" si="99"/>
        <v>3.7498705811702195</v>
      </c>
      <c r="BB55" s="469">
        <f t="shared" si="100"/>
        <v>0.55218124130325585</v>
      </c>
      <c r="BC55" s="5">
        <f t="shared" si="101"/>
        <v>6.8156601355529617E-2</v>
      </c>
      <c r="BD55" s="469">
        <f t="shared" si="102"/>
        <v>8.2829588293302248</v>
      </c>
      <c r="BE55" s="5"/>
      <c r="BF55" s="177">
        <f t="shared" si="59"/>
        <v>9.70879954155206E-2</v>
      </c>
      <c r="BG55" s="177">
        <f t="shared" si="103"/>
        <v>9612.0782897000427</v>
      </c>
      <c r="BH55" s="177"/>
      <c r="BI55" s="538">
        <f t="shared" si="104"/>
        <v>3.2991275988314521E-3</v>
      </c>
      <c r="BJ55" s="538">
        <f t="shared" si="105"/>
        <v>488.39449986015342</v>
      </c>
      <c r="BK55" s="538">
        <f t="shared" si="106"/>
        <v>4.3749999999999995E-3</v>
      </c>
      <c r="BL55" s="538">
        <f t="shared" si="107"/>
        <v>8462927.8085788898</v>
      </c>
      <c r="BM55">
        <f t="shared" si="108"/>
        <v>6.96E-3</v>
      </c>
      <c r="BN55">
        <f t="shared" si="109"/>
        <v>1.6625000000000001E-5</v>
      </c>
      <c r="BO55" s="538">
        <f t="shared" si="110"/>
        <v>8468570.9445100743</v>
      </c>
      <c r="BP55" s="469">
        <f t="shared" si="60"/>
        <v>8468570944.5100746</v>
      </c>
      <c r="BQ55" s="538">
        <f t="shared" si="111"/>
        <v>70587525.48647967</v>
      </c>
      <c r="BR55" s="538"/>
      <c r="BT55" s="469">
        <f t="shared" si="61"/>
        <v>70587525486.479675</v>
      </c>
      <c r="BU55" s="538">
        <f t="shared" si="112"/>
        <v>9.4260788538041507E-4</v>
      </c>
      <c r="BV55" s="538">
        <f t="shared" si="113"/>
        <v>2771761.4714196869</v>
      </c>
      <c r="BW55" s="538">
        <f t="shared" si="114"/>
        <v>0</v>
      </c>
      <c r="BX55" s="538">
        <f t="shared" si="115"/>
        <v>-14.000063137030716</v>
      </c>
      <c r="BY55" s="538">
        <f t="shared" si="116"/>
        <v>2.8185185185185192E-3</v>
      </c>
      <c r="BZ55" s="469">
        <f t="shared" si="62"/>
        <v>-13997.244618512199</v>
      </c>
      <c r="CA55" s="177">
        <f t="shared" si="63"/>
        <v>79056082.433745131</v>
      </c>
      <c r="CB55" s="5">
        <f t="shared" si="64"/>
        <v>0.75</v>
      </c>
      <c r="CC55" s="177">
        <f t="shared" si="65"/>
        <v>9.4869359800791254E-9</v>
      </c>
      <c r="CD55" s="5">
        <f t="shared" si="66"/>
        <v>9.4869359800791254E-7</v>
      </c>
      <c r="CG55" s="571">
        <f t="shared" si="117"/>
        <v>-50</v>
      </c>
      <c r="CH55">
        <f t="shared" si="118"/>
        <v>-50</v>
      </c>
    </row>
    <row r="56" spans="5:86" x14ac:dyDescent="0.25">
      <c r="E56" s="174">
        <v>51</v>
      </c>
      <c r="F56" s="221">
        <f t="shared" si="119"/>
        <v>5.1000000000000004E-2</v>
      </c>
      <c r="G56" s="221"/>
      <c r="H56" s="221">
        <f t="shared" si="67"/>
        <v>0.76500000000000001</v>
      </c>
      <c r="I56" s="551">
        <f t="shared" si="68"/>
        <v>24</v>
      </c>
      <c r="J56" s="176">
        <f t="shared" si="69"/>
        <v>695386.58000000007</v>
      </c>
      <c r="K56" s="451">
        <f t="shared" si="70"/>
        <v>695410.58000000007</v>
      </c>
      <c r="L56" s="451"/>
      <c r="M56" s="221">
        <f t="shared" si="71"/>
        <v>0.99996548801428931</v>
      </c>
      <c r="N56" s="176">
        <f t="shared" si="72"/>
        <v>8.0997204529157436</v>
      </c>
      <c r="O56" s="176">
        <f t="shared" si="53"/>
        <v>0.76500000000000001</v>
      </c>
      <c r="P56" s="221">
        <f t="shared" si="73"/>
        <v>0.5399813635277162</v>
      </c>
      <c r="Q56" s="221">
        <f t="shared" si="74"/>
        <v>15</v>
      </c>
      <c r="R56" s="221">
        <f t="shared" si="75"/>
        <v>0.59997929280857354</v>
      </c>
      <c r="S56" s="176">
        <f t="shared" si="76"/>
        <v>158.82300484783394</v>
      </c>
      <c r="T56" s="176">
        <f t="shared" si="77"/>
        <v>15</v>
      </c>
      <c r="U56" s="221">
        <f t="shared" si="78"/>
        <v>7.0835778016692053E-2</v>
      </c>
      <c r="V56" s="221">
        <f t="shared" si="79"/>
        <v>8.8544722520865066E-2</v>
      </c>
      <c r="W56" s="221">
        <f t="shared" si="80"/>
        <v>3.0559596656305353E-6</v>
      </c>
      <c r="X56" s="201">
        <f t="shared" si="81"/>
        <v>350</v>
      </c>
      <c r="Y56" s="451">
        <f t="shared" si="54"/>
        <v>350</v>
      </c>
      <c r="AA56" s="221">
        <f t="shared" si="82"/>
        <v>2.2856354011755182</v>
      </c>
      <c r="AB56" s="177">
        <f t="shared" si="83"/>
        <v>9.8605673459021225E-5</v>
      </c>
      <c r="AC56" s="177">
        <f t="shared" si="84"/>
        <v>1.8020156525828219</v>
      </c>
      <c r="AD56" s="177"/>
      <c r="AE56" s="177">
        <f t="shared" si="85"/>
        <v>6.4712206554230591E-6</v>
      </c>
      <c r="AF56" s="555">
        <f t="shared" si="86"/>
        <v>2299.9111111111119</v>
      </c>
      <c r="AG56" s="538">
        <f t="shared" si="87"/>
        <v>7.7611695137976321E-3</v>
      </c>
      <c r="AI56" s="177">
        <f t="shared" si="88"/>
        <v>0.40531390930902567</v>
      </c>
      <c r="AJ56" s="177">
        <f t="shared" si="89"/>
        <v>0.40531390930902567</v>
      </c>
      <c r="AK56" s="177">
        <f t="shared" si="90"/>
        <v>1.3702092728726838</v>
      </c>
      <c r="AM56" s="555">
        <f t="shared" si="91"/>
        <v>51.000000000000007</v>
      </c>
      <c r="AN56" s="469">
        <f t="shared" si="92"/>
        <v>350</v>
      </c>
      <c r="AP56">
        <f t="shared" si="93"/>
        <v>51.000000000000007</v>
      </c>
      <c r="AQ56" s="469">
        <f t="shared" si="94"/>
        <v>350</v>
      </c>
      <c r="AR56" s="469"/>
      <c r="AS56" s="5">
        <f t="shared" si="55"/>
        <v>2.8571428571428572</v>
      </c>
      <c r="AT56" s="5">
        <f t="shared" si="95"/>
        <v>0.50664238663628214</v>
      </c>
      <c r="AU56" s="5">
        <f t="shared" si="56"/>
        <v>2.3505004705065753</v>
      </c>
      <c r="AV56" s="5">
        <f t="shared" si="96"/>
        <v>1.748583827900557E-5</v>
      </c>
      <c r="AW56" s="177">
        <f t="shared" si="57"/>
        <v>0.17732483532269874</v>
      </c>
      <c r="AX56" s="177">
        <f t="shared" si="97"/>
        <v>0.86246666666666671</v>
      </c>
      <c r="AY56" s="177">
        <f t="shared" si="98"/>
        <v>7617.3086206544804</v>
      </c>
      <c r="AZ56" s="177">
        <f t="shared" si="58"/>
        <v>1.1322459278176961E-4</v>
      </c>
      <c r="BA56" s="469">
        <f t="shared" si="99"/>
        <v>3.7498705811702195</v>
      </c>
      <c r="BB56" s="469">
        <f t="shared" si="100"/>
        <v>0.5714293634519072</v>
      </c>
      <c r="BC56" s="5">
        <f t="shared" si="101"/>
        <v>6.9372409719812109E-2</v>
      </c>
      <c r="BD56" s="469">
        <f t="shared" si="102"/>
        <v>8.4309391663774544</v>
      </c>
      <c r="BE56" s="5"/>
      <c r="BF56" s="177">
        <f t="shared" si="59"/>
        <v>9.8540704549974212E-2</v>
      </c>
      <c r="BG56" s="177">
        <f t="shared" si="103"/>
        <v>9697.4316351500001</v>
      </c>
      <c r="BH56" s="177"/>
      <c r="BI56" s="538">
        <f t="shared" si="104"/>
        <v>3.3985946586218576E-3</v>
      </c>
      <c r="BJ56" s="538">
        <f t="shared" si="105"/>
        <v>493.25426632064983</v>
      </c>
      <c r="BK56" s="538">
        <f t="shared" si="106"/>
        <v>4.3749999999999995E-3</v>
      </c>
      <c r="BL56" s="538">
        <f t="shared" si="107"/>
        <v>8462927.8085788898</v>
      </c>
      <c r="BM56">
        <f t="shared" si="108"/>
        <v>6.96E-3</v>
      </c>
      <c r="BN56">
        <f t="shared" si="109"/>
        <v>1.6625000000000001E-5</v>
      </c>
      <c r="BO56" s="538">
        <f t="shared" si="110"/>
        <v>8468731.3173905406</v>
      </c>
      <c r="BP56" s="469">
        <f t="shared" si="60"/>
        <v>8468731317.3905411</v>
      </c>
      <c r="BQ56" s="538">
        <f t="shared" si="111"/>
        <v>71846697.777875215</v>
      </c>
      <c r="BR56" s="538"/>
      <c r="BT56" s="469">
        <f t="shared" si="61"/>
        <v>71846697777.875214</v>
      </c>
      <c r="BU56" s="538">
        <f t="shared" si="112"/>
        <v>9.7102704532053092E-4</v>
      </c>
      <c r="BV56" s="538">
        <f t="shared" si="113"/>
        <v>2821205.4095522403</v>
      </c>
      <c r="BW56" s="538">
        <f t="shared" si="114"/>
        <v>0</v>
      </c>
      <c r="BX56" s="538">
        <f t="shared" si="115"/>
        <v>-14.000062030497579</v>
      </c>
      <c r="BY56" s="538">
        <f t="shared" si="116"/>
        <v>2.8748888888888886E-3</v>
      </c>
      <c r="BZ56" s="469">
        <f t="shared" si="62"/>
        <v>-13997.187141608691</v>
      </c>
      <c r="CA56" s="177">
        <f t="shared" si="63"/>
        <v>80315415.098078623</v>
      </c>
      <c r="CB56" s="5">
        <f t="shared" si="64"/>
        <v>0.76500000000000001</v>
      </c>
      <c r="CC56" s="177">
        <f t="shared" si="65"/>
        <v>9.52494601166193E-9</v>
      </c>
      <c r="CD56" s="5">
        <f t="shared" si="66"/>
        <v>9.5249460116619304E-7</v>
      </c>
      <c r="CG56" s="571">
        <f t="shared" si="117"/>
        <v>-50</v>
      </c>
      <c r="CH56">
        <f t="shared" si="118"/>
        <v>-50</v>
      </c>
    </row>
    <row r="57" spans="5:86" x14ac:dyDescent="0.25">
      <c r="E57" s="174">
        <v>52</v>
      </c>
      <c r="F57" s="221">
        <f t="shared" si="119"/>
        <v>5.2000000000000005E-2</v>
      </c>
      <c r="G57" s="221"/>
      <c r="H57" s="221">
        <f t="shared" si="67"/>
        <v>0.78</v>
      </c>
      <c r="I57" s="551">
        <f t="shared" si="68"/>
        <v>24</v>
      </c>
      <c r="J57" s="176">
        <f t="shared" si="69"/>
        <v>695386.58000000007</v>
      </c>
      <c r="K57" s="451">
        <f t="shared" si="70"/>
        <v>695410.58000000007</v>
      </c>
      <c r="L57" s="451"/>
      <c r="M57" s="221">
        <f t="shared" si="71"/>
        <v>0.99996548801428931</v>
      </c>
      <c r="N57" s="176">
        <f t="shared" si="72"/>
        <v>8.0997204529157436</v>
      </c>
      <c r="O57" s="176">
        <f t="shared" si="53"/>
        <v>0.78</v>
      </c>
      <c r="P57" s="221">
        <f t="shared" si="73"/>
        <v>0.5399813635277162</v>
      </c>
      <c r="Q57" s="221">
        <f t="shared" si="74"/>
        <v>15</v>
      </c>
      <c r="R57" s="221">
        <f t="shared" si="75"/>
        <v>0.59997929280857354</v>
      </c>
      <c r="S57" s="176">
        <f t="shared" si="76"/>
        <v>155.76870621952742</v>
      </c>
      <c r="T57" s="176">
        <f t="shared" si="77"/>
        <v>15</v>
      </c>
      <c r="U57" s="221">
        <f t="shared" si="78"/>
        <v>7.2224714840548765E-2</v>
      </c>
      <c r="V57" s="221">
        <f t="shared" si="79"/>
        <v>9.0280893550685956E-2</v>
      </c>
      <c r="W57" s="221">
        <f t="shared" si="80"/>
        <v>3.115880443387997E-6</v>
      </c>
      <c r="X57" s="201">
        <f t="shared" si="81"/>
        <v>350</v>
      </c>
      <c r="Y57" s="451">
        <f t="shared" si="54"/>
        <v>350</v>
      </c>
      <c r="AA57" s="221">
        <f t="shared" si="82"/>
        <v>2.2856354011755182</v>
      </c>
      <c r="AB57" s="177">
        <f t="shared" si="83"/>
        <v>9.8605673459021225E-5</v>
      </c>
      <c r="AC57" s="177">
        <f t="shared" si="84"/>
        <v>1.8020156525828219</v>
      </c>
      <c r="AD57" s="177"/>
      <c r="AE57" s="177">
        <f t="shared" si="85"/>
        <v>6.4712206554230591E-6</v>
      </c>
      <c r="AF57" s="555">
        <f t="shared" si="86"/>
        <v>2345.0074074074082</v>
      </c>
      <c r="AG57" s="538">
        <f t="shared" si="87"/>
        <v>7.7611695137976321E-3</v>
      </c>
      <c r="AI57" s="177">
        <f t="shared" si="88"/>
        <v>0.40926828499228857</v>
      </c>
      <c r="AJ57" s="177">
        <f t="shared" si="89"/>
        <v>0.40926828499228857</v>
      </c>
      <c r="AK57" s="177">
        <f t="shared" si="90"/>
        <v>1.3728455233281924</v>
      </c>
      <c r="AM57" s="555">
        <f t="shared" si="91"/>
        <v>52.000000000000007</v>
      </c>
      <c r="AN57" s="469">
        <f t="shared" si="92"/>
        <v>350</v>
      </c>
      <c r="AP57">
        <f t="shared" si="93"/>
        <v>52.000000000000007</v>
      </c>
      <c r="AQ57" s="469">
        <f t="shared" si="94"/>
        <v>350</v>
      </c>
      <c r="AR57" s="469"/>
      <c r="AS57" s="5">
        <f t="shared" si="55"/>
        <v>2.8571428571428572</v>
      </c>
      <c r="AT57" s="5">
        <f t="shared" si="95"/>
        <v>0.51158535624036061</v>
      </c>
      <c r="AU57" s="5">
        <f t="shared" si="56"/>
        <v>2.3455575009024967</v>
      </c>
      <c r="AV57" s="5">
        <f t="shared" si="96"/>
        <v>1.7656435863011128E-5</v>
      </c>
      <c r="AW57" s="177">
        <f t="shared" si="57"/>
        <v>0.1790548746841262</v>
      </c>
      <c r="AX57" s="177">
        <f t="shared" si="97"/>
        <v>0.87937777777777792</v>
      </c>
      <c r="AY57" s="177">
        <f t="shared" si="98"/>
        <v>7675.4505328026326</v>
      </c>
      <c r="AZ57" s="177">
        <f t="shared" si="58"/>
        <v>1.1457018373313387E-4</v>
      </c>
      <c r="BA57" s="469">
        <f t="shared" si="99"/>
        <v>3.7498705811702195</v>
      </c>
      <c r="BB57" s="469">
        <f t="shared" si="100"/>
        <v>0.59099923059360138</v>
      </c>
      <c r="BC57" s="5">
        <f t="shared" si="101"/>
        <v>7.0583906277158465E-2</v>
      </c>
      <c r="BD57" s="469">
        <f t="shared" si="102"/>
        <v>8.5784020865923498</v>
      </c>
      <c r="BE57" s="5"/>
      <c r="BF57" s="177">
        <f t="shared" si="59"/>
        <v>9.9986309475547833E-2</v>
      </c>
      <c r="BG57" s="177">
        <f t="shared" si="103"/>
        <v>9781.7414896217997</v>
      </c>
      <c r="BH57" s="177"/>
      <c r="BI57" s="538">
        <f t="shared" si="104"/>
        <v>3.4990417288890091E-3</v>
      </c>
      <c r="BJ57" s="538">
        <f t="shared" si="105"/>
        <v>498.06661702366227</v>
      </c>
      <c r="BK57" s="538">
        <f t="shared" si="106"/>
        <v>4.3749999999999995E-3</v>
      </c>
      <c r="BL57" s="538">
        <f t="shared" si="107"/>
        <v>8462927.8085788898</v>
      </c>
      <c r="BM57">
        <f t="shared" si="108"/>
        <v>6.96E-3</v>
      </c>
      <c r="BN57">
        <f t="shared" si="109"/>
        <v>1.6625000000000001E-5</v>
      </c>
      <c r="BO57" s="538">
        <f t="shared" si="110"/>
        <v>8468893.1809816174</v>
      </c>
      <c r="BP57" s="469">
        <f t="shared" si="60"/>
        <v>8468893180.981617</v>
      </c>
      <c r="BQ57" s="538">
        <f t="shared" si="111"/>
        <v>73101404.474216387</v>
      </c>
      <c r="BR57" s="538"/>
      <c r="BT57" s="469">
        <f t="shared" si="61"/>
        <v>73101404474.216385</v>
      </c>
      <c r="BU57" s="538">
        <f t="shared" si="112"/>
        <v>9.9972620825400263E-4</v>
      </c>
      <c r="BV57" s="538">
        <f t="shared" si="113"/>
        <v>2870473.9970936547</v>
      </c>
      <c r="BW57" s="538">
        <f t="shared" si="114"/>
        <v>0</v>
      </c>
      <c r="BX57" s="538">
        <f t="shared" si="115"/>
        <v>-14.000060965806412</v>
      </c>
      <c r="BY57" s="538">
        <f t="shared" si="116"/>
        <v>2.9312592592592602E-3</v>
      </c>
      <c r="BZ57" s="469">
        <f t="shared" si="62"/>
        <v>-13997.129706547152</v>
      </c>
      <c r="CA57" s="177">
        <f t="shared" si="63"/>
        <v>81570283.658068299</v>
      </c>
      <c r="CB57" s="5">
        <f t="shared" si="64"/>
        <v>0.78</v>
      </c>
      <c r="CC57" s="177">
        <f t="shared" si="65"/>
        <v>9.5623057510877E-9</v>
      </c>
      <c r="CD57" s="5">
        <f t="shared" si="66"/>
        <v>9.5623057510876994E-7</v>
      </c>
      <c r="CG57" s="571">
        <f t="shared" si="117"/>
        <v>-50</v>
      </c>
      <c r="CH57">
        <f t="shared" si="118"/>
        <v>-50</v>
      </c>
    </row>
    <row r="58" spans="5:86" x14ac:dyDescent="0.25">
      <c r="E58" s="174">
        <v>53</v>
      </c>
      <c r="F58" s="221">
        <f t="shared" si="119"/>
        <v>5.3000000000000005E-2</v>
      </c>
      <c r="G58" s="221"/>
      <c r="H58" s="221">
        <f t="shared" si="67"/>
        <v>0.79500000000000004</v>
      </c>
      <c r="I58" s="551">
        <f t="shared" si="68"/>
        <v>24</v>
      </c>
      <c r="J58" s="176">
        <f t="shared" si="69"/>
        <v>695386.58000000007</v>
      </c>
      <c r="K58" s="451">
        <f t="shared" si="70"/>
        <v>695410.58000000007</v>
      </c>
      <c r="L58" s="451"/>
      <c r="M58" s="221">
        <f t="shared" si="71"/>
        <v>0.99996548801428931</v>
      </c>
      <c r="N58" s="176">
        <f t="shared" si="72"/>
        <v>8.0997204529157436</v>
      </c>
      <c r="O58" s="176">
        <f t="shared" si="53"/>
        <v>0.79500000000000004</v>
      </c>
      <c r="P58" s="221">
        <f t="shared" si="73"/>
        <v>0.5399813635277162</v>
      </c>
      <c r="Q58" s="221">
        <f t="shared" si="74"/>
        <v>15</v>
      </c>
      <c r="R58" s="221">
        <f t="shared" si="75"/>
        <v>0.59997929280857354</v>
      </c>
      <c r="S58" s="176">
        <f t="shared" si="76"/>
        <v>152.82966414376858</v>
      </c>
      <c r="T58" s="176">
        <f t="shared" si="77"/>
        <v>15</v>
      </c>
      <c r="U58" s="221">
        <f t="shared" si="78"/>
        <v>7.3613651664405463E-2</v>
      </c>
      <c r="V58" s="221">
        <f t="shared" si="79"/>
        <v>9.2017064580506833E-2</v>
      </c>
      <c r="W58" s="221">
        <f t="shared" si="80"/>
        <v>3.1758012211454582E-6</v>
      </c>
      <c r="X58" s="201">
        <f t="shared" si="81"/>
        <v>350</v>
      </c>
      <c r="Y58" s="451">
        <f t="shared" si="54"/>
        <v>350</v>
      </c>
      <c r="AA58" s="221">
        <f t="shared" si="82"/>
        <v>2.2856354011755182</v>
      </c>
      <c r="AB58" s="177">
        <f t="shared" si="83"/>
        <v>9.8605673459021225E-5</v>
      </c>
      <c r="AC58" s="177">
        <f t="shared" si="84"/>
        <v>1.8020156525828219</v>
      </c>
      <c r="AD58" s="177"/>
      <c r="AE58" s="177">
        <f t="shared" si="85"/>
        <v>6.4712206554230591E-6</v>
      </c>
      <c r="AF58" s="555">
        <f t="shared" si="86"/>
        <v>2390.1037037037049</v>
      </c>
      <c r="AG58" s="538">
        <f t="shared" si="87"/>
        <v>7.7611695137976321E-3</v>
      </c>
      <c r="AI58" s="177">
        <f t="shared" si="88"/>
        <v>0.41318481714808103</v>
      </c>
      <c r="AJ58" s="177">
        <f t="shared" si="89"/>
        <v>0.41318481714808103</v>
      </c>
      <c r="AK58" s="177">
        <f t="shared" si="90"/>
        <v>1.3754565447653873</v>
      </c>
      <c r="AM58" s="555">
        <f t="shared" si="91"/>
        <v>53.000000000000007</v>
      </c>
      <c r="AN58" s="469">
        <f t="shared" si="92"/>
        <v>350</v>
      </c>
      <c r="AP58">
        <f t="shared" si="93"/>
        <v>53.000000000000007</v>
      </c>
      <c r="AQ58" s="469">
        <f t="shared" si="94"/>
        <v>350</v>
      </c>
      <c r="AR58" s="469"/>
      <c r="AS58" s="5">
        <f t="shared" si="55"/>
        <v>2.8571428571428572</v>
      </c>
      <c r="AT58" s="5">
        <f t="shared" si="95"/>
        <v>0.51648102143510122</v>
      </c>
      <c r="AU58" s="5">
        <f t="shared" si="56"/>
        <v>2.3406618357077562</v>
      </c>
      <c r="AV58" s="5">
        <f t="shared" si="96"/>
        <v>1.7825400821572411E-5</v>
      </c>
      <c r="AW58" s="177">
        <f t="shared" si="57"/>
        <v>0.18076835750228543</v>
      </c>
      <c r="AX58" s="177">
        <f t="shared" si="97"/>
        <v>0.89628888888888913</v>
      </c>
      <c r="AY58" s="177">
        <f t="shared" si="98"/>
        <v>7732.7279284874849</v>
      </c>
      <c r="AZ58" s="177">
        <f t="shared" si="58"/>
        <v>1.159084991968937E-4</v>
      </c>
      <c r="BA58" s="469">
        <f t="shared" si="99"/>
        <v>3.7498705811702195</v>
      </c>
      <c r="BB58" s="469">
        <f t="shared" si="100"/>
        <v>0.61089084272833816</v>
      </c>
      <c r="BC58" s="5">
        <f t="shared" si="101"/>
        <v>7.1791132692425388E-2</v>
      </c>
      <c r="BD58" s="469">
        <f t="shared" si="102"/>
        <v>8.7253525897577155</v>
      </c>
      <c r="BE58" s="5"/>
      <c r="BF58" s="177">
        <f t="shared" si="59"/>
        <v>0.10142498057779403</v>
      </c>
      <c r="BG58" s="177">
        <f t="shared" si="103"/>
        <v>9865.0374698583109</v>
      </c>
      <c r="BH58" s="177"/>
      <c r="BI58" s="538">
        <f t="shared" si="104"/>
        <v>3.6004593398220636E-3</v>
      </c>
      <c r="BJ58" s="538">
        <f t="shared" si="105"/>
        <v>502.83291334524677</v>
      </c>
      <c r="BK58" s="538">
        <f t="shared" si="106"/>
        <v>4.3749999999999995E-3</v>
      </c>
      <c r="BL58" s="538">
        <f t="shared" si="107"/>
        <v>8462927.8085788898</v>
      </c>
      <c r="BM58">
        <f t="shared" si="108"/>
        <v>6.96E-3</v>
      </c>
      <c r="BN58">
        <f t="shared" si="109"/>
        <v>1.6625000000000001E-5</v>
      </c>
      <c r="BO58" s="538">
        <f t="shared" si="110"/>
        <v>8469056.522009572</v>
      </c>
      <c r="BP58" s="469">
        <f t="shared" si="60"/>
        <v>8469056522.009572</v>
      </c>
      <c r="BQ58" s="538">
        <f t="shared" si="111"/>
        <v>74351688.726409748</v>
      </c>
      <c r="BR58" s="538"/>
      <c r="BT58" s="469">
        <f t="shared" si="61"/>
        <v>74351688726.409744</v>
      </c>
      <c r="BU58" s="538">
        <f t="shared" si="112"/>
        <v>1.0287026685205896E-3</v>
      </c>
      <c r="BV58" s="538">
        <f t="shared" si="113"/>
        <v>2919568.928451254</v>
      </c>
      <c r="BW58" s="538">
        <f t="shared" si="114"/>
        <v>0</v>
      </c>
      <c r="BX58" s="538">
        <f t="shared" si="115"/>
        <v>-14.000059940612292</v>
      </c>
      <c r="BY58" s="538">
        <f t="shared" si="116"/>
        <v>2.9876296296296309E-3</v>
      </c>
      <c r="BZ58" s="469">
        <f t="shared" si="62"/>
        <v>-13997.072310982663</v>
      </c>
      <c r="CA58" s="177">
        <f t="shared" si="63"/>
        <v>82820731.25134699</v>
      </c>
      <c r="CB58" s="5">
        <f t="shared" si="64"/>
        <v>0.79500000000000004</v>
      </c>
      <c r="CC58" s="177">
        <f t="shared" si="65"/>
        <v>9.5990457987634446E-9</v>
      </c>
      <c r="CD58" s="5">
        <f t="shared" si="66"/>
        <v>9.5990457987634442E-7</v>
      </c>
      <c r="CG58" s="571">
        <f t="shared" si="117"/>
        <v>-50</v>
      </c>
      <c r="CH58">
        <f t="shared" si="118"/>
        <v>-50</v>
      </c>
    </row>
    <row r="59" spans="5:86" x14ac:dyDescent="0.25">
      <c r="E59" s="174">
        <v>54</v>
      </c>
      <c r="F59" s="221">
        <f t="shared" si="119"/>
        <v>5.4000000000000006E-2</v>
      </c>
      <c r="G59" s="221"/>
      <c r="H59" s="221">
        <f t="shared" si="67"/>
        <v>0.81</v>
      </c>
      <c r="I59" s="551">
        <f t="shared" si="68"/>
        <v>24</v>
      </c>
      <c r="J59" s="176">
        <f t="shared" si="69"/>
        <v>695386.58000000007</v>
      </c>
      <c r="K59" s="451">
        <f t="shared" si="70"/>
        <v>695410.58000000007</v>
      </c>
      <c r="L59" s="451"/>
      <c r="M59" s="221">
        <f t="shared" si="71"/>
        <v>0.99996548801428931</v>
      </c>
      <c r="N59" s="176">
        <f t="shared" si="72"/>
        <v>8.0997204529157436</v>
      </c>
      <c r="O59" s="176">
        <f t="shared" si="53"/>
        <v>0.81</v>
      </c>
      <c r="P59" s="221">
        <f t="shared" si="73"/>
        <v>0.5399813635277162</v>
      </c>
      <c r="Q59" s="221">
        <f t="shared" si="74"/>
        <v>15</v>
      </c>
      <c r="R59" s="221">
        <f t="shared" si="75"/>
        <v>0.59997929280857354</v>
      </c>
      <c r="S59" s="176">
        <f t="shared" si="76"/>
        <v>149.99947547874919</v>
      </c>
      <c r="T59" s="176">
        <f t="shared" si="77"/>
        <v>15</v>
      </c>
      <c r="U59" s="221">
        <f t="shared" si="78"/>
        <v>7.5002588488262176E-2</v>
      </c>
      <c r="V59" s="221">
        <f t="shared" si="79"/>
        <v>9.3753235610327723E-2</v>
      </c>
      <c r="W59" s="221">
        <f t="shared" si="80"/>
        <v>3.2357219989029195E-6</v>
      </c>
      <c r="X59" s="201">
        <f t="shared" si="81"/>
        <v>350</v>
      </c>
      <c r="Y59" s="451">
        <f t="shared" si="54"/>
        <v>350</v>
      </c>
      <c r="AA59" s="221">
        <f t="shared" si="82"/>
        <v>2.2856354011755182</v>
      </c>
      <c r="AB59" s="177">
        <f t="shared" si="83"/>
        <v>9.8605673459021225E-5</v>
      </c>
      <c r="AC59" s="177">
        <f t="shared" si="84"/>
        <v>1.8020156525828219</v>
      </c>
      <c r="AD59" s="177"/>
      <c r="AE59" s="177">
        <f t="shared" si="85"/>
        <v>6.4712206554230591E-6</v>
      </c>
      <c r="AF59" s="555">
        <f t="shared" si="86"/>
        <v>2435.2000000000007</v>
      </c>
      <c r="AG59" s="538">
        <f t="shared" si="87"/>
        <v>7.7611695137976321E-3</v>
      </c>
      <c r="AI59" s="177">
        <f t="shared" si="88"/>
        <v>0.41706457191046226</v>
      </c>
      <c r="AJ59" s="177">
        <f t="shared" si="89"/>
        <v>0.41706457191046226</v>
      </c>
      <c r="AK59" s="177">
        <f t="shared" si="90"/>
        <v>1.3780430479403081</v>
      </c>
      <c r="AM59" s="555">
        <f t="shared" si="91"/>
        <v>54.000000000000007</v>
      </c>
      <c r="AN59" s="469">
        <f t="shared" si="92"/>
        <v>350</v>
      </c>
      <c r="AP59">
        <f t="shared" si="93"/>
        <v>54.000000000000007</v>
      </c>
      <c r="AQ59" s="469">
        <f t="shared" si="94"/>
        <v>350</v>
      </c>
      <c r="AR59" s="469"/>
      <c r="AS59" s="5">
        <f t="shared" si="55"/>
        <v>2.8571428571428572</v>
      </c>
      <c r="AT59" s="5">
        <f t="shared" si="95"/>
        <v>0.52133071488807781</v>
      </c>
      <c r="AU59" s="5">
        <f t="shared" si="56"/>
        <v>2.3358121422547793</v>
      </c>
      <c r="AV59" s="5">
        <f t="shared" si="96"/>
        <v>1.799277914928106E-5</v>
      </c>
      <c r="AW59" s="177">
        <f t="shared" si="57"/>
        <v>0.18246575021082723</v>
      </c>
      <c r="AX59" s="177">
        <f t="shared" si="97"/>
        <v>0.91320000000000012</v>
      </c>
      <c r="AY59" s="177">
        <f t="shared" si="98"/>
        <v>7789.1651630085544</v>
      </c>
      <c r="AZ59" s="177">
        <f t="shared" si="58"/>
        <v>1.172397787039963E-4</v>
      </c>
      <c r="BA59" s="469">
        <f t="shared" si="99"/>
        <v>3.7498705811702195</v>
      </c>
      <c r="BB59" s="469">
        <f t="shared" si="100"/>
        <v>0.63110419985611754</v>
      </c>
      <c r="BC59" s="5">
        <f t="shared" si="101"/>
        <v>7.2994129445461839E-2</v>
      </c>
      <c r="BD59" s="469">
        <f t="shared" si="102"/>
        <v>8.8717955334554226</v>
      </c>
      <c r="BE59" s="5"/>
      <c r="BF59" s="177">
        <f t="shared" si="59"/>
        <v>0.10285688102469724</v>
      </c>
      <c r="BG59" s="177">
        <f t="shared" si="103"/>
        <v>9947.3478037129898</v>
      </c>
      <c r="BH59" s="177"/>
      <c r="BI59" s="538">
        <f t="shared" si="104"/>
        <v>3.7028382909450532E-3</v>
      </c>
      <c r="BJ59" s="538">
        <f t="shared" si="105"/>
        <v>507.55445273698604</v>
      </c>
      <c r="BK59" s="538">
        <f t="shared" si="106"/>
        <v>4.3749999999999995E-3</v>
      </c>
      <c r="BL59" s="538">
        <f t="shared" si="107"/>
        <v>8462927.8085788898</v>
      </c>
      <c r="BM59">
        <f t="shared" si="108"/>
        <v>6.96E-3</v>
      </c>
      <c r="BN59">
        <f t="shared" si="109"/>
        <v>1.6625000000000001E-5</v>
      </c>
      <c r="BO59" s="538">
        <f t="shared" si="110"/>
        <v>8469221.3275573011</v>
      </c>
      <c r="BP59" s="469">
        <f t="shared" si="60"/>
        <v>8469221327.5573015</v>
      </c>
      <c r="BQ59" s="538">
        <f t="shared" si="111"/>
        <v>75597592.458088681</v>
      </c>
      <c r="BR59" s="538"/>
      <c r="BT59" s="469">
        <f t="shared" si="61"/>
        <v>75597592458.088684</v>
      </c>
      <c r="BU59" s="538">
        <f t="shared" si="112"/>
        <v>1.0579537974128724E-3</v>
      </c>
      <c r="BV59" s="538">
        <f t="shared" si="113"/>
        <v>2968491.8498410089</v>
      </c>
      <c r="BW59" s="538">
        <f t="shared" si="114"/>
        <v>0</v>
      </c>
      <c r="BX59" s="538">
        <f t="shared" si="115"/>
        <v>-14.000058952742908</v>
      </c>
      <c r="BY59" s="538">
        <f t="shared" si="116"/>
        <v>3.0440000000000003E-3</v>
      </c>
      <c r="BZ59" s="469">
        <f t="shared" si="62"/>
        <v>-13997.014952742909</v>
      </c>
      <c r="CA59" s="177">
        <f t="shared" si="63"/>
        <v>84066799.788631022</v>
      </c>
      <c r="CB59" s="5">
        <f t="shared" si="64"/>
        <v>0.81</v>
      </c>
      <c r="CC59" s="177">
        <f t="shared" si="65"/>
        <v>9.635194800231168E-9</v>
      </c>
      <c r="CD59" s="5">
        <f t="shared" si="66"/>
        <v>9.635194800231167E-7</v>
      </c>
      <c r="CG59" s="571">
        <f t="shared" si="117"/>
        <v>-50</v>
      </c>
      <c r="CH59">
        <f t="shared" si="118"/>
        <v>-50</v>
      </c>
    </row>
    <row r="60" spans="5:86" x14ac:dyDescent="0.25">
      <c r="E60" s="174">
        <v>55</v>
      </c>
      <c r="F60" s="221">
        <f t="shared" si="119"/>
        <v>5.5000000000000007E-2</v>
      </c>
      <c r="G60" s="221"/>
      <c r="H60" s="221">
        <f t="shared" si="67"/>
        <v>0.82500000000000007</v>
      </c>
      <c r="I60" s="551">
        <f t="shared" si="68"/>
        <v>24</v>
      </c>
      <c r="J60" s="176">
        <f t="shared" si="69"/>
        <v>695386.58000000007</v>
      </c>
      <c r="K60" s="451">
        <f t="shared" si="70"/>
        <v>695410.58000000007</v>
      </c>
      <c r="L60" s="451"/>
      <c r="M60" s="221">
        <f t="shared" si="71"/>
        <v>0.99996548801428931</v>
      </c>
      <c r="N60" s="176">
        <f t="shared" si="72"/>
        <v>8.0997204529157436</v>
      </c>
      <c r="O60" s="176">
        <f t="shared" si="53"/>
        <v>0.82500000000000007</v>
      </c>
      <c r="P60" s="221">
        <f t="shared" si="73"/>
        <v>0.5399813635277162</v>
      </c>
      <c r="Q60" s="221">
        <f t="shared" si="74"/>
        <v>15</v>
      </c>
      <c r="R60" s="221">
        <f t="shared" si="75"/>
        <v>0.59997929280857354</v>
      </c>
      <c r="S60" s="176">
        <f t="shared" si="76"/>
        <v>147.27220276570156</v>
      </c>
      <c r="T60" s="176">
        <f t="shared" si="77"/>
        <v>15</v>
      </c>
      <c r="U60" s="221">
        <f t="shared" si="78"/>
        <v>7.6391525312118888E-2</v>
      </c>
      <c r="V60" s="221">
        <f t="shared" si="79"/>
        <v>9.5489406640148614E-2</v>
      </c>
      <c r="W60" s="221">
        <f t="shared" si="80"/>
        <v>3.2956427766603812E-6</v>
      </c>
      <c r="X60" s="201">
        <f t="shared" si="81"/>
        <v>350</v>
      </c>
      <c r="Y60" s="451">
        <f t="shared" si="54"/>
        <v>350</v>
      </c>
      <c r="AA60" s="221">
        <f t="shared" si="82"/>
        <v>2.2856354011755182</v>
      </c>
      <c r="AB60" s="177">
        <f t="shared" si="83"/>
        <v>9.8605673459021225E-5</v>
      </c>
      <c r="AC60" s="177">
        <f t="shared" si="84"/>
        <v>1.8020156525828219</v>
      </c>
      <c r="AD60" s="177"/>
      <c r="AE60" s="177">
        <f t="shared" si="85"/>
        <v>6.4712206554230591E-6</v>
      </c>
      <c r="AF60" s="555">
        <f t="shared" si="86"/>
        <v>2480.296296296297</v>
      </c>
      <c r="AG60" s="538">
        <f t="shared" si="87"/>
        <v>7.7611695137976321E-3</v>
      </c>
      <c r="AI60" s="177">
        <f t="shared" si="88"/>
        <v>0.42090856627540996</v>
      </c>
      <c r="AJ60" s="177">
        <f t="shared" si="89"/>
        <v>0.42090856627540996</v>
      </c>
      <c r="AK60" s="177">
        <f t="shared" si="90"/>
        <v>1.3806057108502734</v>
      </c>
      <c r="AM60" s="555">
        <f t="shared" si="91"/>
        <v>55.000000000000007</v>
      </c>
      <c r="AN60" s="469">
        <f t="shared" si="92"/>
        <v>350</v>
      </c>
      <c r="AP60">
        <f t="shared" si="93"/>
        <v>55.000000000000007</v>
      </c>
      <c r="AQ60">
        <f t="shared" si="94"/>
        <v>350</v>
      </c>
      <c r="AS60" s="5">
        <f t="shared" si="55"/>
        <v>2.8571428571428572</v>
      </c>
      <c r="AT60" s="5">
        <f t="shared" si="95"/>
        <v>0.52613570784426245</v>
      </c>
      <c r="AU60" s="5">
        <f t="shared" si="56"/>
        <v>2.3310071492985949</v>
      </c>
      <c r="AV60" s="5">
        <f t="shared" si="96"/>
        <v>1.8158614720839591E-5</v>
      </c>
      <c r="AW60" s="177">
        <f t="shared" si="57"/>
        <v>0.18414749774549186</v>
      </c>
      <c r="AX60" s="177">
        <f t="shared" si="97"/>
        <v>0.930111111111111</v>
      </c>
      <c r="AY60" s="177">
        <f t="shared" si="98"/>
        <v>7844.7854691304547</v>
      </c>
      <c r="AZ60" s="177">
        <f t="shared" si="58"/>
        <v>1.1856425070782821E-4</v>
      </c>
      <c r="BA60" s="469">
        <f t="shared" si="99"/>
        <v>3.7498705811702195</v>
      </c>
      <c r="BB60" s="469">
        <f t="shared" si="100"/>
        <v>0.65163930197693953</v>
      </c>
      <c r="BC60" s="5">
        <f t="shared" si="101"/>
        <v>7.419293588624E-2</v>
      </c>
      <c r="BD60" s="469">
        <f t="shared" si="102"/>
        <v>9.0177356396821349</v>
      </c>
      <c r="BE60" s="5"/>
      <c r="BF60" s="177">
        <f t="shared" si="59"/>
        <v>0.10428216720015597</v>
      </c>
      <c r="BG60" s="177">
        <f t="shared" si="103"/>
        <v>10028.699419714701</v>
      </c>
      <c r="BH60" s="177"/>
      <c r="BI60" s="538">
        <f t="shared" si="104"/>
        <v>3.8061696385864497E-3</v>
      </c>
      <c r="BJ60" s="538">
        <f t="shared" si="105"/>
        <v>512.23247285096477</v>
      </c>
      <c r="BK60" s="538">
        <f t="shared" si="106"/>
        <v>4.3749999999999995E-3</v>
      </c>
      <c r="BL60" s="538">
        <f t="shared" si="107"/>
        <v>8462927.8085788898</v>
      </c>
      <c r="BM60">
        <f t="shared" si="108"/>
        <v>6.96E-3</v>
      </c>
      <c r="BN60">
        <f t="shared" si="109"/>
        <v>1.6625000000000001E-5</v>
      </c>
      <c r="BO60" s="538">
        <f t="shared" si="110"/>
        <v>8469387.5850488991</v>
      </c>
      <c r="BP60" s="469">
        <f t="shared" si="60"/>
        <v>8469387585.0488987</v>
      </c>
      <c r="BQ60" s="538">
        <f t="shared" si="111"/>
        <v>76839156.422710776</v>
      </c>
      <c r="BR60" s="538"/>
      <c r="BT60" s="469">
        <f t="shared" si="61"/>
        <v>76839156422.71077</v>
      </c>
      <c r="BU60" s="538">
        <f t="shared" si="112"/>
        <v>1.0874770395961286E-3</v>
      </c>
      <c r="BV60" s="538">
        <f t="shared" si="113"/>
        <v>3017244.3615295799</v>
      </c>
      <c r="BW60" s="538">
        <f t="shared" si="114"/>
        <v>0</v>
      </c>
      <c r="BX60" s="538">
        <f t="shared" si="115"/>
        <v>-14.000058000182939</v>
      </c>
      <c r="BY60" s="538">
        <f t="shared" si="116"/>
        <v>3.1003703703703705E-3</v>
      </c>
      <c r="BZ60" s="469">
        <f t="shared" si="62"/>
        <v>-13996.957629812568</v>
      </c>
      <c r="CA60" s="177">
        <f t="shared" si="63"/>
        <v>85308530.010802045</v>
      </c>
      <c r="CB60" s="5">
        <f t="shared" si="64"/>
        <v>0.82500000000000007</v>
      </c>
      <c r="CC60" s="177">
        <f t="shared" si="65"/>
        <v>9.6707796033660728E-9</v>
      </c>
      <c r="CD60" s="5">
        <f t="shared" si="66"/>
        <v>9.670779603366072E-7</v>
      </c>
      <c r="CG60" s="571">
        <f t="shared" si="117"/>
        <v>-50</v>
      </c>
      <c r="CH60">
        <f t="shared" si="118"/>
        <v>-50</v>
      </c>
    </row>
    <row r="61" spans="5:86" x14ac:dyDescent="0.25">
      <c r="E61" s="174">
        <v>56</v>
      </c>
      <c r="F61" s="221">
        <f t="shared" si="119"/>
        <v>5.6000000000000008E-2</v>
      </c>
      <c r="G61" s="221"/>
      <c r="H61" s="221">
        <f t="shared" si="67"/>
        <v>0.84000000000000008</v>
      </c>
      <c r="I61" s="551">
        <f t="shared" si="68"/>
        <v>24</v>
      </c>
      <c r="J61" s="176">
        <f t="shared" si="69"/>
        <v>695386.58000000007</v>
      </c>
      <c r="K61" s="451">
        <f t="shared" si="70"/>
        <v>695410.58000000007</v>
      </c>
      <c r="L61" s="451"/>
      <c r="M61" s="221">
        <f t="shared" si="71"/>
        <v>0.99996548801428931</v>
      </c>
      <c r="N61" s="176">
        <f t="shared" si="72"/>
        <v>8.0997204529157436</v>
      </c>
      <c r="O61" s="176">
        <f t="shared" si="53"/>
        <v>0.84000000000000008</v>
      </c>
      <c r="P61" s="221">
        <f t="shared" si="73"/>
        <v>0.5399813635277162</v>
      </c>
      <c r="Q61" s="221">
        <f t="shared" si="74"/>
        <v>15</v>
      </c>
      <c r="R61" s="221">
        <f t="shared" si="75"/>
        <v>0.59997929280857354</v>
      </c>
      <c r="S61" s="176">
        <f t="shared" si="76"/>
        <v>144.64233265005575</v>
      </c>
      <c r="T61" s="176">
        <f t="shared" si="77"/>
        <v>15</v>
      </c>
      <c r="U61" s="221">
        <f t="shared" si="78"/>
        <v>7.7780462135975587E-2</v>
      </c>
      <c r="V61" s="221">
        <f t="shared" si="79"/>
        <v>9.722557766996949E-2</v>
      </c>
      <c r="W61" s="221">
        <f t="shared" si="80"/>
        <v>3.3555635544178429E-6</v>
      </c>
      <c r="X61" s="201">
        <f t="shared" si="81"/>
        <v>350</v>
      </c>
      <c r="Y61" s="451">
        <f t="shared" si="54"/>
        <v>350</v>
      </c>
      <c r="AA61" s="221">
        <f t="shared" si="82"/>
        <v>2.2856354011755182</v>
      </c>
      <c r="AB61" s="177">
        <f t="shared" si="83"/>
        <v>9.8605673459021225E-5</v>
      </c>
      <c r="AC61" s="177">
        <f t="shared" si="84"/>
        <v>1.8020156525828219</v>
      </c>
      <c r="AD61" s="177"/>
      <c r="AE61" s="177">
        <f t="shared" si="85"/>
        <v>6.4712206554230591E-6</v>
      </c>
      <c r="AF61" s="555">
        <f t="shared" si="86"/>
        <v>2525.3925925925937</v>
      </c>
      <c r="AG61" s="538">
        <f t="shared" si="87"/>
        <v>7.7611695137976321E-3</v>
      </c>
      <c r="AI61" s="177">
        <f t="shared" si="88"/>
        <v>0.4247177712142326</v>
      </c>
      <c r="AJ61" s="177">
        <f t="shared" si="89"/>
        <v>0.4247177712142326</v>
      </c>
      <c r="AK61" s="177">
        <f t="shared" si="90"/>
        <v>1.3831451808094883</v>
      </c>
      <c r="AM61" s="555">
        <f t="shared" si="91"/>
        <v>56.000000000000007</v>
      </c>
      <c r="AN61" s="469">
        <f t="shared" si="92"/>
        <v>350</v>
      </c>
      <c r="AP61">
        <f t="shared" si="93"/>
        <v>56.000000000000007</v>
      </c>
      <c r="AQ61">
        <f t="shared" si="94"/>
        <v>350</v>
      </c>
      <c r="AS61" s="5">
        <f t="shared" si="55"/>
        <v>2.8571428571428572</v>
      </c>
      <c r="AT61" s="5">
        <f t="shared" si="95"/>
        <v>0.53089721401779078</v>
      </c>
      <c r="AU61" s="5">
        <f t="shared" si="56"/>
        <v>2.3262456431250662</v>
      </c>
      <c r="AV61" s="5">
        <f t="shared" si="96"/>
        <v>1.8322949425378585E-5</v>
      </c>
      <c r="AW61" s="177">
        <f t="shared" si="57"/>
        <v>0.18581402490622675</v>
      </c>
      <c r="AX61" s="177">
        <f t="shared" si="97"/>
        <v>0.94702222222222243</v>
      </c>
      <c r="AY61" s="177">
        <f t="shared" si="98"/>
        <v>7899.6110282072395</v>
      </c>
      <c r="AZ61" s="177">
        <f t="shared" si="58"/>
        <v>1.1988213328994027E-4</v>
      </c>
      <c r="BA61" s="469">
        <f t="shared" si="99"/>
        <v>3.7498705811702195</v>
      </c>
      <c r="BB61" s="469">
        <f t="shared" si="100"/>
        <v>0.67249614909080402</v>
      </c>
      <c r="BC61" s="5">
        <f t="shared" si="101"/>
        <v>7.5387590286460471E-2</v>
      </c>
      <c r="BD61" s="469">
        <f t="shared" si="102"/>
        <v>9.1631775010419236</v>
      </c>
      <c r="BE61" s="5"/>
      <c r="BF61" s="177">
        <f t="shared" si="59"/>
        <v>0.10570098910403557</v>
      </c>
      <c r="BG61" s="177">
        <f t="shared" si="103"/>
        <v>10109.118029338613</v>
      </c>
      <c r="BH61" s="177"/>
      <c r="BI61" s="538">
        <f t="shared" si="104"/>
        <v>3.9104446841500056E-3</v>
      </c>
      <c r="BJ61" s="538">
        <f t="shared" si="105"/>
        <v>516.86815532869446</v>
      </c>
      <c r="BK61" s="538">
        <f t="shared" si="106"/>
        <v>4.3749999999999995E-3</v>
      </c>
      <c r="BL61" s="538">
        <f t="shared" si="107"/>
        <v>8462927.8085788898</v>
      </c>
      <c r="BM61">
        <f t="shared" si="108"/>
        <v>6.96E-3</v>
      </c>
      <c r="BN61">
        <f t="shared" si="109"/>
        <v>1.6625000000000001E-5</v>
      </c>
      <c r="BO61" s="538">
        <f t="shared" si="110"/>
        <v>8469555.2822351307</v>
      </c>
      <c r="BP61" s="469">
        <f t="shared" si="60"/>
        <v>8469555282.2351303</v>
      </c>
      <c r="BQ61" s="538">
        <f t="shared" si="111"/>
        <v>78076420.25700362</v>
      </c>
      <c r="BR61" s="538"/>
      <c r="BT61" s="469">
        <f t="shared" si="61"/>
        <v>78076420257.003616</v>
      </c>
      <c r="BU61" s="538">
        <f t="shared" si="112"/>
        <v>1.1172699097571446E-3</v>
      </c>
      <c r="BV61" s="538">
        <f t="shared" si="113"/>
        <v>3065828.0199329699</v>
      </c>
      <c r="BW61" s="538">
        <f t="shared" si="114"/>
        <v>0</v>
      </c>
      <c r="BX61" s="538">
        <f t="shared" si="115"/>
        <v>-14.000057081060099</v>
      </c>
      <c r="BY61" s="538">
        <f t="shared" si="116"/>
        <v>3.1567407407407416E-3</v>
      </c>
      <c r="BZ61" s="469">
        <f t="shared" si="62"/>
        <v>-13996.900340319358</v>
      </c>
      <c r="CA61" s="177">
        <f t="shared" si="63"/>
        <v>86545961.542338401</v>
      </c>
      <c r="CB61" s="5">
        <f t="shared" si="64"/>
        <v>0.84000000000000008</v>
      </c>
      <c r="CC61" s="177">
        <f t="shared" si="65"/>
        <v>9.7058254004859322E-9</v>
      </c>
      <c r="CD61" s="5">
        <f t="shared" si="66"/>
        <v>9.7058254004859328E-7</v>
      </c>
      <c r="CG61" s="571">
        <f t="shared" si="117"/>
        <v>-50</v>
      </c>
      <c r="CH61">
        <f t="shared" si="118"/>
        <v>-50</v>
      </c>
    </row>
    <row r="62" spans="5:86" x14ac:dyDescent="0.25">
      <c r="E62" s="174">
        <v>57</v>
      </c>
      <c r="F62" s="221">
        <f t="shared" si="119"/>
        <v>5.6999999999999995E-2</v>
      </c>
      <c r="G62" s="221"/>
      <c r="H62" s="221">
        <f t="shared" si="67"/>
        <v>0.85499999999999998</v>
      </c>
      <c r="I62" s="551">
        <f t="shared" si="68"/>
        <v>24</v>
      </c>
      <c r="J62" s="176">
        <f t="shared" si="69"/>
        <v>695386.58000000007</v>
      </c>
      <c r="K62" s="451">
        <f t="shared" si="70"/>
        <v>695410.58000000007</v>
      </c>
      <c r="L62" s="451"/>
      <c r="M62" s="221">
        <f t="shared" si="71"/>
        <v>0.99996548801428931</v>
      </c>
      <c r="N62" s="176">
        <f t="shared" si="72"/>
        <v>8.0997204529157436</v>
      </c>
      <c r="O62" s="176">
        <f t="shared" si="53"/>
        <v>0.85499999999999998</v>
      </c>
      <c r="P62" s="221">
        <f t="shared" si="73"/>
        <v>0.5399813635277162</v>
      </c>
      <c r="Q62" s="221">
        <f t="shared" si="74"/>
        <v>15</v>
      </c>
      <c r="R62" s="221">
        <f t="shared" si="75"/>
        <v>0.59997929280857354</v>
      </c>
      <c r="S62" s="176">
        <f t="shared" si="76"/>
        <v>142.10473867931694</v>
      </c>
      <c r="T62" s="176">
        <f t="shared" si="77"/>
        <v>15</v>
      </c>
      <c r="U62" s="221">
        <f t="shared" si="78"/>
        <v>7.9169398959832285E-2</v>
      </c>
      <c r="V62" s="221">
        <f t="shared" si="79"/>
        <v>9.8961748699790367E-2</v>
      </c>
      <c r="W62" s="221">
        <f t="shared" si="80"/>
        <v>3.4154843321753033E-6</v>
      </c>
      <c r="X62" s="201">
        <f t="shared" si="81"/>
        <v>350</v>
      </c>
      <c r="Y62" s="451">
        <f t="shared" si="54"/>
        <v>350</v>
      </c>
      <c r="AA62" s="221">
        <f t="shared" si="82"/>
        <v>2.2856354011755182</v>
      </c>
      <c r="AB62" s="177">
        <f t="shared" si="83"/>
        <v>9.8605673459021225E-5</v>
      </c>
      <c r="AC62" s="177">
        <f t="shared" si="84"/>
        <v>1.8020156525828219</v>
      </c>
      <c r="AD62" s="177"/>
      <c r="AE62" s="177">
        <f t="shared" si="85"/>
        <v>6.4712206554230591E-6</v>
      </c>
      <c r="AF62" s="555">
        <f t="shared" si="86"/>
        <v>2570.4888888888895</v>
      </c>
      <c r="AG62" s="538">
        <f t="shared" si="87"/>
        <v>7.7611695137976321E-3</v>
      </c>
      <c r="AI62" s="177">
        <f t="shared" si="88"/>
        <v>0.42849311453785249</v>
      </c>
      <c r="AJ62" s="177">
        <f t="shared" si="89"/>
        <v>0.42849311453785249</v>
      </c>
      <c r="AK62" s="177">
        <f t="shared" si="90"/>
        <v>1.3856620763585683</v>
      </c>
      <c r="AM62" s="555">
        <f t="shared" si="91"/>
        <v>56.999999999999993</v>
      </c>
      <c r="AN62" s="469">
        <f t="shared" si="92"/>
        <v>350</v>
      </c>
      <c r="AP62">
        <f t="shared" si="93"/>
        <v>56.999999999999993</v>
      </c>
      <c r="AQ62">
        <f t="shared" si="94"/>
        <v>350</v>
      </c>
      <c r="AS62" s="5">
        <f t="shared" si="55"/>
        <v>2.8571428571428572</v>
      </c>
      <c r="AT62" s="5">
        <f t="shared" si="95"/>
        <v>0.53561639317231569</v>
      </c>
      <c r="AU62" s="5">
        <f t="shared" si="56"/>
        <v>2.3215264639705415</v>
      </c>
      <c r="AV62" s="5">
        <f t="shared" si="96"/>
        <v>1.8485823290026068E-5</v>
      </c>
      <c r="AW62" s="177">
        <f t="shared" si="57"/>
        <v>0.18746573761031049</v>
      </c>
      <c r="AX62" s="177">
        <f t="shared" si="97"/>
        <v>0.96393333333333309</v>
      </c>
      <c r="AY62" s="177">
        <f t="shared" si="98"/>
        <v>7953.6630356155265</v>
      </c>
      <c r="AZ62" s="177">
        <f t="shared" si="58"/>
        <v>1.2119363480913864E-4</v>
      </c>
      <c r="BA62" s="469">
        <f t="shared" si="99"/>
        <v>3.7498705811702195</v>
      </c>
      <c r="BB62" s="469">
        <f t="shared" si="100"/>
        <v>0.69367474119771089</v>
      </c>
      <c r="BC62" s="5">
        <f t="shared" si="101"/>
        <v>7.6578129887917151E-2</v>
      </c>
      <c r="BD62" s="469">
        <f t="shared" si="102"/>
        <v>9.3081255865500605</v>
      </c>
      <c r="BE62" s="5"/>
      <c r="BF62" s="177">
        <f t="shared" si="59"/>
        <v>0.10711349072191995</v>
      </c>
      <c r="BG62" s="177">
        <f t="shared" si="103"/>
        <v>10188.628202696395</v>
      </c>
      <c r="BH62" s="177"/>
      <c r="BI62" s="538">
        <f t="shared" si="104"/>
        <v>4.015654963122191E-3</v>
      </c>
      <c r="BJ62" s="538">
        <f t="shared" si="105"/>
        <v>521.4626292868553</v>
      </c>
      <c r="BK62" s="538">
        <f t="shared" si="106"/>
        <v>4.3749999999999995E-3</v>
      </c>
      <c r="BL62" s="538">
        <f t="shared" si="107"/>
        <v>8462927.8085788898</v>
      </c>
      <c r="BM62">
        <f t="shared" si="108"/>
        <v>6.96E-3</v>
      </c>
      <c r="BN62">
        <f t="shared" si="109"/>
        <v>1.6625000000000001E-5</v>
      </c>
      <c r="BO62" s="538">
        <f t="shared" si="110"/>
        <v>8469724.407179758</v>
      </c>
      <c r="BP62" s="469">
        <f t="shared" si="60"/>
        <v>8469724407.1797581</v>
      </c>
      <c r="BQ62" s="538">
        <f t="shared" si="111"/>
        <v>79309422.53105469</v>
      </c>
      <c r="BR62" s="538"/>
      <c r="BT62" s="469">
        <f t="shared" si="61"/>
        <v>79309422531.054688</v>
      </c>
      <c r="BU62" s="538">
        <f t="shared" si="112"/>
        <v>1.147329989463483E-3</v>
      </c>
      <c r="BV62" s="538">
        <f t="shared" si="113"/>
        <v>3114244.3395834109</v>
      </c>
      <c r="BW62" s="538">
        <f t="shared" si="114"/>
        <v>0</v>
      </c>
      <c r="BX62" s="538">
        <f t="shared" si="115"/>
        <v>-14.000056193632638</v>
      </c>
      <c r="BY62" s="538">
        <f t="shared" si="116"/>
        <v>3.2131111111111102E-3</v>
      </c>
      <c r="BZ62" s="469">
        <f t="shared" si="62"/>
        <v>-13996.843082521527</v>
      </c>
      <c r="CA62" s="177">
        <f t="shared" si="63"/>
        <v>87779132.941391364</v>
      </c>
      <c r="CB62" s="5">
        <f t="shared" si="64"/>
        <v>0.85499999999999998</v>
      </c>
      <c r="CC62" s="177">
        <f t="shared" si="65"/>
        <v>9.7403558570448011E-9</v>
      </c>
      <c r="CD62" s="5">
        <f t="shared" si="66"/>
        <v>9.7403558570448019E-7</v>
      </c>
      <c r="CG62" s="571">
        <f t="shared" si="117"/>
        <v>-50</v>
      </c>
      <c r="CH62">
        <f t="shared" si="118"/>
        <v>-50</v>
      </c>
    </row>
    <row r="63" spans="5:86" x14ac:dyDescent="0.25">
      <c r="E63" s="174">
        <v>58</v>
      </c>
      <c r="F63" s="221">
        <f t="shared" si="119"/>
        <v>5.7999999999999996E-2</v>
      </c>
      <c r="G63" s="221"/>
      <c r="H63" s="221">
        <f t="shared" si="67"/>
        <v>0.86999999999999988</v>
      </c>
      <c r="I63" s="551">
        <f t="shared" si="68"/>
        <v>24</v>
      </c>
      <c r="J63" s="176">
        <f t="shared" si="69"/>
        <v>695386.58000000007</v>
      </c>
      <c r="K63" s="451">
        <f t="shared" si="70"/>
        <v>695410.58000000007</v>
      </c>
      <c r="L63" s="451"/>
      <c r="M63" s="221">
        <f t="shared" si="71"/>
        <v>0.99996548801428931</v>
      </c>
      <c r="N63" s="176">
        <f t="shared" si="72"/>
        <v>8.0997204529157436</v>
      </c>
      <c r="O63" s="176">
        <f t="shared" si="53"/>
        <v>0.86999999999999988</v>
      </c>
      <c r="P63" s="221">
        <f t="shared" si="73"/>
        <v>0.5399813635277162</v>
      </c>
      <c r="Q63" s="221">
        <f t="shared" si="74"/>
        <v>15</v>
      </c>
      <c r="R63" s="221">
        <f t="shared" si="75"/>
        <v>0.59997929280857354</v>
      </c>
      <c r="S63" s="176">
        <f t="shared" si="76"/>
        <v>139.6546479494381</v>
      </c>
      <c r="T63" s="176">
        <f t="shared" si="77"/>
        <v>15</v>
      </c>
      <c r="U63" s="221">
        <f t="shared" si="78"/>
        <v>8.0558335783688984E-2</v>
      </c>
      <c r="V63" s="221">
        <f t="shared" si="79"/>
        <v>0.10069791972961123</v>
      </c>
      <c r="W63" s="221">
        <f t="shared" si="80"/>
        <v>3.475405109932765E-6</v>
      </c>
      <c r="X63" s="201">
        <f t="shared" si="81"/>
        <v>350</v>
      </c>
      <c r="Y63" s="451">
        <f t="shared" si="54"/>
        <v>350</v>
      </c>
      <c r="AA63" s="221">
        <f t="shared" si="82"/>
        <v>2.2856354011755182</v>
      </c>
      <c r="AB63" s="177">
        <f t="shared" si="83"/>
        <v>9.8605673459021225E-5</v>
      </c>
      <c r="AC63" s="177">
        <f t="shared" si="84"/>
        <v>1.8020156525828219</v>
      </c>
      <c r="AD63" s="177"/>
      <c r="AE63" s="177">
        <f t="shared" si="85"/>
        <v>6.4712206554230591E-6</v>
      </c>
      <c r="AF63" s="555">
        <f t="shared" si="86"/>
        <v>2615.5851851851858</v>
      </c>
      <c r="AG63" s="538">
        <f t="shared" si="87"/>
        <v>7.7611695137976321E-3</v>
      </c>
      <c r="AI63" s="177">
        <f t="shared" si="88"/>
        <v>0.43223548353589997</v>
      </c>
      <c r="AJ63" s="177">
        <f t="shared" si="89"/>
        <v>0.43223548353589997</v>
      </c>
      <c r="AK63" s="177">
        <f t="shared" si="90"/>
        <v>1.3881569890239334</v>
      </c>
      <c r="AM63" s="555">
        <f t="shared" si="91"/>
        <v>57.999999999999993</v>
      </c>
      <c r="AN63" s="469">
        <f t="shared" si="92"/>
        <v>350</v>
      </c>
      <c r="AP63">
        <f t="shared" si="93"/>
        <v>57.999999999999993</v>
      </c>
      <c r="AQ63">
        <f t="shared" si="94"/>
        <v>350</v>
      </c>
      <c r="AS63" s="5">
        <f t="shared" si="55"/>
        <v>2.8571428571428572</v>
      </c>
      <c r="AT63" s="5">
        <f t="shared" si="95"/>
        <v>0.54029435441987494</v>
      </c>
      <c r="AU63" s="5">
        <f t="shared" si="56"/>
        <v>2.3168485027229822</v>
      </c>
      <c r="AV63" s="5">
        <f t="shared" si="96"/>
        <v>1.8647274593761933E-5</v>
      </c>
      <c r="AW63" s="177">
        <f t="shared" si="57"/>
        <v>0.18910302404695623</v>
      </c>
      <c r="AX63" s="177">
        <f t="shared" si="97"/>
        <v>0.98084444444444463</v>
      </c>
      <c r="AY63" s="177">
        <f t="shared" si="98"/>
        <v>8006.9617610432742</v>
      </c>
      <c r="AZ63" s="177">
        <f t="shared" si="58"/>
        <v>1.2249895449939613E-4</v>
      </c>
      <c r="BA63" s="469">
        <f t="shared" si="99"/>
        <v>3.7498705811702195</v>
      </c>
      <c r="BB63" s="469">
        <f t="shared" si="100"/>
        <v>0.71517507829766069</v>
      </c>
      <c r="BC63" s="5">
        <f t="shared" si="101"/>
        <v>7.7764590947877854E-2</v>
      </c>
      <c r="BD63" s="469">
        <f t="shared" si="102"/>
        <v>9.4525842470786792</v>
      </c>
      <c r="BE63" s="5"/>
      <c r="BF63" s="177">
        <f t="shared" si="59"/>
        <v>0.10851981036734792</v>
      </c>
      <c r="BG63" s="177">
        <f t="shared" si="103"/>
        <v>10267.253438277892</v>
      </c>
      <c r="BH63" s="177"/>
      <c r="BI63" s="538">
        <f t="shared" si="104"/>
        <v>4.1217922347578035E-3</v>
      </c>
      <c r="BJ63" s="538">
        <f t="shared" si="105"/>
        <v>526.01697452899123</v>
      </c>
      <c r="BK63" s="538">
        <f t="shared" si="106"/>
        <v>4.3749999999999995E-3</v>
      </c>
      <c r="BL63" s="538">
        <f t="shared" si="107"/>
        <v>8462927.8085788898</v>
      </c>
      <c r="BM63">
        <f t="shared" si="108"/>
        <v>6.96E-3</v>
      </c>
      <c r="BN63">
        <f t="shared" si="109"/>
        <v>1.6625000000000001E-5</v>
      </c>
      <c r="BO63" s="538">
        <f t="shared" si="110"/>
        <v>8469894.9482466411</v>
      </c>
      <c r="BP63" s="469">
        <f t="shared" si="60"/>
        <v>8469894948.2466412</v>
      </c>
      <c r="BQ63" s="538">
        <f t="shared" si="111"/>
        <v>80538200.795310482</v>
      </c>
      <c r="BR63" s="538"/>
      <c r="BT63" s="469">
        <f t="shared" si="61"/>
        <v>80538200795.310486</v>
      </c>
      <c r="BU63" s="538">
        <f t="shared" si="112"/>
        <v>1.1776549242165154E-3</v>
      </c>
      <c r="BV63" s="538">
        <f t="shared" si="113"/>
        <v>3162494.7949748756</v>
      </c>
      <c r="BW63" s="538">
        <f t="shared" si="114"/>
        <v>0</v>
      </c>
      <c r="BX63" s="538">
        <f t="shared" si="115"/>
        <v>-14.000055336278155</v>
      </c>
      <c r="BY63" s="538">
        <f t="shared" si="116"/>
        <v>3.2694814814814822E-3</v>
      </c>
      <c r="BZ63" s="469">
        <f t="shared" si="62"/>
        <v>-13996.785854796673</v>
      </c>
      <c r="CA63" s="177">
        <f t="shared" si="63"/>
        <v>89008081.746771261</v>
      </c>
      <c r="CB63" s="5">
        <f t="shared" si="64"/>
        <v>0.86999999999999988</v>
      </c>
      <c r="CC63" s="177">
        <f t="shared" si="65"/>
        <v>9.7743932283748675E-9</v>
      </c>
      <c r="CD63" s="5">
        <f t="shared" si="66"/>
        <v>9.7743932283748675E-7</v>
      </c>
      <c r="CG63" s="571">
        <f t="shared" si="117"/>
        <v>-50</v>
      </c>
      <c r="CH63">
        <f t="shared" si="118"/>
        <v>-50</v>
      </c>
    </row>
    <row r="64" spans="5:86" x14ac:dyDescent="0.25">
      <c r="E64" s="174">
        <v>59</v>
      </c>
      <c r="F64" s="221">
        <f t="shared" si="119"/>
        <v>5.8999999999999997E-2</v>
      </c>
      <c r="G64" s="221"/>
      <c r="H64" s="221">
        <f t="shared" si="67"/>
        <v>0.88500000000000001</v>
      </c>
      <c r="I64" s="551">
        <f t="shared" si="68"/>
        <v>24</v>
      </c>
      <c r="J64" s="176">
        <f t="shared" si="69"/>
        <v>695386.58000000007</v>
      </c>
      <c r="K64" s="451">
        <f t="shared" si="70"/>
        <v>695410.58000000007</v>
      </c>
      <c r="L64" s="451"/>
      <c r="M64" s="221">
        <f t="shared" si="71"/>
        <v>0.99996548801428931</v>
      </c>
      <c r="N64" s="176">
        <f t="shared" si="72"/>
        <v>8.0997204529157436</v>
      </c>
      <c r="O64" s="176">
        <f t="shared" si="53"/>
        <v>0.88500000000000001</v>
      </c>
      <c r="P64" s="221">
        <f t="shared" si="73"/>
        <v>0.5399813635277162</v>
      </c>
      <c r="Q64" s="221">
        <f t="shared" si="74"/>
        <v>15</v>
      </c>
      <c r="R64" s="221">
        <f t="shared" si="75"/>
        <v>0.59997929280857354</v>
      </c>
      <c r="S64" s="176">
        <f t="shared" si="76"/>
        <v>137.28761114308739</v>
      </c>
      <c r="T64" s="176">
        <f t="shared" si="77"/>
        <v>15</v>
      </c>
      <c r="U64" s="221">
        <f t="shared" si="78"/>
        <v>8.194727260754571E-2</v>
      </c>
      <c r="V64" s="221">
        <f t="shared" si="79"/>
        <v>0.10243409075943213</v>
      </c>
      <c r="W64" s="221">
        <f t="shared" si="80"/>
        <v>3.5353258876902271E-6</v>
      </c>
      <c r="X64" s="201">
        <f t="shared" si="81"/>
        <v>350</v>
      </c>
      <c r="Y64" s="451">
        <f t="shared" si="54"/>
        <v>350</v>
      </c>
      <c r="AA64" s="221">
        <f t="shared" si="82"/>
        <v>2.2856354011755182</v>
      </c>
      <c r="AB64" s="177">
        <f t="shared" si="83"/>
        <v>9.8605673459021225E-5</v>
      </c>
      <c r="AC64" s="177">
        <f t="shared" si="84"/>
        <v>1.8020156525828219</v>
      </c>
      <c r="AD64" s="177"/>
      <c r="AE64" s="177">
        <f t="shared" si="85"/>
        <v>6.4712206554230591E-6</v>
      </c>
      <c r="AF64" s="555">
        <f t="shared" si="86"/>
        <v>2660.681481481482</v>
      </c>
      <c r="AG64" s="538">
        <f t="shared" si="87"/>
        <v>7.7611695137976321E-3</v>
      </c>
      <c r="AI64" s="177">
        <f t="shared" si="88"/>
        <v>0.43594572741188464</v>
      </c>
      <c r="AJ64" s="177">
        <f t="shared" si="89"/>
        <v>0.43594572741188464</v>
      </c>
      <c r="AK64" s="177">
        <f t="shared" si="90"/>
        <v>1.3906304849412563</v>
      </c>
      <c r="AM64" s="555">
        <f t="shared" si="91"/>
        <v>59</v>
      </c>
      <c r="AN64" s="469">
        <f t="shared" si="92"/>
        <v>350</v>
      </c>
      <c r="AP64">
        <f t="shared" si="93"/>
        <v>59</v>
      </c>
      <c r="AQ64">
        <f t="shared" si="94"/>
        <v>350</v>
      </c>
      <c r="AS64" s="5">
        <f t="shared" si="55"/>
        <v>2.8571428571428572</v>
      </c>
      <c r="AT64" s="5">
        <f t="shared" si="95"/>
        <v>0.54493215926485583</v>
      </c>
      <c r="AU64" s="5">
        <f t="shared" si="56"/>
        <v>2.3122106978780015</v>
      </c>
      <c r="AV64" s="5">
        <f t="shared" si="96"/>
        <v>1.8807339972474788E-5</v>
      </c>
      <c r="AW64" s="177">
        <f t="shared" si="57"/>
        <v>0.19072625574269952</v>
      </c>
      <c r="AX64" s="177">
        <f t="shared" si="97"/>
        <v>0.99775555555555551</v>
      </c>
      <c r="AY64" s="177">
        <f t="shared" si="98"/>
        <v>8059.5266041200584</v>
      </c>
      <c r="AZ64" s="177">
        <f t="shared" si="58"/>
        <v>1.2379828302142452E-4</v>
      </c>
      <c r="BA64" s="469">
        <f t="shared" si="99"/>
        <v>3.7498705811702195</v>
      </c>
      <c r="BB64" s="469">
        <f t="shared" si="100"/>
        <v>0.73699716039065311</v>
      </c>
      <c r="BC64" s="5">
        <f t="shared" si="101"/>
        <v>7.8947008781714165E-2</v>
      </c>
      <c r="BD64" s="469">
        <f t="shared" si="102"/>
        <v>9.5965577204723687</v>
      </c>
      <c r="BE64" s="5"/>
      <c r="BF64" s="177">
        <f t="shared" si="59"/>
        <v>0.10992008099901941</v>
      </c>
      <c r="BG64" s="177">
        <f t="shared" si="103"/>
        <v>10345.016227306</v>
      </c>
      <c r="BH64" s="177"/>
      <c r="BI64" s="538">
        <f t="shared" si="104"/>
        <v>4.2288484723908455E-3</v>
      </c>
      <c r="BJ64" s="538">
        <f t="shared" si="105"/>
        <v>530.53222450903615</v>
      </c>
      <c r="BK64" s="538">
        <f t="shared" si="106"/>
        <v>4.3749999999999995E-3</v>
      </c>
      <c r="BL64" s="538">
        <f t="shared" si="107"/>
        <v>8462927.8085788898</v>
      </c>
      <c r="BM64">
        <f t="shared" si="108"/>
        <v>6.96E-3</v>
      </c>
      <c r="BN64">
        <f t="shared" si="109"/>
        <v>1.6625000000000001E-5</v>
      </c>
      <c r="BO64" s="538">
        <f t="shared" si="110"/>
        <v>8470066.8940875735</v>
      </c>
      <c r="BP64" s="469">
        <f t="shared" si="60"/>
        <v>8470066894.0875731</v>
      </c>
      <c r="BQ64" s="538">
        <f t="shared" si="111"/>
        <v>81762791.624726966</v>
      </c>
      <c r="BR64" s="538"/>
      <c r="BT64" s="469">
        <f t="shared" si="61"/>
        <v>81762791624.726959</v>
      </c>
      <c r="BU64" s="538">
        <f t="shared" si="112"/>
        <v>1.2082424206830988E-3</v>
      </c>
      <c r="BV64" s="538">
        <f t="shared" si="113"/>
        <v>3210580.8222967335</v>
      </c>
      <c r="BW64" s="538">
        <f t="shared" si="114"/>
        <v>0</v>
      </c>
      <c r="BX64" s="538">
        <f t="shared" si="115"/>
        <v>-14.000054507483524</v>
      </c>
      <c r="BY64" s="538">
        <f t="shared" si="116"/>
        <v>3.3258518518518515E-3</v>
      </c>
      <c r="BZ64" s="469">
        <f t="shared" si="62"/>
        <v>-13996.728655631672</v>
      </c>
      <c r="CA64" s="177">
        <f t="shared" si="63"/>
        <v>90232844.522085875</v>
      </c>
      <c r="CB64" s="5">
        <f t="shared" si="64"/>
        <v>0.88500000000000001</v>
      </c>
      <c r="CC64" s="177">
        <f t="shared" si="65"/>
        <v>9.8079584657595427E-9</v>
      </c>
      <c r="CD64" s="5">
        <f t="shared" si="66"/>
        <v>9.807958465759542E-7</v>
      </c>
      <c r="CG64" s="571">
        <f t="shared" si="117"/>
        <v>-50</v>
      </c>
      <c r="CH64">
        <f t="shared" si="118"/>
        <v>-50</v>
      </c>
    </row>
    <row r="65" spans="5:86" x14ac:dyDescent="0.25">
      <c r="E65" s="174">
        <v>60</v>
      </c>
      <c r="F65" s="221">
        <f t="shared" si="119"/>
        <v>0.06</v>
      </c>
      <c r="G65" s="221"/>
      <c r="H65" s="221">
        <f t="shared" si="67"/>
        <v>0.89999999999999991</v>
      </c>
      <c r="I65" s="551">
        <f t="shared" si="68"/>
        <v>24</v>
      </c>
      <c r="J65" s="176">
        <f t="shared" si="69"/>
        <v>695386.58000000007</v>
      </c>
      <c r="K65" s="451">
        <f t="shared" si="70"/>
        <v>695410.58000000007</v>
      </c>
      <c r="L65" s="451"/>
      <c r="M65" s="221">
        <f t="shared" si="71"/>
        <v>0.99996548801428931</v>
      </c>
      <c r="N65" s="176">
        <f t="shared" si="72"/>
        <v>8.0997204529157436</v>
      </c>
      <c r="O65" s="176">
        <f t="shared" si="53"/>
        <v>0.89999999999999991</v>
      </c>
      <c r="P65" s="221">
        <f t="shared" si="73"/>
        <v>0.5399813635277162</v>
      </c>
      <c r="Q65" s="221">
        <f t="shared" si="74"/>
        <v>15</v>
      </c>
      <c r="R65" s="221">
        <f t="shared" si="75"/>
        <v>0.59997929280857354</v>
      </c>
      <c r="S65" s="176">
        <f t="shared" si="76"/>
        <v>134.9994755640883</v>
      </c>
      <c r="T65" s="176">
        <f t="shared" si="77"/>
        <v>15</v>
      </c>
      <c r="U65" s="221">
        <f t="shared" si="78"/>
        <v>8.3336209431402408E-2</v>
      </c>
      <c r="V65" s="221">
        <f t="shared" si="79"/>
        <v>0.10417026178925301</v>
      </c>
      <c r="W65" s="221">
        <f t="shared" si="80"/>
        <v>3.5952466654476883E-6</v>
      </c>
      <c r="X65" s="201">
        <f t="shared" si="81"/>
        <v>350</v>
      </c>
      <c r="Y65" s="451">
        <f t="shared" si="54"/>
        <v>350</v>
      </c>
      <c r="AA65" s="221">
        <f t="shared" si="82"/>
        <v>2.2856354011755182</v>
      </c>
      <c r="AB65" s="177">
        <f t="shared" si="83"/>
        <v>9.8605673459021225E-5</v>
      </c>
      <c r="AC65" s="177">
        <f t="shared" si="84"/>
        <v>1.8020156525828219</v>
      </c>
      <c r="AD65" s="177"/>
      <c r="AE65" s="177">
        <f t="shared" si="85"/>
        <v>6.4712206554230591E-6</v>
      </c>
      <c r="AF65" s="555">
        <f t="shared" si="86"/>
        <v>2705.7777777777783</v>
      </c>
      <c r="AG65" s="538">
        <f t="shared" si="87"/>
        <v>7.7611695137976321E-3</v>
      </c>
      <c r="AI65" s="177">
        <f t="shared" si="88"/>
        <v>0.43962465953338109</v>
      </c>
      <c r="AJ65" s="177">
        <f t="shared" si="89"/>
        <v>0.43962465953338109</v>
      </c>
      <c r="AK65" s="177">
        <f t="shared" si="90"/>
        <v>1.3930831063555873</v>
      </c>
      <c r="AM65" s="555">
        <f t="shared" si="91"/>
        <v>60</v>
      </c>
      <c r="AN65" s="469">
        <f t="shared" si="92"/>
        <v>350</v>
      </c>
      <c r="AP65">
        <f t="shared" si="93"/>
        <v>60</v>
      </c>
      <c r="AQ65">
        <f t="shared" si="94"/>
        <v>350</v>
      </c>
      <c r="AS65" s="5">
        <f t="shared" si="55"/>
        <v>2.8571428571428572</v>
      </c>
      <c r="AT65" s="5">
        <f t="shared" si="95"/>
        <v>0.54953082441672629</v>
      </c>
      <c r="AU65" s="5">
        <f t="shared" si="56"/>
        <v>2.3076120327261309</v>
      </c>
      <c r="AV65" s="5">
        <f t="shared" si="96"/>
        <v>1.8966054516038305E-5</v>
      </c>
      <c r="AW65" s="177">
        <f t="shared" si="57"/>
        <v>0.1923357885458542</v>
      </c>
      <c r="AX65" s="177">
        <f t="shared" si="97"/>
        <v>1.0146666666666666</v>
      </c>
      <c r="AY65" s="177">
        <f t="shared" si="98"/>
        <v>8111.3761458214358</v>
      </c>
      <c r="AZ65" s="177">
        <f t="shared" si="58"/>
        <v>1.2509180297222078E-4</v>
      </c>
      <c r="BA65" s="469">
        <f t="shared" si="99"/>
        <v>3.7498705811702195</v>
      </c>
      <c r="BB65" s="469">
        <f t="shared" si="100"/>
        <v>0.75914098747668812</v>
      </c>
      <c r="BC65" s="5">
        <f t="shared" si="101"/>
        <v>8.0125417802990637E-2</v>
      </c>
      <c r="BD65" s="469">
        <f t="shared" si="102"/>
        <v>9.7400501363588798</v>
      </c>
      <c r="BE65" s="5"/>
      <c r="BF65" s="177">
        <f t="shared" si="59"/>
        <v>0.11131443051519568</v>
      </c>
      <c r="BG65" s="177">
        <f t="shared" si="103"/>
        <v>10421.938113204727</v>
      </c>
      <c r="BH65" s="177"/>
      <c r="BI65" s="538">
        <f t="shared" si="104"/>
        <v>4.3368158543228147E-3</v>
      </c>
      <c r="BJ65" s="538">
        <f t="shared" si="105"/>
        <v>535.00936906971936</v>
      </c>
      <c r="BK65" s="538">
        <f t="shared" si="106"/>
        <v>4.3749999999999995E-3</v>
      </c>
      <c r="BL65" s="538">
        <f t="shared" si="107"/>
        <v>8462927.8085788898</v>
      </c>
      <c r="BM65">
        <f t="shared" si="108"/>
        <v>6.96E-3</v>
      </c>
      <c r="BN65">
        <f t="shared" si="109"/>
        <v>1.6625000000000001E-5</v>
      </c>
      <c r="BO65" s="538">
        <f t="shared" si="110"/>
        <v>8470240.2336308006</v>
      </c>
      <c r="BP65" s="469">
        <f t="shared" si="60"/>
        <v>8470240233.6308002</v>
      </c>
      <c r="BQ65" s="538">
        <f t="shared" si="111"/>
        <v>82983230.660288543</v>
      </c>
      <c r="BR65" s="538"/>
      <c r="BT65" s="469">
        <f t="shared" si="61"/>
        <v>82983230660.288544</v>
      </c>
      <c r="BU65" s="538">
        <f t="shared" si="112"/>
        <v>1.239090244092233E-3</v>
      </c>
      <c r="BV65" s="538">
        <f t="shared" si="113"/>
        <v>3258503.8210640792</v>
      </c>
      <c r="BW65" s="538">
        <f t="shared" si="114"/>
        <v>0</v>
      </c>
      <c r="BX65" s="538">
        <f t="shared" si="115"/>
        <v>-14.000053705835828</v>
      </c>
      <c r="BY65" s="538">
        <f t="shared" si="116"/>
        <v>3.3822222222222218E-3</v>
      </c>
      <c r="BZ65" s="469">
        <f t="shared" si="62"/>
        <v>-13996.671483613605</v>
      </c>
      <c r="CA65" s="177">
        <f t="shared" si="63"/>
        <v>91453456.897247866</v>
      </c>
      <c r="CB65" s="5">
        <f t="shared" si="64"/>
        <v>0.89999999999999991</v>
      </c>
      <c r="CC65" s="177">
        <f t="shared" si="65"/>
        <v>9.8410713129655315E-9</v>
      </c>
      <c r="CD65" s="5">
        <f t="shared" si="66"/>
        <v>9.8410713129655318E-7</v>
      </c>
      <c r="CG65" s="571">
        <f t="shared" si="117"/>
        <v>-50</v>
      </c>
      <c r="CH65">
        <f t="shared" si="118"/>
        <v>-50</v>
      </c>
    </row>
    <row r="66" spans="5:86" x14ac:dyDescent="0.25">
      <c r="E66" s="174">
        <v>61</v>
      </c>
      <c r="F66" s="221">
        <f t="shared" si="119"/>
        <v>6.0999999999999999E-2</v>
      </c>
      <c r="G66" s="221"/>
      <c r="H66" s="221">
        <f t="shared" si="67"/>
        <v>0.91500000000000004</v>
      </c>
      <c r="I66" s="551">
        <f t="shared" si="68"/>
        <v>24</v>
      </c>
      <c r="J66" s="176">
        <f t="shared" si="69"/>
        <v>695386.58000000007</v>
      </c>
      <c r="K66" s="451">
        <f t="shared" si="70"/>
        <v>695410.58000000007</v>
      </c>
      <c r="L66" s="451"/>
      <c r="M66" s="221">
        <f t="shared" si="71"/>
        <v>0.99996548801428931</v>
      </c>
      <c r="N66" s="176">
        <f t="shared" si="72"/>
        <v>8.0997204529157436</v>
      </c>
      <c r="O66" s="176">
        <f t="shared" si="53"/>
        <v>0.91500000000000004</v>
      </c>
      <c r="P66" s="221">
        <f t="shared" si="73"/>
        <v>0.5399813635277162</v>
      </c>
      <c r="Q66" s="221">
        <f t="shared" si="74"/>
        <v>15</v>
      </c>
      <c r="R66" s="221">
        <f t="shared" si="75"/>
        <v>0.59997929280857354</v>
      </c>
      <c r="S66" s="176">
        <f t="shared" si="76"/>
        <v>132.78636082421042</v>
      </c>
      <c r="T66" s="176">
        <f t="shared" si="77"/>
        <v>15</v>
      </c>
      <c r="U66" s="221">
        <f t="shared" si="78"/>
        <v>8.4725146255259121E-2</v>
      </c>
      <c r="V66" s="221">
        <f t="shared" si="79"/>
        <v>0.10590643281907391</v>
      </c>
      <c r="W66" s="221">
        <f t="shared" si="80"/>
        <v>3.6551674432051496E-6</v>
      </c>
      <c r="X66" s="201">
        <f t="shared" si="81"/>
        <v>350</v>
      </c>
      <c r="Y66" s="451">
        <f t="shared" si="54"/>
        <v>350</v>
      </c>
      <c r="AA66" s="221">
        <f t="shared" si="82"/>
        <v>2.2856354011755182</v>
      </c>
      <c r="AB66" s="177">
        <f t="shared" si="83"/>
        <v>9.8605673459021225E-5</v>
      </c>
      <c r="AC66" s="177">
        <f t="shared" si="84"/>
        <v>1.8020156525828219</v>
      </c>
      <c r="AD66" s="177"/>
      <c r="AE66" s="177">
        <f t="shared" si="85"/>
        <v>6.4712206554230591E-6</v>
      </c>
      <c r="AF66" s="555">
        <f t="shared" si="86"/>
        <v>2750.8740740740745</v>
      </c>
      <c r="AG66" s="538">
        <f t="shared" si="87"/>
        <v>7.7611695137976321E-3</v>
      </c>
      <c r="AI66" s="177">
        <f t="shared" si="88"/>
        <v>0.44327305951411627</v>
      </c>
      <c r="AJ66" s="177">
        <f t="shared" si="89"/>
        <v>0.44327305951411627</v>
      </c>
      <c r="AK66" s="177">
        <f t="shared" si="90"/>
        <v>1.395515373009411</v>
      </c>
      <c r="AM66" s="555">
        <f t="shared" si="91"/>
        <v>61</v>
      </c>
      <c r="AN66" s="469">
        <f t="shared" si="92"/>
        <v>350</v>
      </c>
      <c r="AP66">
        <f t="shared" si="93"/>
        <v>61</v>
      </c>
      <c r="AQ66">
        <f t="shared" si="94"/>
        <v>350</v>
      </c>
      <c r="AS66" s="5">
        <f t="shared" si="55"/>
        <v>2.8571428571428572</v>
      </c>
      <c r="AT66" s="5">
        <f t="shared" si="95"/>
        <v>0.55409132439264541</v>
      </c>
      <c r="AU66" s="5">
        <f t="shared" si="56"/>
        <v>2.3030515327502119</v>
      </c>
      <c r="AV66" s="5">
        <f t="shared" si="96"/>
        <v>1.9123451858135493E-5</v>
      </c>
      <c r="AW66" s="177">
        <f t="shared" si="57"/>
        <v>0.19393196353742589</v>
      </c>
      <c r="AX66" s="177">
        <f t="shared" si="97"/>
        <v>1.0315777777777779</v>
      </c>
      <c r="AY66" s="177">
        <f t="shared" si="98"/>
        <v>8162.5281960331922</v>
      </c>
      <c r="AZ66" s="177">
        <f t="shared" si="58"/>
        <v>1.2637968935643026E-4</v>
      </c>
      <c r="BA66" s="469">
        <f t="shared" si="99"/>
        <v>3.7498705811702195</v>
      </c>
      <c r="BB66" s="469">
        <f t="shared" si="100"/>
        <v>0.78160655955576575</v>
      </c>
      <c r="BC66" s="5">
        <f t="shared" si="101"/>
        <v>8.1299851561205366E-2</v>
      </c>
      <c r="BD66" s="469">
        <f t="shared" si="102"/>
        <v>9.8830655206779792</v>
      </c>
      <c r="BE66" s="5"/>
      <c r="BF66" s="177">
        <f t="shared" si="59"/>
        <v>0.11270298202728472</v>
      </c>
      <c r="BG66" s="177">
        <f t="shared" si="103"/>
        <v>10498.039746626586</v>
      </c>
      <c r="BH66" s="177"/>
      <c r="BI66" s="538">
        <f t="shared" si="104"/>
        <v>4.4456867552448622E-3</v>
      </c>
      <c r="BJ66" s="538">
        <f t="shared" si="105"/>
        <v>539.44935697640074</v>
      </c>
      <c r="BK66" s="538">
        <f t="shared" si="106"/>
        <v>4.3749999999999995E-3</v>
      </c>
      <c r="BL66" s="538">
        <f t="shared" si="107"/>
        <v>8462927.8085788898</v>
      </c>
      <c r="BM66">
        <f t="shared" si="108"/>
        <v>6.96E-3</v>
      </c>
      <c r="BN66">
        <f t="shared" si="109"/>
        <v>1.6625000000000001E-5</v>
      </c>
      <c r="BO66" s="538">
        <f t="shared" si="110"/>
        <v>8470414.9560701549</v>
      </c>
      <c r="BP66" s="469">
        <f t="shared" si="60"/>
        <v>8470414956.0701551</v>
      </c>
      <c r="BQ66" s="538">
        <f t="shared" si="111"/>
        <v>84199552.648094699</v>
      </c>
      <c r="BR66" s="538"/>
      <c r="BT66" s="469">
        <f t="shared" si="61"/>
        <v>84199552648.094696</v>
      </c>
      <c r="BU66" s="538">
        <f t="shared" si="112"/>
        <v>1.2701962157842465E-3</v>
      </c>
      <c r="BV66" s="538">
        <f t="shared" si="113"/>
        <v>3306265.1556525477</v>
      </c>
      <c r="BW66" s="538">
        <f t="shared" si="114"/>
        <v>0</v>
      </c>
      <c r="BX66" s="538">
        <f t="shared" si="115"/>
        <v>-14.000052930014176</v>
      </c>
      <c r="BY66" s="538">
        <f t="shared" si="116"/>
        <v>3.4385925925925925E-3</v>
      </c>
      <c r="BZ66" s="469">
        <f t="shared" si="62"/>
        <v>-13996.614337421583</v>
      </c>
      <c r="CA66" s="177">
        <f t="shared" si="63"/>
        <v>92669953.607550517</v>
      </c>
      <c r="CB66" s="5">
        <f t="shared" si="64"/>
        <v>0.91500000000000004</v>
      </c>
      <c r="CC66" s="177">
        <f t="shared" si="65"/>
        <v>9.8737503942266609E-9</v>
      </c>
      <c r="CD66" s="5">
        <f t="shared" si="66"/>
        <v>9.873750394226661E-7</v>
      </c>
      <c r="CG66" s="571">
        <f t="shared" si="117"/>
        <v>-50</v>
      </c>
      <c r="CH66">
        <f t="shared" si="118"/>
        <v>-50</v>
      </c>
    </row>
    <row r="67" spans="5:86" x14ac:dyDescent="0.25">
      <c r="E67" s="174">
        <v>62</v>
      </c>
      <c r="F67" s="221">
        <f t="shared" si="119"/>
        <v>6.2E-2</v>
      </c>
      <c r="G67" s="221"/>
      <c r="H67" s="221">
        <f t="shared" si="67"/>
        <v>0.92999999999999994</v>
      </c>
      <c r="I67" s="551">
        <f t="shared" si="68"/>
        <v>24</v>
      </c>
      <c r="J67" s="176">
        <f t="shared" si="69"/>
        <v>695386.58000000007</v>
      </c>
      <c r="K67" s="451">
        <f t="shared" si="70"/>
        <v>695410.58000000007</v>
      </c>
      <c r="L67" s="451"/>
      <c r="M67" s="221">
        <f t="shared" si="71"/>
        <v>0.99996548801428931</v>
      </c>
      <c r="N67" s="176">
        <f t="shared" si="72"/>
        <v>8.0997204529157436</v>
      </c>
      <c r="O67" s="176">
        <f t="shared" si="53"/>
        <v>0.92999999999999994</v>
      </c>
      <c r="P67" s="221">
        <f t="shared" si="73"/>
        <v>0.5399813635277162</v>
      </c>
      <c r="Q67" s="221">
        <f t="shared" si="74"/>
        <v>15</v>
      </c>
      <c r="R67" s="221">
        <f t="shared" si="75"/>
        <v>0.59997929280857354</v>
      </c>
      <c r="S67" s="176">
        <f t="shared" si="76"/>
        <v>130.64463688285107</v>
      </c>
      <c r="T67" s="176">
        <f t="shared" si="77"/>
        <v>15</v>
      </c>
      <c r="U67" s="221">
        <f t="shared" si="78"/>
        <v>8.6114083079115819E-2</v>
      </c>
      <c r="V67" s="221">
        <f t="shared" si="79"/>
        <v>0.10764260384889478</v>
      </c>
      <c r="W67" s="221">
        <f t="shared" si="80"/>
        <v>3.7150882209626109E-6</v>
      </c>
      <c r="X67" s="201">
        <f t="shared" si="81"/>
        <v>350</v>
      </c>
      <c r="Y67" s="451">
        <f t="shared" si="54"/>
        <v>350</v>
      </c>
      <c r="AA67" s="221">
        <f t="shared" si="82"/>
        <v>2.2856354011755182</v>
      </c>
      <c r="AB67" s="177">
        <f t="shared" si="83"/>
        <v>9.8605673459021225E-5</v>
      </c>
      <c r="AC67" s="177">
        <f t="shared" si="84"/>
        <v>1.8020156525828219</v>
      </c>
      <c r="AD67" s="177"/>
      <c r="AE67" s="177">
        <f t="shared" si="85"/>
        <v>6.4712206554230591E-6</v>
      </c>
      <c r="AF67" s="555">
        <f t="shared" si="86"/>
        <v>2795.9703703703713</v>
      </c>
      <c r="AG67" s="538">
        <f t="shared" si="87"/>
        <v>7.7611695137976321E-3</v>
      </c>
      <c r="AI67" s="177">
        <f t="shared" si="88"/>
        <v>0.44689167514305894</v>
      </c>
      <c r="AJ67" s="177">
        <f t="shared" si="89"/>
        <v>0.44689167514305894</v>
      </c>
      <c r="AK67" s="177">
        <f t="shared" si="90"/>
        <v>1.3979277834287061</v>
      </c>
      <c r="AM67" s="555">
        <f t="shared" si="91"/>
        <v>62</v>
      </c>
      <c r="AN67" s="469">
        <f t="shared" si="92"/>
        <v>350</v>
      </c>
      <c r="AP67">
        <f t="shared" si="93"/>
        <v>62</v>
      </c>
      <c r="AQ67">
        <f t="shared" si="94"/>
        <v>350</v>
      </c>
      <c r="AS67" s="5">
        <f t="shared" si="55"/>
        <v>2.8571428571428572</v>
      </c>
      <c r="AT67" s="5">
        <f t="shared" si="95"/>
        <v>0.55861459392882373</v>
      </c>
      <c r="AU67" s="5">
        <f t="shared" si="56"/>
        <v>2.2985282632140334</v>
      </c>
      <c r="AV67" s="5">
        <f t="shared" si="96"/>
        <v>1.9279564259482501E-5</v>
      </c>
      <c r="AW67" s="177">
        <f t="shared" si="57"/>
        <v>0.1955151078750883</v>
      </c>
      <c r="AX67" s="177">
        <f t="shared" si="97"/>
        <v>1.0484888888888888</v>
      </c>
      <c r="AY67" s="177">
        <f t="shared" si="98"/>
        <v>8212.9998376204258</v>
      </c>
      <c r="AZ67" s="177">
        <f t="shared" si="58"/>
        <v>1.2766211002296455E-4</v>
      </c>
      <c r="BA67" s="469">
        <f t="shared" si="99"/>
        <v>3.7498705811702195</v>
      </c>
      <c r="BB67" s="469">
        <f t="shared" si="100"/>
        <v>0.80439387662788575</v>
      </c>
      <c r="BC67" s="5">
        <f t="shared" si="101"/>
        <v>8.2470342777355335E-2</v>
      </c>
      <c r="BD67" s="469">
        <f t="shared" si="102"/>
        <v>10.025607799949311</v>
      </c>
      <c r="BE67" s="5"/>
      <c r="BF67" s="177">
        <f t="shared" si="59"/>
        <v>0.1140858541144003</v>
      </c>
      <c r="BG67" s="177">
        <f t="shared" si="103"/>
        <v>10573.340936437999</v>
      </c>
      <c r="BH67" s="177"/>
      <c r="BI67" s="538">
        <f t="shared" si="104"/>
        <v>4.5554537381542791E-3</v>
      </c>
      <c r="BJ67" s="538">
        <f t="shared" si="105"/>
        <v>543.85309826471098</v>
      </c>
      <c r="BK67" s="538">
        <f t="shared" si="106"/>
        <v>4.3749999999999995E-3</v>
      </c>
      <c r="BL67" s="538">
        <f t="shared" si="107"/>
        <v>8462927.8085788898</v>
      </c>
      <c r="BM67">
        <f t="shared" si="108"/>
        <v>6.96E-3</v>
      </c>
      <c r="BN67">
        <f t="shared" si="109"/>
        <v>1.6625000000000001E-5</v>
      </c>
      <c r="BO67" s="538">
        <f t="shared" si="110"/>
        <v>8470591.0508547816</v>
      </c>
      <c r="BP67" s="469">
        <f t="shared" si="60"/>
        <v>8470591050.8547821</v>
      </c>
      <c r="BQ67" s="538">
        <f t="shared" si="111"/>
        <v>85411791.47619383</v>
      </c>
      <c r="BR67" s="538"/>
      <c r="BT67" s="469">
        <f t="shared" si="61"/>
        <v>85411791476.193832</v>
      </c>
      <c r="BU67" s="538">
        <f t="shared" si="112"/>
        <v>1.3015582109012229E-3</v>
      </c>
      <c r="BV67" s="538">
        <f t="shared" si="113"/>
        <v>3353866.1567446669</v>
      </c>
      <c r="BW67" s="538">
        <f t="shared" si="114"/>
        <v>0</v>
      </c>
      <c r="BX67" s="538">
        <f t="shared" si="115"/>
        <v>-14.000052178782331</v>
      </c>
      <c r="BY67" s="538">
        <f t="shared" si="116"/>
        <v>3.4949629629629636E-3</v>
      </c>
      <c r="BZ67" s="469">
        <f t="shared" si="62"/>
        <v>-13996.557215819368</v>
      </c>
      <c r="CA67" s="177">
        <f t="shared" si="63"/>
        <v>93882368.530491397</v>
      </c>
      <c r="CB67" s="5">
        <f t="shared" si="64"/>
        <v>0.92999999999999994</v>
      </c>
      <c r="CC67" s="177">
        <f t="shared" si="65"/>
        <v>9.9060132945555092E-9</v>
      </c>
      <c r="CD67" s="5">
        <f t="shared" si="66"/>
        <v>9.9060132945555099E-7</v>
      </c>
      <c r="CG67" s="571">
        <f t="shared" si="117"/>
        <v>-50</v>
      </c>
      <c r="CH67">
        <f t="shared" si="118"/>
        <v>-50</v>
      </c>
    </row>
    <row r="68" spans="5:86" x14ac:dyDescent="0.25">
      <c r="E68" s="174">
        <v>63</v>
      </c>
      <c r="F68" s="221">
        <f t="shared" si="119"/>
        <v>6.3E-2</v>
      </c>
      <c r="G68" s="221"/>
      <c r="H68" s="221">
        <f t="shared" si="67"/>
        <v>0.94500000000000006</v>
      </c>
      <c r="I68" s="551">
        <f t="shared" si="68"/>
        <v>24</v>
      </c>
      <c r="J68" s="176">
        <f t="shared" si="69"/>
        <v>695386.58000000007</v>
      </c>
      <c r="K68" s="451">
        <f t="shared" si="70"/>
        <v>695410.58000000007</v>
      </c>
      <c r="L68" s="451"/>
      <c r="M68" s="221">
        <f t="shared" si="71"/>
        <v>0.99996548801428931</v>
      </c>
      <c r="N68" s="176">
        <f t="shared" si="72"/>
        <v>8.0997204529157436</v>
      </c>
      <c r="O68" s="176">
        <f t="shared" si="53"/>
        <v>0.94500000000000006</v>
      </c>
      <c r="P68" s="221">
        <f t="shared" si="73"/>
        <v>0.5399813635277162</v>
      </c>
      <c r="Q68" s="221">
        <f t="shared" si="74"/>
        <v>15</v>
      </c>
      <c r="R68" s="221">
        <f t="shared" si="75"/>
        <v>0.59997929280857354</v>
      </c>
      <c r="S68" s="176">
        <f t="shared" si="76"/>
        <v>128.57090417817605</v>
      </c>
      <c r="T68" s="176">
        <f t="shared" si="77"/>
        <v>15</v>
      </c>
      <c r="U68" s="221">
        <f t="shared" si="78"/>
        <v>8.7503019902972531E-2</v>
      </c>
      <c r="V68" s="221">
        <f t="shared" si="79"/>
        <v>0.10937877487871568</v>
      </c>
      <c r="W68" s="221">
        <f t="shared" si="80"/>
        <v>3.775008998720073E-6</v>
      </c>
      <c r="X68" s="201">
        <f t="shared" si="81"/>
        <v>350</v>
      </c>
      <c r="Y68" s="451">
        <f t="shared" si="54"/>
        <v>350</v>
      </c>
      <c r="AA68" s="221">
        <f t="shared" si="82"/>
        <v>2.2856354011755182</v>
      </c>
      <c r="AB68" s="177">
        <f t="shared" si="83"/>
        <v>9.8605673459021225E-5</v>
      </c>
      <c r="AC68" s="177">
        <f t="shared" si="84"/>
        <v>1.8020156525828219</v>
      </c>
      <c r="AD68" s="177"/>
      <c r="AE68" s="177">
        <f t="shared" si="85"/>
        <v>6.4712206554230591E-6</v>
      </c>
      <c r="AF68" s="555">
        <f t="shared" si="86"/>
        <v>2841.0666666666675</v>
      </c>
      <c r="AG68" s="538">
        <f t="shared" si="87"/>
        <v>7.7611695137976321E-3</v>
      </c>
      <c r="AI68" s="177">
        <f t="shared" si="88"/>
        <v>0.45048122417403075</v>
      </c>
      <c r="AJ68" s="177">
        <f t="shared" si="89"/>
        <v>0.45048122417403075</v>
      </c>
      <c r="AK68" s="177">
        <f t="shared" si="90"/>
        <v>1.4003208161160206</v>
      </c>
      <c r="AM68" s="555">
        <f t="shared" si="91"/>
        <v>63</v>
      </c>
      <c r="AN68" s="469">
        <f t="shared" si="92"/>
        <v>350</v>
      </c>
      <c r="AP68">
        <f t="shared" si="93"/>
        <v>63</v>
      </c>
      <c r="AQ68">
        <f t="shared" si="94"/>
        <v>350</v>
      </c>
      <c r="AS68" s="5">
        <f t="shared" si="55"/>
        <v>2.8571428571428572</v>
      </c>
      <c r="AT68" s="5">
        <f t="shared" si="95"/>
        <v>0.5631015302175385</v>
      </c>
      <c r="AU68" s="5">
        <f t="shared" si="56"/>
        <v>2.2940413269253188</v>
      </c>
      <c r="AV68" s="5">
        <f t="shared" si="96"/>
        <v>1.9434422685035021E-5</v>
      </c>
      <c r="AW68" s="177">
        <f t="shared" si="57"/>
        <v>0.19708553557613848</v>
      </c>
      <c r="AX68" s="177">
        <f t="shared" si="97"/>
        <v>1.0654000000000001</v>
      </c>
      <c r="AY68" s="177">
        <f t="shared" si="98"/>
        <v>8262.807467310311</v>
      </c>
      <c r="AZ68" s="177">
        <f t="shared" si="58"/>
        <v>1.2893922606995061E-4</v>
      </c>
      <c r="BA68" s="469">
        <f t="shared" si="99"/>
        <v>3.7498705811702195</v>
      </c>
      <c r="BB68" s="469">
        <f t="shared" si="100"/>
        <v>0.82750293869304858</v>
      </c>
      <c r="BC68" s="5">
        <f t="shared" si="101"/>
        <v>8.3636923377485572E-2</v>
      </c>
      <c r="BD68" s="469">
        <f t="shared" si="102"/>
        <v>10.167680805298268</v>
      </c>
      <c r="BE68" s="5"/>
      <c r="BF68" s="177">
        <f t="shared" si="59"/>
        <v>0.1154631610605031</v>
      </c>
      <c r="BG68" s="177">
        <f t="shared" si="103"/>
        <v>10647.860697019882</v>
      </c>
      <c r="BH68" s="177"/>
      <c r="BI68" s="538">
        <f t="shared" si="104"/>
        <v>4.6661095467292876E-3</v>
      </c>
      <c r="BJ68" s="538">
        <f t="shared" si="105"/>
        <v>548.22146641845234</v>
      </c>
      <c r="BK68" s="538">
        <f t="shared" si="106"/>
        <v>4.3749999999999995E-3</v>
      </c>
      <c r="BL68" s="538">
        <f t="shared" si="107"/>
        <v>8462927.8085788898</v>
      </c>
      <c r="BM68">
        <f t="shared" si="108"/>
        <v>6.96E-3</v>
      </c>
      <c r="BN68">
        <f t="shared" si="109"/>
        <v>1.6625000000000001E-5</v>
      </c>
      <c r="BO68" s="538">
        <f t="shared" si="110"/>
        <v>8470768.5076794028</v>
      </c>
      <c r="BP68" s="469">
        <f t="shared" si="60"/>
        <v>8470768507.6794033</v>
      </c>
      <c r="BQ68" s="538">
        <f t="shared" si="111"/>
        <v>86619980.209328994</v>
      </c>
      <c r="BR68" s="538"/>
      <c r="BT68" s="469">
        <f t="shared" si="61"/>
        <v>86619980209.328995</v>
      </c>
      <c r="BU68" s="538">
        <f t="shared" si="112"/>
        <v>1.333174156208368E-3</v>
      </c>
      <c r="BV68" s="538">
        <f t="shared" si="113"/>
        <v>3401308.1226942213</v>
      </c>
      <c r="BW68" s="538">
        <f t="shared" si="114"/>
        <v>0</v>
      </c>
      <c r="BX68" s="538">
        <f t="shared" si="115"/>
        <v>-14.000051450982022</v>
      </c>
      <c r="BY68" s="538">
        <f t="shared" si="116"/>
        <v>3.5513333333333339E-3</v>
      </c>
      <c r="BZ68" s="469">
        <f t="shared" si="62"/>
        <v>-13996.500117648688</v>
      </c>
      <c r="CA68" s="177">
        <f t="shared" si="63"/>
        <v>95090734.720508277</v>
      </c>
      <c r="CB68" s="5">
        <f t="shared" si="64"/>
        <v>0.94500000000000006</v>
      </c>
      <c r="CC68" s="177">
        <f t="shared" si="65"/>
        <v>9.9378766331573841E-9</v>
      </c>
      <c r="CD68" s="5">
        <f t="shared" si="66"/>
        <v>9.9378766331573847E-7</v>
      </c>
      <c r="CG68" s="571">
        <f t="shared" si="117"/>
        <v>-50</v>
      </c>
      <c r="CH68">
        <f t="shared" si="118"/>
        <v>-50</v>
      </c>
    </row>
    <row r="69" spans="5:86" x14ac:dyDescent="0.25">
      <c r="E69" s="174">
        <v>64</v>
      </c>
      <c r="F69" s="221">
        <f t="shared" si="119"/>
        <v>6.4000000000000001E-2</v>
      </c>
      <c r="G69" s="221"/>
      <c r="H69" s="221">
        <f t="shared" ref="H69:H100" si="120">F69*Vout</f>
        <v>0.96</v>
      </c>
      <c r="I69" s="551">
        <f t="shared" ref="I69:I105" si="121">Vin</f>
        <v>24</v>
      </c>
      <c r="J69" s="176">
        <f t="shared" ref="J69:J105" si="122">(T69+Vfwd1)*Nps</f>
        <v>695386.58000000007</v>
      </c>
      <c r="K69" s="451">
        <f t="shared" ref="K69:K105" si="123">(Vout+Vfwd1)*Nps+I69</f>
        <v>695410.58000000007</v>
      </c>
      <c r="L69" s="451"/>
      <c r="M69" s="221">
        <f t="shared" ref="M69:M105" si="124">(Vout+Vfwd1)*Nps/((Vout+Vfwd1)*Nps+I69)</f>
        <v>0.99996548801428931</v>
      </c>
      <c r="N69" s="176">
        <f t="shared" ref="N69:N100" si="125">M69*I69*Isw_max*0.5*Efficiency</f>
        <v>8.0997204529157436</v>
      </c>
      <c r="O69" s="176">
        <f t="shared" si="53"/>
        <v>0.96</v>
      </c>
      <c r="P69" s="221">
        <f t="shared" ref="P69:P100" si="126">N69/Vout</f>
        <v>0.5399813635277162</v>
      </c>
      <c r="Q69" s="221">
        <f t="shared" ref="Q69:Q105" si="127">MIN(Vout,N69/F69)</f>
        <v>15</v>
      </c>
      <c r="R69" s="221">
        <f t="shared" ref="R69:R100" si="128">Isw_max/2*I69*Nps*(Q69+Vfwd1)/Q69/(I69+Nps*(Q69+Vfwd1))</f>
        <v>0.59997929280857354</v>
      </c>
      <c r="S69" s="176">
        <f t="shared" ref="S69:S105" si="129">(SQRT(Isw_max^2*Nps^2*I69^2+4*Isw_max*F69/Efficiency*(Nps^2*Vfwd1*I69-Nps*I69^2)+4*(F69/Efficiency)^2*Nps^2*Vfwd1^2+8*(F69/Efficiency)^2*Nps*Vfwd1*I69+4*(F69/Efficiency)^2*I69^2)-2*F69/Efficiency*I69-2*F69/Efficiency*Nps*Vfwd1+Isw_max*Nps*I69)/(4*F69/Efficiency*Nps)</f>
        <v>126.56197562096563</v>
      </c>
      <c r="T69" s="176">
        <f t="shared" ref="T69:T100" si="130">MIN(Vout, S69)</f>
        <v>15</v>
      </c>
      <c r="U69" s="221">
        <f t="shared" ref="U69:U105" si="131">MIN(2*Vout*F69/(Efficiency*I69*M69), Isw_max)</f>
        <v>8.889195672682923E-2</v>
      </c>
      <c r="V69" s="221">
        <f t="shared" ref="V69:V100" si="132">L*U69/I69*1000000</f>
        <v>0.11111494590853653</v>
      </c>
      <c r="W69" s="221">
        <f t="shared" ref="W69:W105" si="133">L*U69/J69*1000000</f>
        <v>3.8349297764775342E-6</v>
      </c>
      <c r="X69" s="201">
        <f t="shared" ref="X69:X105" si="134">IF(1/((350000*L)*(1/I69+1/J69))&gt;Isw_min, 350, 0.001/((Isw_min*L)*(1/I69+1/J69)))</f>
        <v>350</v>
      </c>
      <c r="Y69" s="451">
        <f t="shared" si="54"/>
        <v>350</v>
      </c>
      <c r="AA69" s="221">
        <f t="shared" ref="AA69:AA105" si="135">1/((X69*1000*L)*(1/I69+1/J69))</f>
        <v>2.2856354011755182</v>
      </c>
      <c r="AB69" s="177">
        <f t="shared" ref="AB69:AB100" si="136">L*AA69/J69*1000000</f>
        <v>9.8605673459021225E-5</v>
      </c>
      <c r="AC69" s="177">
        <f t="shared" ref="AC69:AC100" si="137">0.5*AB69*AA69*Nps*X69/1000</f>
        <v>1.8020156525828219</v>
      </c>
      <c r="AD69" s="177"/>
      <c r="AE69" s="177">
        <f t="shared" ref="AE69:AE105" si="138">L*Isw_min/J69*1000000</f>
        <v>6.4712206554230591E-6</v>
      </c>
      <c r="AF69" s="555">
        <f t="shared" ref="AF69:AF100" si="139">MAX(12, F69/(0.5*AE69/1000000*Isw_min*Nps)/1000)</f>
        <v>2886.1629629629638</v>
      </c>
      <c r="AG69" s="538">
        <f t="shared" ref="AG69:AG105" si="140">0.5*AE69/1000000*Isw_min*Nps*X69*1000</f>
        <v>7.7611695137976321E-3</v>
      </c>
      <c r="AI69" s="177">
        <f t="shared" ref="AI69:AI105" si="141">SQRT(F69/Efficiency/(0.5*L/J69*Fsw_DCM*Nps))</f>
        <v>0.45404239598797091</v>
      </c>
      <c r="AJ69" s="177">
        <f t="shared" ref="AJ69:AJ100" si="142">MAX(IF(F69&gt;AC69,U69,AI69),Isw_min)</f>
        <v>0.45404239598797091</v>
      </c>
      <c r="AK69" s="177">
        <f t="shared" ref="AK69:AK100" si="143">IF(F69&gt;AG69, (AJ69-Isw_min)/1.2*0.8+1.2, AF69*0.2/350+1)</f>
        <v>1.4026949306586474</v>
      </c>
      <c r="AM69" s="555">
        <f t="shared" ref="AM69:AM105" si="144">F69*1000</f>
        <v>64</v>
      </c>
      <c r="AN69" s="469">
        <f t="shared" ref="AN69:AN105" si="145">IF(F69&gt;AG69, Y69, AF69)</f>
        <v>350</v>
      </c>
      <c r="AP69">
        <f t="shared" ref="AP69:AP105" si="146">IF(H69&gt;N69, "",AM69)</f>
        <v>64</v>
      </c>
      <c r="AQ69">
        <f t="shared" ref="AQ69:AQ105" si="147">IF(H69&gt;N69, "",AN69)</f>
        <v>350</v>
      </c>
      <c r="AS69" s="5">
        <f t="shared" si="55"/>
        <v>2.8571428571428572</v>
      </c>
      <c r="AT69" s="5">
        <f t="shared" ref="AT69:AT105" si="148">L*AJ69/I69*1000000</f>
        <v>0.5675529949849637</v>
      </c>
      <c r="AU69" s="5">
        <f t="shared" si="56"/>
        <v>2.2895898621578934</v>
      </c>
      <c r="AV69" s="5">
        <f t="shared" ref="AV69:AV105" si="149">L*AJ69/J69*1000000</f>
        <v>1.9588056875700892E-5</v>
      </c>
      <c r="AW69" s="177">
        <f t="shared" si="57"/>
        <v>0.19864354824473729</v>
      </c>
      <c r="AX69" s="177">
        <f t="shared" ref="AX69:AX132" si="150">0.5*L*AJ69^2*AN69*1000</f>
        <v>1.0823111111111112</v>
      </c>
      <c r="AY69" s="177">
        <f t="shared" ref="AY69:AY132" si="151">AJ69*Nps/2*(1-AW69)</f>
        <v>8311.9668336657196</v>
      </c>
      <c r="AZ69" s="177">
        <f t="shared" si="58"/>
        <v>1.302111922207699E-4</v>
      </c>
      <c r="BA69" s="469">
        <f t="shared" ref="BA69:BA105" si="152">L*Isw_max^2/(2*Vout_ripple*Vout)*1000000000*((1+M69)/2)^2</f>
        <v>3.7498705811702195</v>
      </c>
      <c r="BB69" s="469">
        <f t="shared" ref="BB69:BB105" si="153">L*F69^2/(2*Cout*Vout*Nps^2)*1000000000*((1+M69)/(1-M69))^2+F69*RCoutEsr</f>
        <v>0.85093374575125402</v>
      </c>
      <c r="BC69" s="5">
        <f t="shared" ref="BC69:BC105" si="154">H69/Efficiency/I69*AU69/Vinripple1</f>
        <v>8.4799624524366402E-2</v>
      </c>
      <c r="BD69" s="469">
        <f t="shared" ref="BD69:BD105" si="155">((CB69/I69/Efficiency)*AU69/Cin+(CB69/I69/Efficiency)*RCinEsr)*1000</f>
        <v>10.309288276257304</v>
      </c>
      <c r="BE69" s="5"/>
      <c r="BF69" s="177">
        <f t="shared" si="59"/>
        <v>0.11683501307557261</v>
      </c>
      <c r="BG69" s="177">
        <f t="shared" ref="BG69:BG132" si="156">AJ69*Nps*SQRT((1-AW69)/3)</f>
        <v>10721.617292203797</v>
      </c>
      <c r="BH69" s="177"/>
      <c r="BI69" s="538">
        <f t="shared" ref="BI69:BI105" si="157">Rdson*BF69^2</f>
        <v>4.7776470981292273E-3</v>
      </c>
      <c r="BJ69" s="538">
        <f t="shared" ref="BJ69:BJ105" si="158">0.5*K69*AJ69*AN69*1000*Trise</f>
        <v>552.55530039252301</v>
      </c>
      <c r="BK69" s="538">
        <f t="shared" ref="BK69:BK105" si="159">Qg*Vdd*AN69*1000</f>
        <v>4.3749999999999995E-3</v>
      </c>
      <c r="BL69" s="538">
        <f t="shared" ref="BL69:BL105" si="160">0.5*(Coss+Csw)*K69^2*AN69*1000</f>
        <v>8462927.8085788898</v>
      </c>
      <c r="BM69">
        <f t="shared" ref="BM69:BM105" si="161">I69*IQ</f>
        <v>6.96E-3</v>
      </c>
      <c r="BN69">
        <f t="shared" ref="BN69:BN105" si="162">(I69-Vdd)*Qg*AN69</f>
        <v>1.6625000000000001E-5</v>
      </c>
      <c r="BO69" s="538">
        <f t="shared" ref="BO69:BO100" si="163">(BJ69+BK69+BL69+BM69+BN69+BI69*(1+RdsonTC*(Ta-25)))/(1-BI69*RdsonTC*ThetaJA)</f>
        <v>8470947.3164751213</v>
      </c>
      <c r="BP69" s="469">
        <f t="shared" si="60"/>
        <v>8470947316.4751215</v>
      </c>
      <c r="BQ69" s="538">
        <f t="shared" ref="BQ69:BQ105" si="164">(Vfwd2*F69+BG69^2*Rdiode)*(1+Diode_TC/1000*(Ta-25))</f>
        <v>87824151.121745348</v>
      </c>
      <c r="BR69" s="538"/>
      <c r="BT69" s="469">
        <f t="shared" si="61"/>
        <v>87824151121.745346</v>
      </c>
      <c r="BU69" s="538">
        <f t="shared" ref="BU69:BU105" si="165">Rdcr_pri*BF69^2</f>
        <v>1.3650420280369221E-3</v>
      </c>
      <c r="BV69" s="538">
        <f t="shared" ref="BV69:BV105" si="166">Rdcr_sec*BG69^2</f>
        <v>3448592.3208145038</v>
      </c>
      <c r="BW69" s="538">
        <f t="shared" ref="BW69:BW105" si="167">AJ69^2.5*AN69^2.5*k_core</f>
        <v>0</v>
      </c>
      <c r="BX69" s="538">
        <f t="shared" ref="BX69:BX100" si="168">(BW69+(BU69+BV69)*(1+Ltc*(Ta-25)))/(1-(BU69+BV69)*Ltc*ThetaCa)</f>
        <v>-14.000050745526861</v>
      </c>
      <c r="BY69" s="538">
        <f t="shared" ref="BY69:BY105" si="169">0.5*Lleak*0.000000001*AJ69^2*AN69*1000</f>
        <v>3.6077037037037045E-3</v>
      </c>
      <c r="BZ69" s="469">
        <f t="shared" si="62"/>
        <v>-13996.443041823157</v>
      </c>
      <c r="CA69" s="177">
        <f t="shared" si="63"/>
        <v>96295084.441777438</v>
      </c>
      <c r="CB69" s="5">
        <f t="shared" si="64"/>
        <v>0.96</v>
      </c>
      <c r="CC69" s="177">
        <f t="shared" si="65"/>
        <v>9.9693561306326032E-9</v>
      </c>
      <c r="CD69" s="5">
        <f t="shared" si="66"/>
        <v>9.9693561306326029E-7</v>
      </c>
      <c r="CG69" s="571">
        <f t="shared" ref="CG69:CG105" si="170">IF(ABS(F69-Ioutmax_Vinnom)&lt;Iout/200, AN69, -50)</f>
        <v>-50</v>
      </c>
      <c r="CH69">
        <f t="shared" ref="CH69:CH105" si="171">IF(ABS(F69-Ioutmax_Vinnom)&lt;Iout/200, N69*CC69, -50)</f>
        <v>-50</v>
      </c>
    </row>
    <row r="70" spans="5:86" x14ac:dyDescent="0.25">
      <c r="E70" s="174">
        <v>65</v>
      </c>
      <c r="F70" s="221">
        <f t="shared" ref="F70:F101" si="172">IF(PLOT_TYPE=1, E70/100*Iout_max, min_I*EXP(N70*rr/100))</f>
        <v>6.5000000000000002E-2</v>
      </c>
      <c r="G70" s="221"/>
      <c r="H70" s="221">
        <f t="shared" si="120"/>
        <v>0.97500000000000009</v>
      </c>
      <c r="I70" s="551">
        <f t="shared" si="121"/>
        <v>24</v>
      </c>
      <c r="J70" s="176">
        <f t="shared" si="122"/>
        <v>695386.58000000007</v>
      </c>
      <c r="K70" s="451">
        <f t="shared" si="123"/>
        <v>695410.58000000007</v>
      </c>
      <c r="L70" s="451"/>
      <c r="M70" s="221">
        <f t="shared" si="124"/>
        <v>0.99996548801428931</v>
      </c>
      <c r="N70" s="176">
        <f t="shared" si="125"/>
        <v>8.0997204529157436</v>
      </c>
      <c r="O70" s="176">
        <f t="shared" ref="O70:O133" si="173">T70*F70</f>
        <v>0.97500000000000009</v>
      </c>
      <c r="P70" s="221">
        <f t="shared" si="126"/>
        <v>0.5399813635277162</v>
      </c>
      <c r="Q70" s="221">
        <f t="shared" si="127"/>
        <v>15</v>
      </c>
      <c r="R70" s="221">
        <f t="shared" si="128"/>
        <v>0.59997929280857354</v>
      </c>
      <c r="S70" s="176">
        <f t="shared" si="129"/>
        <v>124.61486025056765</v>
      </c>
      <c r="T70" s="176">
        <f t="shared" si="130"/>
        <v>15</v>
      </c>
      <c r="U70" s="221">
        <f t="shared" si="131"/>
        <v>9.0280893550685956E-2</v>
      </c>
      <c r="V70" s="221">
        <f t="shared" si="132"/>
        <v>0.11285111693835743</v>
      </c>
      <c r="W70" s="221">
        <f t="shared" si="133"/>
        <v>3.8948505542349963E-6</v>
      </c>
      <c r="X70" s="201">
        <f t="shared" si="134"/>
        <v>350</v>
      </c>
      <c r="Y70" s="451">
        <f t="shared" ref="Y70:Y105" si="174">MIN(1/(V70+W70)*1000, 350)</f>
        <v>350</v>
      </c>
      <c r="AA70" s="221">
        <f t="shared" si="135"/>
        <v>2.2856354011755182</v>
      </c>
      <c r="AB70" s="177">
        <f t="shared" si="136"/>
        <v>9.8605673459021225E-5</v>
      </c>
      <c r="AC70" s="177">
        <f t="shared" si="137"/>
        <v>1.8020156525828219</v>
      </c>
      <c r="AD70" s="177"/>
      <c r="AE70" s="177">
        <f t="shared" si="138"/>
        <v>6.4712206554230591E-6</v>
      </c>
      <c r="AF70" s="555">
        <f t="shared" si="139"/>
        <v>2931.25925925926</v>
      </c>
      <c r="AG70" s="538">
        <f t="shared" si="140"/>
        <v>7.7611695137976321E-3</v>
      </c>
      <c r="AI70" s="177">
        <f t="shared" si="141"/>
        <v>0.45757585313875709</v>
      </c>
      <c r="AJ70" s="177">
        <f t="shared" si="89"/>
        <v>0.45757585313875709</v>
      </c>
      <c r="AK70" s="177">
        <f t="shared" si="143"/>
        <v>1.4050505687591714</v>
      </c>
      <c r="AM70" s="555">
        <f t="shared" si="144"/>
        <v>65</v>
      </c>
      <c r="AN70" s="469">
        <f t="shared" si="145"/>
        <v>350</v>
      </c>
      <c r="AP70">
        <f t="shared" si="146"/>
        <v>65</v>
      </c>
      <c r="AQ70">
        <f t="shared" si="147"/>
        <v>350</v>
      </c>
      <c r="AS70" s="5">
        <f t="shared" ref="AS70:AS133" si="175">1/AN70*1000</f>
        <v>2.8571428571428572</v>
      </c>
      <c r="AT70" s="5">
        <f t="shared" si="148"/>
        <v>0.57196981642344635</v>
      </c>
      <c r="AU70" s="5">
        <f t="shared" ref="AU70:AU105" si="176">AS70-AT70</f>
        <v>2.2851730407194109</v>
      </c>
      <c r="AV70" s="5">
        <f t="shared" si="149"/>
        <v>1.9740495415029022E-5</v>
      </c>
      <c r="AW70" s="177">
        <f t="shared" ref="AW70:AW105" si="177">AT70/AS70</f>
        <v>0.20018943574820622</v>
      </c>
      <c r="AX70" s="177">
        <f t="shared" si="150"/>
        <v>1.0992222222222223</v>
      </c>
      <c r="AY70" s="177">
        <f t="shared" si="151"/>
        <v>8360.4930723987072</v>
      </c>
      <c r="AZ70" s="177">
        <f t="shared" ref="AZ70:AZ133" si="178">AX70/AY70</f>
        <v>1.314781571736707E-4</v>
      </c>
      <c r="BA70" s="469">
        <f t="shared" si="152"/>
        <v>3.7498705811702195</v>
      </c>
      <c r="BB70" s="469">
        <f t="shared" si="153"/>
        <v>0.87468629780250207</v>
      </c>
      <c r="BC70" s="5">
        <f t="shared" si="154"/>
        <v>8.5958476647431545E-2</v>
      </c>
      <c r="BD70" s="469">
        <f t="shared" si="155"/>
        <v>10.450433864358454</v>
      </c>
      <c r="BE70" s="5"/>
      <c r="BF70" s="177">
        <f t="shared" ref="BF70:BF133" si="179">AJ70*SQRT(AW70/3)</f>
        <v>0.1182015165021176</v>
      </c>
      <c r="BG70" s="177">
        <f t="shared" si="156"/>
        <v>10794.628276131587</v>
      </c>
      <c r="BH70" s="177"/>
      <c r="BI70" s="538">
        <f t="shared" si="157"/>
        <v>4.8900594761901329E-3</v>
      </c>
      <c r="BJ70" s="538">
        <f t="shared" si="158"/>
        <v>556.85540649413144</v>
      </c>
      <c r="BK70" s="538">
        <f t="shared" si="159"/>
        <v>4.3749999999999995E-3</v>
      </c>
      <c r="BL70" s="538">
        <f t="shared" si="160"/>
        <v>8462927.8085788898</v>
      </c>
      <c r="BM70">
        <f t="shared" si="161"/>
        <v>6.96E-3</v>
      </c>
      <c r="BN70">
        <f t="shared" si="162"/>
        <v>1.6625000000000001E-5</v>
      </c>
      <c r="BO70" s="538">
        <f t="shared" si="163"/>
        <v>8471127.4674006589</v>
      </c>
      <c r="BP70" s="469">
        <f t="shared" ref="BP70:BP105" si="180">BO70*1000</f>
        <v>8471127467.4006586</v>
      </c>
      <c r="BQ70" s="538">
        <f t="shared" si="164"/>
        <v>89024335.728195205</v>
      </c>
      <c r="BR70" s="538"/>
      <c r="BT70" s="469">
        <f t="shared" ref="BT70:BT105" si="181">SUM(BQ70:BS70)*1000</f>
        <v>89024335728.195206</v>
      </c>
      <c r="BU70" s="538">
        <f t="shared" si="165"/>
        <v>1.3971598503400382E-3</v>
      </c>
      <c r="BV70" s="538">
        <f t="shared" si="166"/>
        <v>3495719.9885957874</v>
      </c>
      <c r="BW70" s="538">
        <f t="shared" si="167"/>
        <v>0</v>
      </c>
      <c r="BX70" s="538">
        <f t="shared" si="168"/>
        <v>-14.000050061396871</v>
      </c>
      <c r="BY70" s="538">
        <f t="shared" si="169"/>
        <v>3.6640740740740752E-3</v>
      </c>
      <c r="BZ70" s="469">
        <f t="shared" ref="BZ70:BZ105" si="182">1000*(BX70+BY70)</f>
        <v>-13996.385987322798</v>
      </c>
      <c r="CA70" s="177">
        <f t="shared" ref="CA70:CA105" si="183">SUM(BO70,BQ70:BS70,BX70, BY70)</f>
        <v>97495449.199209869</v>
      </c>
      <c r="CB70" s="5">
        <f t="shared" ref="CB70:CB105" si="184">MIN(H70,O70)</f>
        <v>0.97500000000000009</v>
      </c>
      <c r="CC70" s="177">
        <f t="shared" ref="CC70:CC105" si="185">CB70/(CB70+CA70)</f>
        <v>1.0000466670576115E-8</v>
      </c>
      <c r="CD70" s="5">
        <f t="shared" ref="CD70:CD105" si="186">CC70*100</f>
        <v>1.0000466670576115E-6</v>
      </c>
      <c r="CG70" s="571">
        <f t="shared" si="170"/>
        <v>-50</v>
      </c>
      <c r="CH70">
        <f t="shared" si="171"/>
        <v>-50</v>
      </c>
    </row>
    <row r="71" spans="5:86" x14ac:dyDescent="0.25">
      <c r="E71" s="174">
        <v>66</v>
      </c>
      <c r="F71" s="221">
        <f t="shared" si="172"/>
        <v>6.6000000000000003E-2</v>
      </c>
      <c r="G71" s="221"/>
      <c r="H71" s="221">
        <f t="shared" si="120"/>
        <v>0.99</v>
      </c>
      <c r="I71" s="551">
        <f t="shared" si="121"/>
        <v>24</v>
      </c>
      <c r="J71" s="176">
        <f t="shared" si="122"/>
        <v>695386.58000000007</v>
      </c>
      <c r="K71" s="451">
        <f t="shared" si="123"/>
        <v>695410.58000000007</v>
      </c>
      <c r="L71" s="451"/>
      <c r="M71" s="221">
        <f t="shared" si="124"/>
        <v>0.99996548801428931</v>
      </c>
      <c r="N71" s="176">
        <f t="shared" si="125"/>
        <v>8.0997204529157436</v>
      </c>
      <c r="O71" s="176">
        <f t="shared" si="173"/>
        <v>0.99</v>
      </c>
      <c r="P71" s="221">
        <f t="shared" si="126"/>
        <v>0.5399813635277162</v>
      </c>
      <c r="Q71" s="221">
        <f t="shared" si="127"/>
        <v>15</v>
      </c>
      <c r="R71" s="221">
        <f t="shared" si="128"/>
        <v>0.59997929280857354</v>
      </c>
      <c r="S71" s="176">
        <f t="shared" si="129"/>
        <v>122.72674837667242</v>
      </c>
      <c r="T71" s="176">
        <f t="shared" si="130"/>
        <v>15</v>
      </c>
      <c r="U71" s="221">
        <f t="shared" si="131"/>
        <v>9.1669830374542655E-2</v>
      </c>
      <c r="V71" s="221">
        <f t="shared" si="132"/>
        <v>0.11458728796817833</v>
      </c>
      <c r="W71" s="221">
        <f t="shared" si="133"/>
        <v>3.9547713319924568E-6</v>
      </c>
      <c r="X71" s="201">
        <f t="shared" si="134"/>
        <v>350</v>
      </c>
      <c r="Y71" s="451">
        <f t="shared" si="174"/>
        <v>350</v>
      </c>
      <c r="AA71" s="221">
        <f t="shared" si="135"/>
        <v>2.2856354011755182</v>
      </c>
      <c r="AB71" s="177">
        <f t="shared" si="136"/>
        <v>9.8605673459021225E-5</v>
      </c>
      <c r="AC71" s="177">
        <f t="shared" si="137"/>
        <v>1.8020156525828219</v>
      </c>
      <c r="AD71" s="177"/>
      <c r="AE71" s="177">
        <f t="shared" si="138"/>
        <v>6.4712206554230591E-6</v>
      </c>
      <c r="AF71" s="555">
        <f t="shared" si="139"/>
        <v>2976.3555555555563</v>
      </c>
      <c r="AG71" s="538">
        <f t="shared" si="140"/>
        <v>7.7611695137976321E-3</v>
      </c>
      <c r="AI71" s="177">
        <f t="shared" si="141"/>
        <v>0.46108223279240051</v>
      </c>
      <c r="AJ71" s="177">
        <f t="shared" si="89"/>
        <v>0.46108223279240051</v>
      </c>
      <c r="AK71" s="177">
        <f t="shared" si="143"/>
        <v>1.4073881551949337</v>
      </c>
      <c r="AM71" s="555">
        <f t="shared" si="144"/>
        <v>66</v>
      </c>
      <c r="AN71" s="469">
        <f t="shared" si="145"/>
        <v>350</v>
      </c>
      <c r="AP71">
        <f t="shared" si="146"/>
        <v>66</v>
      </c>
      <c r="AQ71">
        <f t="shared" si="147"/>
        <v>350</v>
      </c>
      <c r="AS71" s="5">
        <f t="shared" si="175"/>
        <v>2.8571428571428572</v>
      </c>
      <c r="AT71" s="5">
        <f t="shared" si="148"/>
        <v>0.57635279099050074</v>
      </c>
      <c r="AU71" s="5">
        <f t="shared" si="176"/>
        <v>2.2807900661523566</v>
      </c>
      <c r="AV71" s="5">
        <f t="shared" si="149"/>
        <v>1.9891765791298439E-5</v>
      </c>
      <c r="AW71" s="177">
        <f t="shared" si="177"/>
        <v>0.20172347684667524</v>
      </c>
      <c r="AX71" s="177">
        <f t="shared" si="150"/>
        <v>1.1161333333333334</v>
      </c>
      <c r="AY71" s="177">
        <f t="shared" si="151"/>
        <v>8408.4007392482144</v>
      </c>
      <c r="AZ71" s="177">
        <f t="shared" si="178"/>
        <v>1.3274026392718358E-4</v>
      </c>
      <c r="BA71" s="469">
        <f t="shared" si="152"/>
        <v>3.7498705811702195</v>
      </c>
      <c r="BB71" s="469">
        <f t="shared" si="153"/>
        <v>0.89876059484679272</v>
      </c>
      <c r="BC71" s="5">
        <f t="shared" si="154"/>
        <v>8.7113509471096931E-2</v>
      </c>
      <c r="BD71" s="469">
        <f t="shared" si="155"/>
        <v>10.591121136531635</v>
      </c>
      <c r="BE71" s="5"/>
      <c r="BF71" s="177">
        <f t="shared" si="179"/>
        <v>0.11956277400820761</v>
      </c>
      <c r="BG71" s="177">
        <f t="shared" si="156"/>
        <v>10866.910531297941</v>
      </c>
      <c r="BH71" s="177"/>
      <c r="BI71" s="538">
        <f t="shared" si="157"/>
        <v>5.0033399249882031E-3</v>
      </c>
      <c r="BJ71" s="538">
        <f t="shared" si="158"/>
        <v>561.12256013425201</v>
      </c>
      <c r="BK71" s="538">
        <f t="shared" si="159"/>
        <v>4.3749999999999995E-3</v>
      </c>
      <c r="BL71" s="538">
        <f t="shared" si="160"/>
        <v>8462927.8085788898</v>
      </c>
      <c r="BM71">
        <f t="shared" si="161"/>
        <v>6.96E-3</v>
      </c>
      <c r="BN71">
        <f t="shared" si="162"/>
        <v>1.6625000000000001E-5</v>
      </c>
      <c r="BO71" s="538">
        <f t="shared" si="163"/>
        <v>8471308.9508340601</v>
      </c>
      <c r="BP71" s="469">
        <f t="shared" si="180"/>
        <v>8471308950.8340597</v>
      </c>
      <c r="BQ71" s="538">
        <f t="shared" si="164"/>
        <v>90220564.813267842</v>
      </c>
      <c r="BR71" s="538"/>
      <c r="BT71" s="469">
        <f t="shared" si="181"/>
        <v>90220564813.267838</v>
      </c>
      <c r="BU71" s="538">
        <f t="shared" si="165"/>
        <v>1.4295256928537727E-3</v>
      </c>
      <c r="BV71" s="538">
        <f t="shared" si="166"/>
        <v>3542692.3348570229</v>
      </c>
      <c r="BW71" s="538">
        <f t="shared" si="167"/>
        <v>0</v>
      </c>
      <c r="BX71" s="538">
        <f t="shared" si="168"/>
        <v>-14.000049397633456</v>
      </c>
      <c r="BY71" s="538">
        <f t="shared" si="169"/>
        <v>3.7204444444444451E-3</v>
      </c>
      <c r="BZ71" s="469">
        <f t="shared" si="182"/>
        <v>-13996.328953189011</v>
      </c>
      <c r="CA71" s="177">
        <f t="shared" si="183"/>
        <v>98691859.767772958</v>
      </c>
      <c r="CB71" s="5">
        <f t="shared" si="184"/>
        <v>0.99</v>
      </c>
      <c r="CC71" s="177">
        <f t="shared" si="185"/>
        <v>1.0031222356115399E-8</v>
      </c>
      <c r="CD71" s="5">
        <f t="shared" si="186"/>
        <v>1.0031222356115398E-6</v>
      </c>
      <c r="CG71" s="571">
        <f t="shared" si="170"/>
        <v>-50</v>
      </c>
      <c r="CH71">
        <f t="shared" si="171"/>
        <v>-50</v>
      </c>
    </row>
    <row r="72" spans="5:86" x14ac:dyDescent="0.25">
      <c r="E72" s="174">
        <v>67</v>
      </c>
      <c r="F72" s="221">
        <f t="shared" si="172"/>
        <v>6.7000000000000004E-2</v>
      </c>
      <c r="G72" s="221"/>
      <c r="H72" s="221">
        <f t="shared" si="120"/>
        <v>1.0050000000000001</v>
      </c>
      <c r="I72" s="551">
        <f t="shared" si="121"/>
        <v>24</v>
      </c>
      <c r="J72" s="176">
        <f t="shared" si="122"/>
        <v>695386.58000000007</v>
      </c>
      <c r="K72" s="451">
        <f t="shared" si="123"/>
        <v>695410.58000000007</v>
      </c>
      <c r="L72" s="451"/>
      <c r="M72" s="221">
        <f t="shared" si="124"/>
        <v>0.99996548801428931</v>
      </c>
      <c r="N72" s="176">
        <f t="shared" si="125"/>
        <v>8.0997204529157436</v>
      </c>
      <c r="O72" s="176">
        <f t="shared" si="173"/>
        <v>1.0050000000000001</v>
      </c>
      <c r="P72" s="221">
        <f t="shared" si="126"/>
        <v>0.5399813635277162</v>
      </c>
      <c r="Q72" s="221">
        <f t="shared" si="127"/>
        <v>15</v>
      </c>
      <c r="R72" s="221">
        <f t="shared" si="128"/>
        <v>0.59997929280857354</v>
      </c>
      <c r="S72" s="176">
        <f t="shared" si="129"/>
        <v>120.89499805167523</v>
      </c>
      <c r="T72" s="176">
        <f t="shared" si="130"/>
        <v>15</v>
      </c>
      <c r="U72" s="221">
        <f t="shared" si="131"/>
        <v>9.3058767198399367E-2</v>
      </c>
      <c r="V72" s="221">
        <f t="shared" si="132"/>
        <v>0.11632345899799922</v>
      </c>
      <c r="W72" s="221">
        <f t="shared" si="133"/>
        <v>4.0146921097499189E-6</v>
      </c>
      <c r="X72" s="201">
        <f t="shared" si="134"/>
        <v>350</v>
      </c>
      <c r="Y72" s="451">
        <f t="shared" si="174"/>
        <v>350</v>
      </c>
      <c r="AA72" s="221">
        <f t="shared" si="135"/>
        <v>2.2856354011755182</v>
      </c>
      <c r="AB72" s="177">
        <f t="shared" si="136"/>
        <v>9.8605673459021225E-5</v>
      </c>
      <c r="AC72" s="177">
        <f t="shared" si="137"/>
        <v>1.8020156525828219</v>
      </c>
      <c r="AD72" s="177"/>
      <c r="AE72" s="177">
        <f t="shared" si="138"/>
        <v>6.4712206554230591E-6</v>
      </c>
      <c r="AF72" s="555">
        <f t="shared" si="139"/>
        <v>3021.4518518518526</v>
      </c>
      <c r="AG72" s="538">
        <f t="shared" si="140"/>
        <v>7.7611695137976321E-3</v>
      </c>
      <c r="AI72" s="177">
        <f t="shared" si="141"/>
        <v>0.46456214806846829</v>
      </c>
      <c r="AJ72" s="177">
        <f t="shared" si="142"/>
        <v>0.46456214806846829</v>
      </c>
      <c r="AK72" s="177">
        <f t="shared" si="143"/>
        <v>1.4097080987123123</v>
      </c>
      <c r="AM72" s="555">
        <f t="shared" si="144"/>
        <v>67</v>
      </c>
      <c r="AN72" s="469">
        <f t="shared" si="145"/>
        <v>350</v>
      </c>
      <c r="AP72">
        <f t="shared" si="146"/>
        <v>67</v>
      </c>
      <c r="AQ72">
        <f t="shared" si="147"/>
        <v>350</v>
      </c>
      <c r="AS72" s="5">
        <f t="shared" si="175"/>
        <v>2.8571428571428572</v>
      </c>
      <c r="AT72" s="5">
        <f t="shared" si="148"/>
        <v>0.58070268508558542</v>
      </c>
      <c r="AU72" s="5">
        <f t="shared" si="176"/>
        <v>2.2764401720572716</v>
      </c>
      <c r="AV72" s="5">
        <f t="shared" si="149"/>
        <v>2.0041894455389184E-5</v>
      </c>
      <c r="AW72" s="177">
        <f t="shared" si="177"/>
        <v>0.20324593977995489</v>
      </c>
      <c r="AX72" s="177">
        <f t="shared" si="150"/>
        <v>1.1330444444444447</v>
      </c>
      <c r="AY72" s="177">
        <f t="shared" si="151"/>
        <v>8455.7038406241973</v>
      </c>
      <c r="AZ72" s="177">
        <f t="shared" si="178"/>
        <v>1.339976500833553E-4</v>
      </c>
      <c r="BA72" s="469">
        <f t="shared" si="152"/>
        <v>3.7498705811702195</v>
      </c>
      <c r="BB72" s="469">
        <f t="shared" si="153"/>
        <v>0.92315663688412597</v>
      </c>
      <c r="BC72" s="5">
        <f t="shared" si="154"/>
        <v>8.8264752041572442E-2</v>
      </c>
      <c r="BD72" s="469">
        <f t="shared" si="155"/>
        <v>10.731353578322029</v>
      </c>
      <c r="BE72" s="5"/>
      <c r="BF72" s="177">
        <f t="shared" si="179"/>
        <v>0.12091888476809516</v>
      </c>
      <c r="BG72" s="177">
        <f t="shared" si="156"/>
        <v>10938.480304009594</v>
      </c>
      <c r="BH72" s="177"/>
      <c r="BI72" s="538">
        <f t="shared" si="157"/>
        <v>5.1174818427459565E-3</v>
      </c>
      <c r="BJ72" s="538">
        <f t="shared" si="158"/>
        <v>565.35750746009398</v>
      </c>
      <c r="BK72" s="538">
        <f t="shared" si="159"/>
        <v>4.3749999999999995E-3</v>
      </c>
      <c r="BL72" s="538">
        <f t="shared" si="160"/>
        <v>8462927.8085788898</v>
      </c>
      <c r="BM72">
        <f t="shared" si="161"/>
        <v>6.96E-3</v>
      </c>
      <c r="BN72">
        <f t="shared" si="162"/>
        <v>1.6625000000000001E-5</v>
      </c>
      <c r="BO72" s="538">
        <f t="shared" si="163"/>
        <v>8471491.7573648095</v>
      </c>
      <c r="BP72" s="469">
        <f t="shared" si="180"/>
        <v>8471491757.364809</v>
      </c>
      <c r="BQ72" s="538">
        <f t="shared" si="164"/>
        <v>91412868.459156707</v>
      </c>
      <c r="BR72" s="538"/>
      <c r="BT72" s="469">
        <f t="shared" si="181"/>
        <v>91412868459.156708</v>
      </c>
      <c r="BU72" s="538">
        <f t="shared" si="165"/>
        <v>1.4621376693559878E-3</v>
      </c>
      <c r="BV72" s="538">
        <f t="shared" si="166"/>
        <v>3589510.5408361745</v>
      </c>
      <c r="BW72" s="538">
        <f t="shared" si="167"/>
        <v>0</v>
      </c>
      <c r="BX72" s="538">
        <f t="shared" si="168"/>
        <v>-14.000048753334852</v>
      </c>
      <c r="BY72" s="538">
        <f t="shared" si="169"/>
        <v>3.7768148148148162E-3</v>
      </c>
      <c r="BZ72" s="469">
        <f t="shared" si="182"/>
        <v>-13996.271938520036</v>
      </c>
      <c r="CA72" s="177">
        <f t="shared" si="183"/>
        <v>99884346.220249578</v>
      </c>
      <c r="CB72" s="5">
        <f t="shared" si="184"/>
        <v>1.0050000000000001</v>
      </c>
      <c r="CC72" s="177">
        <f t="shared" si="185"/>
        <v>1.0061636561869106E-8</v>
      </c>
      <c r="CD72" s="5">
        <f t="shared" si="186"/>
        <v>1.0061636561869106E-6</v>
      </c>
      <c r="CG72" s="571">
        <f t="shared" si="170"/>
        <v>-50</v>
      </c>
      <c r="CH72">
        <f t="shared" si="171"/>
        <v>-50</v>
      </c>
    </row>
    <row r="73" spans="5:86" x14ac:dyDescent="0.25">
      <c r="E73" s="174">
        <v>68</v>
      </c>
      <c r="F73" s="221">
        <f t="shared" si="172"/>
        <v>6.8000000000000005E-2</v>
      </c>
      <c r="G73" s="221"/>
      <c r="H73" s="221">
        <f t="shared" si="120"/>
        <v>1.02</v>
      </c>
      <c r="I73" s="551">
        <f t="shared" si="121"/>
        <v>24</v>
      </c>
      <c r="J73" s="176">
        <f t="shared" si="122"/>
        <v>695386.58000000007</v>
      </c>
      <c r="K73" s="451">
        <f t="shared" si="123"/>
        <v>695410.58000000007</v>
      </c>
      <c r="L73" s="451"/>
      <c r="M73" s="221">
        <f t="shared" si="124"/>
        <v>0.99996548801428931</v>
      </c>
      <c r="N73" s="176">
        <f t="shared" si="125"/>
        <v>8.0997204529157436</v>
      </c>
      <c r="O73" s="176">
        <f t="shared" si="173"/>
        <v>1.02</v>
      </c>
      <c r="P73" s="221">
        <f t="shared" si="126"/>
        <v>0.5399813635277162</v>
      </c>
      <c r="Q73" s="221">
        <f t="shared" si="127"/>
        <v>15</v>
      </c>
      <c r="R73" s="221">
        <f t="shared" si="128"/>
        <v>0.59997929280857354</v>
      </c>
      <c r="S73" s="176">
        <f t="shared" si="129"/>
        <v>119.11712273665418</v>
      </c>
      <c r="T73" s="176">
        <f t="shared" si="130"/>
        <v>15</v>
      </c>
      <c r="U73" s="221">
        <f t="shared" si="131"/>
        <v>9.4447704022256065E-2</v>
      </c>
      <c r="V73" s="221">
        <f t="shared" si="132"/>
        <v>0.11805963002782008</v>
      </c>
      <c r="W73" s="221">
        <f t="shared" si="133"/>
        <v>4.0746128875073793E-6</v>
      </c>
      <c r="X73" s="201">
        <f t="shared" si="134"/>
        <v>350</v>
      </c>
      <c r="Y73" s="451">
        <f t="shared" si="174"/>
        <v>350</v>
      </c>
      <c r="AA73" s="221">
        <f t="shared" si="135"/>
        <v>2.2856354011755182</v>
      </c>
      <c r="AB73" s="177">
        <f t="shared" si="136"/>
        <v>9.8605673459021225E-5</v>
      </c>
      <c r="AC73" s="177">
        <f t="shared" si="137"/>
        <v>1.8020156525828219</v>
      </c>
      <c r="AD73" s="177"/>
      <c r="AE73" s="177">
        <f t="shared" si="138"/>
        <v>6.4712206554230591E-6</v>
      </c>
      <c r="AF73" s="555">
        <f t="shared" si="139"/>
        <v>3066.5481481481493</v>
      </c>
      <c r="AG73" s="538">
        <f t="shared" si="140"/>
        <v>7.7611695137976321E-3</v>
      </c>
      <c r="AI73" s="177">
        <f t="shared" si="141"/>
        <v>0.46801618929173106</v>
      </c>
      <c r="AJ73" s="177">
        <f t="shared" si="142"/>
        <v>0.46801618929173106</v>
      </c>
      <c r="AK73" s="177">
        <f t="shared" si="143"/>
        <v>1.4120107928611541</v>
      </c>
      <c r="AM73" s="555">
        <f t="shared" si="144"/>
        <v>68</v>
      </c>
      <c r="AN73" s="469">
        <f t="shared" si="145"/>
        <v>350</v>
      </c>
      <c r="AP73">
        <f t="shared" si="146"/>
        <v>68</v>
      </c>
      <c r="AQ73">
        <f t="shared" si="147"/>
        <v>350</v>
      </c>
      <c r="AS73" s="5">
        <f t="shared" si="175"/>
        <v>2.8571428571428572</v>
      </c>
      <c r="AT73" s="5">
        <f t="shared" si="148"/>
        <v>0.58502023661466385</v>
      </c>
      <c r="AU73" s="5">
        <f t="shared" si="176"/>
        <v>2.2721226205281932</v>
      </c>
      <c r="AV73" s="5">
        <f t="shared" si="149"/>
        <v>2.0190906874780256E-5</v>
      </c>
      <c r="AW73" s="177">
        <f t="shared" si="177"/>
        <v>0.20475708281513233</v>
      </c>
      <c r="AX73" s="177">
        <f t="shared" si="150"/>
        <v>1.1499555555555554</v>
      </c>
      <c r="AY73" s="177">
        <f t="shared" si="151"/>
        <v>8502.4158622008745</v>
      </c>
      <c r="AZ73" s="177">
        <f t="shared" si="178"/>
        <v>1.3525044813061945E-4</v>
      </c>
      <c r="BA73" s="469">
        <f t="shared" si="152"/>
        <v>3.7498705811702195</v>
      </c>
      <c r="BB73" s="469">
        <f t="shared" si="153"/>
        <v>0.94787442391450161</v>
      </c>
      <c r="BC73" s="5">
        <f t="shared" si="154"/>
        <v>8.941223275226684E-2</v>
      </c>
      <c r="BD73" s="469">
        <f t="shared" si="155"/>
        <v>10.871134596938688</v>
      </c>
      <c r="BE73" s="5"/>
      <c r="BF73" s="177">
        <f t="shared" si="179"/>
        <v>0.12226994463140048</v>
      </c>
      <c r="BG73" s="177">
        <f t="shared" si="156"/>
        <v>11009.353237472518</v>
      </c>
      <c r="BH73" s="177"/>
      <c r="BI73" s="538">
        <f t="shared" si="157"/>
        <v>5.2324787760580083E-3</v>
      </c>
      <c r="BJ73" s="538">
        <f t="shared" si="158"/>
        <v>569.560966878317</v>
      </c>
      <c r="BK73" s="538">
        <f t="shared" si="159"/>
        <v>4.3749999999999995E-3</v>
      </c>
      <c r="BL73" s="538">
        <f t="shared" si="160"/>
        <v>8462927.8085788898</v>
      </c>
      <c r="BM73">
        <f t="shared" si="161"/>
        <v>6.96E-3</v>
      </c>
      <c r="BN73">
        <f t="shared" si="162"/>
        <v>1.6625000000000001E-5</v>
      </c>
      <c r="BO73" s="538">
        <f t="shared" si="163"/>
        <v>8471675.8777863514</v>
      </c>
      <c r="BP73" s="469">
        <f t="shared" si="180"/>
        <v>8471675877.7863512</v>
      </c>
      <c r="BQ73" s="538">
        <f t="shared" si="164"/>
        <v>92601276.071971193</v>
      </c>
      <c r="BR73" s="538"/>
      <c r="BT73" s="469">
        <f t="shared" si="181"/>
        <v>92601276071.971191</v>
      </c>
      <c r="BU73" s="538">
        <f t="shared" si="165"/>
        <v>1.4949939360165739E-3</v>
      </c>
      <c r="BV73" s="538">
        <f t="shared" si="166"/>
        <v>3636175.7612233986</v>
      </c>
      <c r="BW73" s="538">
        <f t="shared" si="167"/>
        <v>0</v>
      </c>
      <c r="BX73" s="538">
        <f t="shared" si="168"/>
        <v>-14.000048127651969</v>
      </c>
      <c r="BY73" s="538">
        <f t="shared" si="169"/>
        <v>3.8331851851851851E-3</v>
      </c>
      <c r="BZ73" s="469">
        <f t="shared" si="182"/>
        <v>-13996.214942466784</v>
      </c>
      <c r="CA73" s="177">
        <f t="shared" si="183"/>
        <v>101072937.95354261</v>
      </c>
      <c r="CB73" s="5">
        <f t="shared" si="184"/>
        <v>1.02</v>
      </c>
      <c r="CC73" s="177">
        <f t="shared" si="185"/>
        <v>1.0091721981756172E-8</v>
      </c>
      <c r="CD73" s="5">
        <f t="shared" si="186"/>
        <v>1.0091721981756172E-6</v>
      </c>
      <c r="CG73" s="571">
        <f t="shared" si="170"/>
        <v>-50</v>
      </c>
      <c r="CH73">
        <f t="shared" si="171"/>
        <v>-50</v>
      </c>
    </row>
    <row r="74" spans="5:86" x14ac:dyDescent="0.25">
      <c r="E74" s="174">
        <v>69</v>
      </c>
      <c r="F74" s="221">
        <f t="shared" si="172"/>
        <v>6.8999999999999992E-2</v>
      </c>
      <c r="G74" s="221"/>
      <c r="H74" s="221">
        <f t="shared" si="120"/>
        <v>1.0349999999999999</v>
      </c>
      <c r="I74" s="551">
        <f t="shared" si="121"/>
        <v>24</v>
      </c>
      <c r="J74" s="176">
        <f t="shared" si="122"/>
        <v>695386.58000000007</v>
      </c>
      <c r="K74" s="451">
        <f t="shared" si="123"/>
        <v>695410.58000000007</v>
      </c>
      <c r="L74" s="451"/>
      <c r="M74" s="221">
        <f t="shared" si="124"/>
        <v>0.99996548801428931</v>
      </c>
      <c r="N74" s="176">
        <f t="shared" si="125"/>
        <v>8.0997204529157436</v>
      </c>
      <c r="O74" s="176">
        <f t="shared" si="173"/>
        <v>1.0349999999999999</v>
      </c>
      <c r="P74" s="221">
        <f t="shared" si="126"/>
        <v>0.5399813635277162</v>
      </c>
      <c r="Q74" s="221">
        <f t="shared" si="127"/>
        <v>15</v>
      </c>
      <c r="R74" s="221">
        <f t="shared" si="128"/>
        <v>0.59997929280857354</v>
      </c>
      <c r="S74" s="176">
        <f t="shared" si="129"/>
        <v>117.39078003987109</v>
      </c>
      <c r="T74" s="176">
        <f t="shared" si="130"/>
        <v>15</v>
      </c>
      <c r="U74" s="221">
        <f t="shared" si="131"/>
        <v>9.5836640846112764E-2</v>
      </c>
      <c r="V74" s="221">
        <f t="shared" si="132"/>
        <v>0.11979580105764095</v>
      </c>
      <c r="W74" s="221">
        <f t="shared" si="133"/>
        <v>4.1345336652648414E-6</v>
      </c>
      <c r="X74" s="201">
        <f t="shared" si="134"/>
        <v>350</v>
      </c>
      <c r="Y74" s="451">
        <f t="shared" si="174"/>
        <v>350</v>
      </c>
      <c r="AA74" s="221">
        <f t="shared" si="135"/>
        <v>2.2856354011755182</v>
      </c>
      <c r="AB74" s="177">
        <f t="shared" si="136"/>
        <v>9.8605673459021225E-5</v>
      </c>
      <c r="AC74" s="177">
        <f t="shared" si="137"/>
        <v>1.8020156525828219</v>
      </c>
      <c r="AD74" s="177"/>
      <c r="AE74" s="177">
        <f t="shared" si="138"/>
        <v>6.4712206554230591E-6</v>
      </c>
      <c r="AF74" s="555">
        <f t="shared" si="139"/>
        <v>3111.6444444444451</v>
      </c>
      <c r="AG74" s="538">
        <f t="shared" si="140"/>
        <v>7.7611695137976321E-3</v>
      </c>
      <c r="AI74" s="177">
        <f t="shared" si="141"/>
        <v>0.47144492516127207</v>
      </c>
      <c r="AJ74" s="177">
        <f t="shared" si="142"/>
        <v>0.47144492516127207</v>
      </c>
      <c r="AK74" s="177">
        <f t="shared" si="143"/>
        <v>1.4142966167741813</v>
      </c>
      <c r="AM74" s="555">
        <f t="shared" si="144"/>
        <v>68.999999999999986</v>
      </c>
      <c r="AN74" s="469">
        <f t="shared" si="145"/>
        <v>350</v>
      </c>
      <c r="AP74">
        <f t="shared" si="146"/>
        <v>68.999999999999986</v>
      </c>
      <c r="AQ74">
        <f t="shared" si="147"/>
        <v>350</v>
      </c>
      <c r="AS74" s="5">
        <f t="shared" si="175"/>
        <v>2.8571428571428572</v>
      </c>
      <c r="AT74" s="5">
        <f t="shared" si="148"/>
        <v>0.58930615645159012</v>
      </c>
      <c r="AU74" s="5">
        <f t="shared" si="176"/>
        <v>2.2678367006912672</v>
      </c>
      <c r="AV74" s="5">
        <f t="shared" si="149"/>
        <v>2.0338827583986682E-5</v>
      </c>
      <c r="AW74" s="177">
        <f t="shared" si="177"/>
        <v>0.20625715475805653</v>
      </c>
      <c r="AX74" s="177">
        <f t="shared" si="150"/>
        <v>1.1668666666666665</v>
      </c>
      <c r="AY74" s="177">
        <f t="shared" si="151"/>
        <v>8548.5497956244581</v>
      </c>
      <c r="AZ74" s="177">
        <f t="shared" si="178"/>
        <v>1.3649878570794812E-4</v>
      </c>
      <c r="BA74" s="469">
        <f t="shared" si="152"/>
        <v>3.7498705811702195</v>
      </c>
      <c r="BB74" s="469">
        <f t="shared" si="153"/>
        <v>0.97291395593791985</v>
      </c>
      <c r="BC74" s="5">
        <f t="shared" si="154"/>
        <v>9.0555979367880443E-2</v>
      </c>
      <c r="BD74" s="469">
        <f t="shared" si="155"/>
        <v>11.010467524145653</v>
      </c>
      <c r="BE74" s="5"/>
      <c r="BF74" s="177">
        <f t="shared" si="179"/>
        <v>0.12361604628173949</v>
      </c>
      <c r="BG74" s="177">
        <f t="shared" si="156"/>
        <v>11079.544402698188</v>
      </c>
      <c r="BH74" s="177"/>
      <c r="BI74" s="538">
        <f t="shared" si="157"/>
        <v>5.3483244144152051E-3</v>
      </c>
      <c r="BJ74" s="538">
        <f t="shared" si="158"/>
        <v>573.73363047779947</v>
      </c>
      <c r="BK74" s="538">
        <f t="shared" si="159"/>
        <v>4.3749999999999995E-3</v>
      </c>
      <c r="BL74" s="538">
        <f t="shared" si="160"/>
        <v>8462927.8085788898</v>
      </c>
      <c r="BM74">
        <f t="shared" si="161"/>
        <v>6.96E-3</v>
      </c>
      <c r="BN74">
        <f t="shared" si="162"/>
        <v>1.6625000000000001E-5</v>
      </c>
      <c r="BO74" s="538">
        <f t="shared" si="163"/>
        <v>8471861.3030889463</v>
      </c>
      <c r="BP74" s="469">
        <f t="shared" si="180"/>
        <v>8471861303.0889463</v>
      </c>
      <c r="BQ74" s="538">
        <f t="shared" si="164"/>
        <v>93785816.406688079</v>
      </c>
      <c r="BR74" s="538"/>
      <c r="BT74" s="469">
        <f t="shared" si="181"/>
        <v>93785816406.68808</v>
      </c>
      <c r="BU74" s="538">
        <f t="shared" si="165"/>
        <v>1.5280926898329158E-3</v>
      </c>
      <c r="BV74" s="538">
        <f t="shared" si="166"/>
        <v>3682689.125140822</v>
      </c>
      <c r="BW74" s="538">
        <f t="shared" si="167"/>
        <v>0</v>
      </c>
      <c r="BX74" s="538">
        <f t="shared" si="168"/>
        <v>-14.000047519784587</v>
      </c>
      <c r="BY74" s="538">
        <f t="shared" si="169"/>
        <v>3.889555555555555E-3</v>
      </c>
      <c r="BZ74" s="469">
        <f t="shared" si="182"/>
        <v>-13996.157964229031</v>
      </c>
      <c r="CA74" s="177">
        <f t="shared" si="183"/>
        <v>102257663.71361907</v>
      </c>
      <c r="CB74" s="5">
        <f t="shared" si="184"/>
        <v>1.0349999999999999</v>
      </c>
      <c r="CC74" s="177">
        <f t="shared" si="185"/>
        <v>1.0121490673040008E-8</v>
      </c>
      <c r="CD74" s="5">
        <f t="shared" si="186"/>
        <v>1.0121490673040008E-6</v>
      </c>
      <c r="CG74" s="571">
        <f t="shared" si="170"/>
        <v>-50</v>
      </c>
      <c r="CH74">
        <f t="shared" si="171"/>
        <v>-50</v>
      </c>
    </row>
    <row r="75" spans="5:86" x14ac:dyDescent="0.25">
      <c r="E75" s="174">
        <v>70</v>
      </c>
      <c r="F75" s="221">
        <f t="shared" si="172"/>
        <v>6.9999999999999993E-2</v>
      </c>
      <c r="G75" s="221"/>
      <c r="H75" s="221">
        <f t="shared" si="120"/>
        <v>1.0499999999999998</v>
      </c>
      <c r="I75" s="551">
        <f t="shared" si="121"/>
        <v>24</v>
      </c>
      <c r="J75" s="176">
        <f t="shared" si="122"/>
        <v>695386.58000000007</v>
      </c>
      <c r="K75" s="451">
        <f t="shared" si="123"/>
        <v>695410.58000000007</v>
      </c>
      <c r="L75" s="451"/>
      <c r="M75" s="221">
        <f t="shared" si="124"/>
        <v>0.99996548801428931</v>
      </c>
      <c r="N75" s="176">
        <f t="shared" si="125"/>
        <v>8.0997204529157436</v>
      </c>
      <c r="O75" s="176">
        <f t="shared" si="173"/>
        <v>1.0499999999999998</v>
      </c>
      <c r="P75" s="221">
        <f t="shared" si="126"/>
        <v>0.5399813635277162</v>
      </c>
      <c r="Q75" s="221">
        <f t="shared" si="127"/>
        <v>15</v>
      </c>
      <c r="R75" s="221">
        <f t="shared" si="128"/>
        <v>0.59997929280857354</v>
      </c>
      <c r="S75" s="176">
        <f t="shared" si="129"/>
        <v>115.71376142054429</v>
      </c>
      <c r="T75" s="176">
        <f t="shared" si="130"/>
        <v>15</v>
      </c>
      <c r="U75" s="221">
        <f t="shared" si="131"/>
        <v>9.7225577669969462E-2</v>
      </c>
      <c r="V75" s="221">
        <f t="shared" si="132"/>
        <v>0.12153197208746183</v>
      </c>
      <c r="W75" s="221">
        <f t="shared" si="133"/>
        <v>4.1944544430223026E-6</v>
      </c>
      <c r="X75" s="201">
        <f t="shared" si="134"/>
        <v>350</v>
      </c>
      <c r="Y75" s="451">
        <f t="shared" si="174"/>
        <v>350</v>
      </c>
      <c r="AA75" s="221">
        <f t="shared" si="135"/>
        <v>2.2856354011755182</v>
      </c>
      <c r="AB75" s="177">
        <f t="shared" si="136"/>
        <v>9.8605673459021225E-5</v>
      </c>
      <c r="AC75" s="177">
        <f t="shared" si="137"/>
        <v>1.8020156525828219</v>
      </c>
      <c r="AD75" s="177"/>
      <c r="AE75" s="177">
        <f t="shared" si="138"/>
        <v>6.4712206554230591E-6</v>
      </c>
      <c r="AF75" s="555">
        <f t="shared" si="139"/>
        <v>3156.7407407407413</v>
      </c>
      <c r="AG75" s="538">
        <f t="shared" si="140"/>
        <v>7.7611695137976321E-3</v>
      </c>
      <c r="AI75" s="177">
        <f t="shared" si="141"/>
        <v>0.47484890384361367</v>
      </c>
      <c r="AJ75" s="177">
        <f t="shared" si="142"/>
        <v>0.47484890384361367</v>
      </c>
      <c r="AK75" s="177">
        <f t="shared" si="143"/>
        <v>1.4165659358957425</v>
      </c>
      <c r="AM75" s="555">
        <f t="shared" si="144"/>
        <v>69.999999999999986</v>
      </c>
      <c r="AN75" s="469">
        <f t="shared" si="145"/>
        <v>350</v>
      </c>
      <c r="AP75">
        <f t="shared" si="146"/>
        <v>69.999999999999986</v>
      </c>
      <c r="AQ75">
        <f t="shared" si="147"/>
        <v>350</v>
      </c>
      <c r="AS75" s="5">
        <f t="shared" si="175"/>
        <v>2.8571428571428572</v>
      </c>
      <c r="AT75" s="5">
        <f t="shared" si="148"/>
        <v>0.59356112980451714</v>
      </c>
      <c r="AU75" s="5">
        <f t="shared" si="176"/>
        <v>2.2635817273383401</v>
      </c>
      <c r="AV75" s="5">
        <f t="shared" si="149"/>
        <v>2.0485680231718603E-5</v>
      </c>
      <c r="AW75" s="177">
        <f t="shared" si="177"/>
        <v>0.20774639543158099</v>
      </c>
      <c r="AX75" s="177">
        <f t="shared" si="150"/>
        <v>1.1837777777777778</v>
      </c>
      <c r="AY75" s="177">
        <f t="shared" si="151"/>
        <v>8594.1181634850618</v>
      </c>
      <c r="AZ75" s="177">
        <f t="shared" si="178"/>
        <v>1.377427858517756E-4</v>
      </c>
      <c r="BA75" s="469">
        <f t="shared" si="152"/>
        <v>3.7498705811702195</v>
      </c>
      <c r="BB75" s="469">
        <f t="shared" si="153"/>
        <v>0.99827523295438081</v>
      </c>
      <c r="BC75" s="5">
        <f t="shared" si="154"/>
        <v>9.1696019047270691E-2</v>
      </c>
      <c r="BD75" s="469">
        <f t="shared" si="155"/>
        <v>11.149355619005817</v>
      </c>
      <c r="BE75" s="5"/>
      <c r="BF75" s="177">
        <f t="shared" si="179"/>
        <v>0.12495727938559714</v>
      </c>
      <c r="BG75" s="177">
        <f t="shared" si="156"/>
        <v>11149.06832740211</v>
      </c>
      <c r="BH75" s="177"/>
      <c r="BI75" s="538">
        <f t="shared" si="157"/>
        <v>5.4650125850075632E-3</v>
      </c>
      <c r="BJ75" s="538">
        <f t="shared" si="158"/>
        <v>577.87616535994039</v>
      </c>
      <c r="BK75" s="538">
        <f t="shared" si="159"/>
        <v>4.3749999999999995E-3</v>
      </c>
      <c r="BL75" s="538">
        <f t="shared" si="160"/>
        <v>8462927.8085788898</v>
      </c>
      <c r="BM75">
        <f t="shared" si="161"/>
        <v>6.96E-3</v>
      </c>
      <c r="BN75">
        <f t="shared" si="162"/>
        <v>1.6625000000000001E-5</v>
      </c>
      <c r="BO75" s="538">
        <f t="shared" si="163"/>
        <v>8472048.0244528949</v>
      </c>
      <c r="BP75" s="469">
        <f t="shared" si="180"/>
        <v>8472048024.4528952</v>
      </c>
      <c r="BQ75" s="538">
        <f t="shared" si="164"/>
        <v>94966517.59083277</v>
      </c>
      <c r="BR75" s="538"/>
      <c r="BT75" s="469">
        <f t="shared" si="181"/>
        <v>94966517590.832764</v>
      </c>
      <c r="BU75" s="538">
        <f t="shared" si="165"/>
        <v>1.5614321671450181E-3</v>
      </c>
      <c r="BV75" s="538">
        <f t="shared" si="166"/>
        <v>3729051.7370724264</v>
      </c>
      <c r="BW75" s="538">
        <f t="shared" si="167"/>
        <v>0</v>
      </c>
      <c r="BX75" s="538">
        <f t="shared" si="168"/>
        <v>-14.000046928977897</v>
      </c>
      <c r="BY75" s="538">
        <f t="shared" si="169"/>
        <v>3.9459259259259256E-3</v>
      </c>
      <c r="BZ75" s="469">
        <f t="shared" si="182"/>
        <v>-13996.10100305197</v>
      </c>
      <c r="CA75" s="177">
        <f t="shared" si="183"/>
        <v>103438551.61918467</v>
      </c>
      <c r="CB75" s="5">
        <f t="shared" si="184"/>
        <v>1.0499999999999998</v>
      </c>
      <c r="CC75" s="177">
        <f t="shared" si="185"/>
        <v>1.0150954096951559E-8</v>
      </c>
      <c r="CD75" s="5">
        <f t="shared" si="186"/>
        <v>1.0150954096951559E-6</v>
      </c>
      <c r="CG75" s="571">
        <f t="shared" si="170"/>
        <v>-50</v>
      </c>
      <c r="CH75">
        <f t="shared" si="171"/>
        <v>-50</v>
      </c>
    </row>
    <row r="76" spans="5:86" x14ac:dyDescent="0.25">
      <c r="E76" s="174">
        <v>71</v>
      </c>
      <c r="F76" s="221">
        <f t="shared" si="172"/>
        <v>7.0999999999999994E-2</v>
      </c>
      <c r="G76" s="221"/>
      <c r="H76" s="221">
        <f t="shared" si="120"/>
        <v>1.0649999999999999</v>
      </c>
      <c r="I76" s="551">
        <f t="shared" si="121"/>
        <v>24</v>
      </c>
      <c r="J76" s="176">
        <f t="shared" si="122"/>
        <v>695386.58000000007</v>
      </c>
      <c r="K76" s="451">
        <f t="shared" si="123"/>
        <v>695410.58000000007</v>
      </c>
      <c r="L76" s="451"/>
      <c r="M76" s="221">
        <f t="shared" si="124"/>
        <v>0.99996548801428931</v>
      </c>
      <c r="N76" s="176">
        <f t="shared" si="125"/>
        <v>8.0997204529157436</v>
      </c>
      <c r="O76" s="176">
        <f t="shared" si="173"/>
        <v>1.0649999999999999</v>
      </c>
      <c r="P76" s="221">
        <f t="shared" si="126"/>
        <v>0.5399813635277162</v>
      </c>
      <c r="Q76" s="221">
        <f t="shared" si="127"/>
        <v>15</v>
      </c>
      <c r="R76" s="221">
        <f t="shared" si="128"/>
        <v>0.59997929280857354</v>
      </c>
      <c r="S76" s="176">
        <f t="shared" si="129"/>
        <v>114.08398276272492</v>
      </c>
      <c r="T76" s="176">
        <f t="shared" si="130"/>
        <v>15</v>
      </c>
      <c r="U76" s="221">
        <f t="shared" si="131"/>
        <v>9.8614514493826175E-2</v>
      </c>
      <c r="V76" s="221">
        <f t="shared" si="132"/>
        <v>0.12326814311728272</v>
      </c>
      <c r="W76" s="221">
        <f t="shared" si="133"/>
        <v>4.2543752207797647E-6</v>
      </c>
      <c r="X76" s="201">
        <f t="shared" si="134"/>
        <v>350</v>
      </c>
      <c r="Y76" s="451">
        <f t="shared" si="174"/>
        <v>350</v>
      </c>
      <c r="AA76" s="221">
        <f t="shared" si="135"/>
        <v>2.2856354011755182</v>
      </c>
      <c r="AB76" s="177">
        <f t="shared" si="136"/>
        <v>9.8605673459021225E-5</v>
      </c>
      <c r="AC76" s="177">
        <f t="shared" si="137"/>
        <v>1.8020156525828219</v>
      </c>
      <c r="AD76" s="177"/>
      <c r="AE76" s="177">
        <f t="shared" si="138"/>
        <v>6.4712206554230591E-6</v>
      </c>
      <c r="AF76" s="555">
        <f t="shared" si="139"/>
        <v>3201.8370370370376</v>
      </c>
      <c r="AG76" s="538">
        <f t="shared" si="140"/>
        <v>7.7611695137976321E-3</v>
      </c>
      <c r="AI76" s="177">
        <f t="shared" si="141"/>
        <v>0.47822865399581138</v>
      </c>
      <c r="AJ76" s="177">
        <f t="shared" si="142"/>
        <v>0.47822865399581138</v>
      </c>
      <c r="AK76" s="177">
        <f t="shared" si="143"/>
        <v>1.4188191026638743</v>
      </c>
      <c r="AM76" s="555">
        <f t="shared" si="144"/>
        <v>71</v>
      </c>
      <c r="AN76" s="469">
        <f t="shared" si="145"/>
        <v>350</v>
      </c>
      <c r="AP76">
        <f t="shared" si="146"/>
        <v>71</v>
      </c>
      <c r="AQ76">
        <f t="shared" si="147"/>
        <v>350</v>
      </c>
      <c r="AS76" s="5">
        <f t="shared" si="175"/>
        <v>2.8571428571428572</v>
      </c>
      <c r="AT76" s="5">
        <f t="shared" si="148"/>
        <v>0.59778581749476423</v>
      </c>
      <c r="AU76" s="5">
        <f t="shared" si="176"/>
        <v>2.2593570396480929</v>
      </c>
      <c r="AV76" s="5">
        <f t="shared" si="149"/>
        <v>2.0631487625019078E-5</v>
      </c>
      <c r="AW76" s="177">
        <f t="shared" si="177"/>
        <v>0.20922503612316748</v>
      </c>
      <c r="AX76" s="177">
        <f t="shared" si="150"/>
        <v>1.2006888888888889</v>
      </c>
      <c r="AY76" s="177">
        <f t="shared" si="151"/>
        <v>8639.1330426887944</v>
      </c>
      <c r="AZ76" s="177">
        <f t="shared" si="178"/>
        <v>1.3898256722704588E-4</v>
      </c>
      <c r="BA76" s="469">
        <f t="shared" si="152"/>
        <v>3.7498705811702195</v>
      </c>
      <c r="BB76" s="469">
        <f t="shared" si="153"/>
        <v>1.0239582549638846</v>
      </c>
      <c r="BC76" s="5">
        <f t="shared" si="154"/>
        <v>9.2832378365170456E-2</v>
      </c>
      <c r="BD76" s="469">
        <f t="shared" si="155"/>
        <v>11.287802070487123</v>
      </c>
      <c r="BE76" s="5"/>
      <c r="BF76" s="177">
        <f t="shared" si="179"/>
        <v>0.12629373073217709</v>
      </c>
      <c r="BG76" s="177">
        <f t="shared" si="156"/>
        <v>11217.939023051857</v>
      </c>
      <c r="BH76" s="177"/>
      <c r="BI76" s="538">
        <f t="shared" si="157"/>
        <v>5.5825372477880776E-3</v>
      </c>
      <c r="BJ76" s="538">
        <f t="shared" si="158"/>
        <v>581.98921488373151</v>
      </c>
      <c r="BK76" s="538">
        <f t="shared" si="159"/>
        <v>4.3749999999999995E-3</v>
      </c>
      <c r="BL76" s="538">
        <f t="shared" si="160"/>
        <v>8462927.8085788898</v>
      </c>
      <c r="BM76">
        <f t="shared" si="161"/>
        <v>6.96E-3</v>
      </c>
      <c r="BN76">
        <f t="shared" si="162"/>
        <v>1.6625000000000001E-5</v>
      </c>
      <c r="BO76" s="538">
        <f t="shared" si="163"/>
        <v>8472236.0332420766</v>
      </c>
      <c r="BP76" s="469">
        <f t="shared" si="180"/>
        <v>8472236033.2420769</v>
      </c>
      <c r="BQ76" s="538">
        <f t="shared" si="164"/>
        <v>96143407.146972433</v>
      </c>
      <c r="BR76" s="538"/>
      <c r="BT76" s="469">
        <f t="shared" si="181"/>
        <v>96143407146.972427</v>
      </c>
      <c r="BU76" s="538">
        <f t="shared" si="165"/>
        <v>1.5950106422251654E-3</v>
      </c>
      <c r="BV76" s="538">
        <f t="shared" si="166"/>
        <v>3775264.6777472887</v>
      </c>
      <c r="BW76" s="538">
        <f t="shared" si="167"/>
        <v>0</v>
      </c>
      <c r="BX76" s="538">
        <f t="shared" si="168"/>
        <v>-14.0000463545193</v>
      </c>
      <c r="BY76" s="538">
        <f t="shared" si="169"/>
        <v>4.0022962962962963E-3</v>
      </c>
      <c r="BZ76" s="469">
        <f t="shared" si="182"/>
        <v>-13996.044058223004</v>
      </c>
      <c r="CA76" s="177">
        <f t="shared" si="183"/>
        <v>104615629.18417045</v>
      </c>
      <c r="CB76" s="5">
        <f t="shared" si="184"/>
        <v>1.0649999999999999</v>
      </c>
      <c r="CC76" s="177">
        <f t="shared" si="185"/>
        <v>1.0180123156199642E-8</v>
      </c>
      <c r="CD76" s="5">
        <f t="shared" si="186"/>
        <v>1.0180123156199643E-6</v>
      </c>
      <c r="CG76" s="571">
        <f t="shared" si="170"/>
        <v>-50</v>
      </c>
      <c r="CH76">
        <f t="shared" si="171"/>
        <v>-50</v>
      </c>
    </row>
    <row r="77" spans="5:86" x14ac:dyDescent="0.25">
      <c r="E77" s="174">
        <v>72</v>
      </c>
      <c r="F77" s="221">
        <f t="shared" si="172"/>
        <v>7.1999999999999995E-2</v>
      </c>
      <c r="G77" s="221"/>
      <c r="H77" s="221">
        <f t="shared" si="120"/>
        <v>1.0799999999999998</v>
      </c>
      <c r="I77" s="551">
        <f t="shared" si="121"/>
        <v>24</v>
      </c>
      <c r="J77" s="176">
        <f t="shared" si="122"/>
        <v>695386.58000000007</v>
      </c>
      <c r="K77" s="451">
        <f t="shared" si="123"/>
        <v>695410.58000000007</v>
      </c>
      <c r="L77" s="451"/>
      <c r="M77" s="221">
        <f t="shared" si="124"/>
        <v>0.99996548801428931</v>
      </c>
      <c r="N77" s="176">
        <f t="shared" si="125"/>
        <v>8.0997204529157436</v>
      </c>
      <c r="O77" s="176">
        <f t="shared" si="173"/>
        <v>1.0799999999999998</v>
      </c>
      <c r="P77" s="221">
        <f t="shared" si="126"/>
        <v>0.5399813635277162</v>
      </c>
      <c r="Q77" s="221">
        <f t="shared" si="127"/>
        <v>15</v>
      </c>
      <c r="R77" s="221">
        <f t="shared" si="128"/>
        <v>0.59997929280857354</v>
      </c>
      <c r="S77" s="176">
        <f t="shared" si="129"/>
        <v>112.49947573468341</v>
      </c>
      <c r="T77" s="176">
        <f t="shared" si="130"/>
        <v>15</v>
      </c>
      <c r="U77" s="221">
        <f t="shared" si="131"/>
        <v>0.10000345131768287</v>
      </c>
      <c r="V77" s="221">
        <f t="shared" si="132"/>
        <v>0.12500431414710361</v>
      </c>
      <c r="W77" s="221">
        <f t="shared" si="133"/>
        <v>4.3142959985372252E-6</v>
      </c>
      <c r="X77" s="201">
        <f t="shared" si="134"/>
        <v>350</v>
      </c>
      <c r="Y77" s="451">
        <f t="shared" si="174"/>
        <v>350</v>
      </c>
      <c r="AA77" s="221">
        <f t="shared" si="135"/>
        <v>2.2856354011755182</v>
      </c>
      <c r="AB77" s="177">
        <f t="shared" si="136"/>
        <v>9.8605673459021225E-5</v>
      </c>
      <c r="AC77" s="177">
        <f t="shared" si="137"/>
        <v>1.8020156525828219</v>
      </c>
      <c r="AD77" s="177"/>
      <c r="AE77" s="177">
        <f t="shared" si="138"/>
        <v>6.4712206554230591E-6</v>
      </c>
      <c r="AF77" s="555">
        <f t="shared" si="139"/>
        <v>3246.9333333333338</v>
      </c>
      <c r="AG77" s="538">
        <f t="shared" si="140"/>
        <v>7.7611695137976321E-3</v>
      </c>
      <c r="AI77" s="177">
        <f t="shared" si="141"/>
        <v>0.48158468572392282</v>
      </c>
      <c r="AJ77" s="177">
        <f t="shared" si="142"/>
        <v>0.48158468572392282</v>
      </c>
      <c r="AK77" s="177">
        <f t="shared" si="143"/>
        <v>1.4210564571492819</v>
      </c>
      <c r="AM77" s="555">
        <f t="shared" si="144"/>
        <v>72</v>
      </c>
      <c r="AN77" s="469">
        <f t="shared" si="145"/>
        <v>350</v>
      </c>
      <c r="AP77">
        <f t="shared" si="146"/>
        <v>72</v>
      </c>
      <c r="AQ77">
        <f t="shared" si="147"/>
        <v>350</v>
      </c>
      <c r="AS77" s="5">
        <f t="shared" si="175"/>
        <v>2.8571428571428572</v>
      </c>
      <c r="AT77" s="5">
        <f t="shared" si="148"/>
        <v>0.60198085715490346</v>
      </c>
      <c r="AU77" s="5">
        <f t="shared" si="176"/>
        <v>2.255161999987954</v>
      </c>
      <c r="AV77" s="5">
        <f t="shared" si="149"/>
        <v>2.0776271770613811E-5</v>
      </c>
      <c r="AW77" s="177">
        <f t="shared" si="177"/>
        <v>0.21069330000421621</v>
      </c>
      <c r="AX77" s="177">
        <f t="shared" si="150"/>
        <v>1.2175999999999998</v>
      </c>
      <c r="AY77" s="177">
        <f t="shared" si="151"/>
        <v>8683.6060863534894</v>
      </c>
      <c r="AZ77" s="177">
        <f t="shared" si="178"/>
        <v>1.4021824434361314E-4</v>
      </c>
      <c r="BA77" s="469">
        <f t="shared" si="152"/>
        <v>3.7498705811702195</v>
      </c>
      <c r="BB77" s="469">
        <f t="shared" si="153"/>
        <v>1.0499630219664309</v>
      </c>
      <c r="BC77" s="5">
        <f t="shared" si="154"/>
        <v>9.3965083332831378E-2</v>
      </c>
      <c r="BD77" s="469">
        <f t="shared" si="155"/>
        <v>11.425809999939769</v>
      </c>
      <c r="BE77" s="5"/>
      <c r="BF77" s="177">
        <f t="shared" si="179"/>
        <v>0.12762548436489307</v>
      </c>
      <c r="BG77" s="177">
        <f t="shared" si="156"/>
        <v>11286.17001020731</v>
      </c>
      <c r="BH77" s="177"/>
      <c r="BI77" s="538">
        <f t="shared" si="157"/>
        <v>5.7008924907807476E-3</v>
      </c>
      <c r="BJ77" s="538">
        <f t="shared" si="158"/>
        <v>586.07339983218412</v>
      </c>
      <c r="BK77" s="538">
        <f t="shared" si="159"/>
        <v>4.3749999999999995E-3</v>
      </c>
      <c r="BL77" s="538">
        <f t="shared" si="160"/>
        <v>8462927.8085788898</v>
      </c>
      <c r="BM77">
        <f t="shared" si="161"/>
        <v>6.96E-3</v>
      </c>
      <c r="BN77">
        <f t="shared" si="162"/>
        <v>1.6625000000000001E-5</v>
      </c>
      <c r="BO77" s="538">
        <f t="shared" si="163"/>
        <v>8472425.3209977821</v>
      </c>
      <c r="BP77" s="469">
        <f t="shared" si="180"/>
        <v>8472425320.9977818</v>
      </c>
      <c r="BQ77" s="538">
        <f t="shared" si="164"/>
        <v>97316512.014095366</v>
      </c>
      <c r="BR77" s="538"/>
      <c r="BT77" s="469">
        <f t="shared" si="181"/>
        <v>97316512014.095367</v>
      </c>
      <c r="BU77" s="538">
        <f t="shared" si="165"/>
        <v>1.6288264259373565E-3</v>
      </c>
      <c r="BV77" s="538">
        <f t="shared" si="166"/>
        <v>3821329.0049790861</v>
      </c>
      <c r="BW77" s="538">
        <f t="shared" si="167"/>
        <v>0</v>
      </c>
      <c r="BX77" s="538">
        <f t="shared" si="168"/>
        <v>-14.000045795735501</v>
      </c>
      <c r="BY77" s="538">
        <f t="shared" si="169"/>
        <v>4.0586666666666662E-3</v>
      </c>
      <c r="BZ77" s="469">
        <f t="shared" si="182"/>
        <v>-13995.987129068833</v>
      </c>
      <c r="CA77" s="177">
        <f t="shared" si="183"/>
        <v>105788923.33910602</v>
      </c>
      <c r="CB77" s="5">
        <f t="shared" si="184"/>
        <v>1.0799999999999998</v>
      </c>
      <c r="CC77" s="177">
        <f t="shared" si="185"/>
        <v>1.0209008229645506E-8</v>
      </c>
      <c r="CD77" s="5">
        <f t="shared" si="186"/>
        <v>1.0209008229645506E-6</v>
      </c>
      <c r="CG77" s="571">
        <f t="shared" si="170"/>
        <v>-50</v>
      </c>
      <c r="CH77">
        <f t="shared" si="171"/>
        <v>-50</v>
      </c>
    </row>
    <row r="78" spans="5:86" x14ac:dyDescent="0.25">
      <c r="E78" s="174">
        <v>73</v>
      </c>
      <c r="F78" s="221">
        <f t="shared" si="172"/>
        <v>7.2999999999999995E-2</v>
      </c>
      <c r="G78" s="221"/>
      <c r="H78" s="221">
        <f t="shared" si="120"/>
        <v>1.095</v>
      </c>
      <c r="I78" s="551">
        <f t="shared" si="121"/>
        <v>24</v>
      </c>
      <c r="J78" s="176">
        <f t="shared" si="122"/>
        <v>695386.58000000007</v>
      </c>
      <c r="K78" s="451">
        <f t="shared" si="123"/>
        <v>695410.58000000007</v>
      </c>
      <c r="L78" s="451"/>
      <c r="M78" s="221">
        <f t="shared" si="124"/>
        <v>0.99996548801428931</v>
      </c>
      <c r="N78" s="176">
        <f t="shared" si="125"/>
        <v>8.0997204529157436</v>
      </c>
      <c r="O78" s="176">
        <f t="shared" si="173"/>
        <v>1.095</v>
      </c>
      <c r="P78" s="221">
        <f t="shared" si="126"/>
        <v>0.5399813635277162</v>
      </c>
      <c r="Q78" s="221">
        <f t="shared" si="127"/>
        <v>15</v>
      </c>
      <c r="R78" s="221">
        <f t="shared" si="128"/>
        <v>0.59997929280857354</v>
      </c>
      <c r="S78" s="176">
        <f t="shared" si="129"/>
        <v>110.95837985848371</v>
      </c>
      <c r="T78" s="176">
        <f t="shared" si="130"/>
        <v>15</v>
      </c>
      <c r="U78" s="221">
        <f t="shared" si="131"/>
        <v>0.1013923881415396</v>
      </c>
      <c r="V78" s="221">
        <f t="shared" si="132"/>
        <v>0.12674048517692452</v>
      </c>
      <c r="W78" s="221">
        <f t="shared" si="133"/>
        <v>4.3742167762946864E-6</v>
      </c>
      <c r="X78" s="201">
        <f t="shared" si="134"/>
        <v>350</v>
      </c>
      <c r="Y78" s="451">
        <f t="shared" si="174"/>
        <v>350</v>
      </c>
      <c r="AA78" s="221">
        <f t="shared" si="135"/>
        <v>2.2856354011755182</v>
      </c>
      <c r="AB78" s="177">
        <f t="shared" si="136"/>
        <v>9.8605673459021225E-5</v>
      </c>
      <c r="AC78" s="177">
        <f t="shared" si="137"/>
        <v>1.8020156525828219</v>
      </c>
      <c r="AD78" s="177"/>
      <c r="AE78" s="177">
        <f t="shared" si="138"/>
        <v>6.4712206554230591E-6</v>
      </c>
      <c r="AF78" s="555">
        <f t="shared" si="139"/>
        <v>3292.0296296296301</v>
      </c>
      <c r="AG78" s="538">
        <f t="shared" si="140"/>
        <v>7.7611695137976321E-3</v>
      </c>
      <c r="AI78" s="177">
        <f t="shared" si="141"/>
        <v>0.4849174914817711</v>
      </c>
      <c r="AJ78" s="177">
        <f t="shared" si="142"/>
        <v>0.4849174914817711</v>
      </c>
      <c r="AK78" s="177">
        <f t="shared" si="143"/>
        <v>1.423278327654514</v>
      </c>
      <c r="AM78" s="555">
        <f t="shared" si="144"/>
        <v>73</v>
      </c>
      <c r="AN78" s="469">
        <f t="shared" si="145"/>
        <v>350</v>
      </c>
      <c r="AP78">
        <f t="shared" si="146"/>
        <v>73</v>
      </c>
      <c r="AQ78">
        <f t="shared" si="147"/>
        <v>350</v>
      </c>
      <c r="AS78" s="5">
        <f t="shared" si="175"/>
        <v>2.8571428571428572</v>
      </c>
      <c r="AT78" s="5">
        <f t="shared" si="148"/>
        <v>0.60614686435221399</v>
      </c>
      <c r="AU78" s="5">
        <f t="shared" si="176"/>
        <v>2.2509959927906431</v>
      </c>
      <c r="AV78" s="5">
        <f t="shared" si="149"/>
        <v>2.0920053913685151E-5</v>
      </c>
      <c r="AW78" s="177">
        <f t="shared" si="177"/>
        <v>0.21215140252327488</v>
      </c>
      <c r="AX78" s="177">
        <f t="shared" si="150"/>
        <v>1.2345111111111111</v>
      </c>
      <c r="AY78" s="177">
        <f t="shared" si="151"/>
        <v>8727.548544340505</v>
      </c>
      <c r="AZ78" s="177">
        <f t="shared" si="178"/>
        <v>1.4144992775911241E-4</v>
      </c>
      <c r="BA78" s="469">
        <f t="shared" si="152"/>
        <v>3.7498705811702195</v>
      </c>
      <c r="BB78" s="469">
        <f t="shared" si="153"/>
        <v>1.0762895339620195</v>
      </c>
      <c r="BC78" s="5">
        <f t="shared" si="154"/>
        <v>9.5094159417660237E-2</v>
      </c>
      <c r="BD78" s="469">
        <f t="shared" si="155"/>
        <v>11.563382463452566</v>
      </c>
      <c r="BE78" s="5"/>
      <c r="BF78" s="177">
        <f t="shared" si="179"/>
        <v>0.12895262170511115</v>
      </c>
      <c r="BG78" s="177">
        <f t="shared" si="156"/>
        <v>11353.774342283217</v>
      </c>
      <c r="BH78" s="177"/>
      <c r="BI78" s="538">
        <f t="shared" si="157"/>
        <v>5.8200725256175269E-3</v>
      </c>
      <c r="BJ78" s="538">
        <f t="shared" si="158"/>
        <v>590.12931950609618</v>
      </c>
      <c r="BK78" s="538">
        <f t="shared" si="159"/>
        <v>4.3749999999999995E-3</v>
      </c>
      <c r="BL78" s="538">
        <f t="shared" si="160"/>
        <v>8462927.8085788898</v>
      </c>
      <c r="BM78">
        <f t="shared" si="161"/>
        <v>6.96E-3</v>
      </c>
      <c r="BN78">
        <f t="shared" si="162"/>
        <v>1.6625000000000001E-5</v>
      </c>
      <c r="BO78" s="538">
        <f t="shared" si="163"/>
        <v>8472615.8794328514</v>
      </c>
      <c r="BP78" s="469">
        <f t="shared" si="180"/>
        <v>8472615879.4328518</v>
      </c>
      <c r="BQ78" s="538">
        <f t="shared" si="164"/>
        <v>98485858.567947835</v>
      </c>
      <c r="BR78" s="538"/>
      <c r="BT78" s="469">
        <f t="shared" si="181"/>
        <v>98485858567.94783</v>
      </c>
      <c r="BU78" s="538">
        <f t="shared" si="165"/>
        <v>1.6628778644621506E-3</v>
      </c>
      <c r="BV78" s="538">
        <f t="shared" si="166"/>
        <v>3867245.7544646608</v>
      </c>
      <c r="BW78" s="538">
        <f t="shared" si="167"/>
        <v>0</v>
      </c>
      <c r="BX78" s="538">
        <f t="shared" si="168"/>
        <v>-14.000045251989839</v>
      </c>
      <c r="BY78" s="538">
        <f t="shared" si="169"/>
        <v>4.1150370370370377E-3</v>
      </c>
      <c r="BZ78" s="469">
        <f t="shared" si="182"/>
        <v>-13995.930214952801</v>
      </c>
      <c r="CA78" s="177">
        <f t="shared" si="183"/>
        <v>106958460.45145047</v>
      </c>
      <c r="CB78" s="5">
        <f t="shared" si="184"/>
        <v>1.095</v>
      </c>
      <c r="CC78" s="177">
        <f t="shared" si="185"/>
        <v>1.0237619204390461E-8</v>
      </c>
      <c r="CD78" s="5">
        <f t="shared" si="186"/>
        <v>1.0237619204390462E-6</v>
      </c>
      <c r="CG78" s="571">
        <f t="shared" si="170"/>
        <v>-50</v>
      </c>
      <c r="CH78">
        <f t="shared" si="171"/>
        <v>-50</v>
      </c>
    </row>
    <row r="79" spans="5:86" x14ac:dyDescent="0.25">
      <c r="E79" s="174">
        <v>74</v>
      </c>
      <c r="F79" s="221">
        <f t="shared" si="172"/>
        <v>7.3999999999999996E-2</v>
      </c>
      <c r="G79" s="221"/>
      <c r="H79" s="221">
        <f t="shared" si="120"/>
        <v>1.1099999999999999</v>
      </c>
      <c r="I79" s="551">
        <f t="shared" si="121"/>
        <v>24</v>
      </c>
      <c r="J79" s="176">
        <f t="shared" si="122"/>
        <v>695386.58000000007</v>
      </c>
      <c r="K79" s="451">
        <f t="shared" si="123"/>
        <v>695410.58000000007</v>
      </c>
      <c r="L79" s="451"/>
      <c r="M79" s="221">
        <f t="shared" si="124"/>
        <v>0.99996548801428931</v>
      </c>
      <c r="N79" s="176">
        <f t="shared" si="125"/>
        <v>8.0997204529157436</v>
      </c>
      <c r="O79" s="176">
        <f t="shared" si="173"/>
        <v>1.1099999999999999</v>
      </c>
      <c r="P79" s="221">
        <f t="shared" si="126"/>
        <v>0.5399813635277162</v>
      </c>
      <c r="Q79" s="221">
        <f t="shared" si="127"/>
        <v>15</v>
      </c>
      <c r="R79" s="221">
        <f t="shared" si="128"/>
        <v>0.59997929280857354</v>
      </c>
      <c r="S79" s="176">
        <f t="shared" si="129"/>
        <v>109.45893522256462</v>
      </c>
      <c r="T79" s="176">
        <f t="shared" si="130"/>
        <v>15</v>
      </c>
      <c r="U79" s="221">
        <f t="shared" si="131"/>
        <v>0.1027813249653963</v>
      </c>
      <c r="V79" s="221">
        <f t="shared" si="132"/>
        <v>0.12847665620674537</v>
      </c>
      <c r="W79" s="221">
        <f t="shared" si="133"/>
        <v>4.4341375540521485E-6</v>
      </c>
      <c r="X79" s="201">
        <f t="shared" si="134"/>
        <v>350</v>
      </c>
      <c r="Y79" s="451">
        <f t="shared" si="174"/>
        <v>350</v>
      </c>
      <c r="AA79" s="221">
        <f t="shared" si="135"/>
        <v>2.2856354011755182</v>
      </c>
      <c r="AB79" s="177">
        <f t="shared" si="136"/>
        <v>9.8605673459021225E-5</v>
      </c>
      <c r="AC79" s="177">
        <f t="shared" si="137"/>
        <v>1.8020156525828219</v>
      </c>
      <c r="AD79" s="177"/>
      <c r="AE79" s="177">
        <f t="shared" si="138"/>
        <v>6.4712206554230591E-6</v>
      </c>
      <c r="AF79" s="555">
        <f t="shared" si="139"/>
        <v>3337.1259259259268</v>
      </c>
      <c r="AG79" s="538">
        <f t="shared" si="140"/>
        <v>7.7611695137976321E-3</v>
      </c>
      <c r="AI79" s="177">
        <f t="shared" si="141"/>
        <v>0.48822754691448694</v>
      </c>
      <c r="AJ79" s="177">
        <f t="shared" si="142"/>
        <v>0.48822754691448694</v>
      </c>
      <c r="AK79" s="177">
        <f t="shared" si="143"/>
        <v>1.4254850312763248</v>
      </c>
      <c r="AM79" s="555">
        <f t="shared" si="144"/>
        <v>74</v>
      </c>
      <c r="AN79" s="469">
        <f t="shared" si="145"/>
        <v>350</v>
      </c>
      <c r="AP79">
        <f t="shared" si="146"/>
        <v>74</v>
      </c>
      <c r="AQ79">
        <f t="shared" si="147"/>
        <v>350</v>
      </c>
      <c r="AS79" s="5">
        <f t="shared" si="175"/>
        <v>2.8571428571428572</v>
      </c>
      <c r="AT79" s="5">
        <f t="shared" si="148"/>
        <v>0.61028443364310869</v>
      </c>
      <c r="AU79" s="5">
        <f t="shared" si="176"/>
        <v>2.2468584234997486</v>
      </c>
      <c r="AV79" s="5">
        <f t="shared" si="149"/>
        <v>2.1062854574263726E-5</v>
      </c>
      <c r="AW79" s="177">
        <f t="shared" si="177"/>
        <v>0.21359955177508805</v>
      </c>
      <c r="AX79" s="177">
        <f t="shared" si="150"/>
        <v>1.2514222222222222</v>
      </c>
      <c r="AY79" s="177">
        <f t="shared" si="151"/>
        <v>8770.9712825250353</v>
      </c>
      <c r="AZ79" s="177">
        <f t="shared" si="178"/>
        <v>1.4267772426931899E-4</v>
      </c>
      <c r="BA79" s="469">
        <f t="shared" si="152"/>
        <v>3.7498705811702195</v>
      </c>
      <c r="BB79" s="469">
        <f t="shared" si="153"/>
        <v>1.102937790950651</v>
      </c>
      <c r="BC79" s="5">
        <f t="shared" si="154"/>
        <v>9.6219631561910504E-2</v>
      </c>
      <c r="BD79" s="469">
        <f t="shared" si="155"/>
        <v>11.700522454095928</v>
      </c>
      <c r="BE79" s="5"/>
      <c r="BF79" s="177">
        <f t="shared" si="179"/>
        <v>0.13027522166869895</v>
      </c>
      <c r="BG79" s="177">
        <f t="shared" si="156"/>
        <v>11420.764627852435</v>
      </c>
      <c r="BH79" s="177"/>
      <c r="BI79" s="538">
        <f t="shared" si="157"/>
        <v>5.9400716832900269E-3</v>
      </c>
      <c r="BJ79" s="538">
        <f t="shared" si="158"/>
        <v>594.15755275061611</v>
      </c>
      <c r="BK79" s="538">
        <f t="shared" si="159"/>
        <v>4.3749999999999995E-3</v>
      </c>
      <c r="BL79" s="538">
        <f t="shared" si="160"/>
        <v>8462927.8085788898</v>
      </c>
      <c r="BM79">
        <f t="shared" si="161"/>
        <v>6.96E-3</v>
      </c>
      <c r="BN79">
        <f t="shared" si="162"/>
        <v>1.6625000000000001E-5</v>
      </c>
      <c r="BO79" s="538">
        <f t="shared" si="163"/>
        <v>8472807.7004260607</v>
      </c>
      <c r="BP79" s="469">
        <f t="shared" si="180"/>
        <v>8472807700.4260607</v>
      </c>
      <c r="BQ79" s="538">
        <f t="shared" si="164"/>
        <v>99651472.640392289</v>
      </c>
      <c r="BR79" s="538"/>
      <c r="BT79" s="469">
        <f t="shared" si="181"/>
        <v>99651472640.392288</v>
      </c>
      <c r="BU79" s="538">
        <f t="shared" si="165"/>
        <v>1.6971633380828651E-3</v>
      </c>
      <c r="BV79" s="538">
        <f t="shared" si="166"/>
        <v>3913015.940544161</v>
      </c>
      <c r="BW79" s="538">
        <f t="shared" si="167"/>
        <v>0</v>
      </c>
      <c r="BX79" s="538">
        <f t="shared" si="168"/>
        <v>-14.000044722679798</v>
      </c>
      <c r="BY79" s="538">
        <f t="shared" si="169"/>
        <v>4.1714074074074075E-3</v>
      </c>
      <c r="BZ79" s="469">
        <f t="shared" si="182"/>
        <v>-13995.873315272391</v>
      </c>
      <c r="CA79" s="177">
        <f t="shared" si="183"/>
        <v>108124266.34494503</v>
      </c>
      <c r="CB79" s="5">
        <f t="shared" si="184"/>
        <v>1.1099999999999999</v>
      </c>
      <c r="CC79" s="177">
        <f t="shared" si="185"/>
        <v>1.0265965505500721E-8</v>
      </c>
      <c r="CD79" s="5">
        <f t="shared" si="186"/>
        <v>1.0265965505500721E-6</v>
      </c>
      <c r="CG79" s="571">
        <f t="shared" si="170"/>
        <v>-50</v>
      </c>
      <c r="CH79">
        <f t="shared" si="171"/>
        <v>-50</v>
      </c>
    </row>
    <row r="80" spans="5:86" x14ac:dyDescent="0.25">
      <c r="E80" s="174">
        <v>75</v>
      </c>
      <c r="F80" s="221">
        <f t="shared" si="172"/>
        <v>7.5000000000000011E-2</v>
      </c>
      <c r="G80" s="221"/>
      <c r="H80" s="221">
        <f t="shared" si="120"/>
        <v>1.1250000000000002</v>
      </c>
      <c r="I80" s="551">
        <f t="shared" si="121"/>
        <v>24</v>
      </c>
      <c r="J80" s="176">
        <f t="shared" si="122"/>
        <v>695386.58000000007</v>
      </c>
      <c r="K80" s="451">
        <f t="shared" si="123"/>
        <v>695410.58000000007</v>
      </c>
      <c r="L80" s="451"/>
      <c r="M80" s="221">
        <f t="shared" si="124"/>
        <v>0.99996548801428931</v>
      </c>
      <c r="N80" s="176">
        <f t="shared" si="125"/>
        <v>8.0997204529157436</v>
      </c>
      <c r="O80" s="176">
        <f t="shared" si="173"/>
        <v>1.1250000000000002</v>
      </c>
      <c r="P80" s="221">
        <f t="shared" si="126"/>
        <v>0.5399813635277162</v>
      </c>
      <c r="Q80" s="221">
        <f t="shared" si="127"/>
        <v>15</v>
      </c>
      <c r="R80" s="221">
        <f t="shared" si="128"/>
        <v>0.59997929280857354</v>
      </c>
      <c r="S80" s="176">
        <f t="shared" si="129"/>
        <v>107.99947577731487</v>
      </c>
      <c r="T80" s="176">
        <f t="shared" si="130"/>
        <v>15</v>
      </c>
      <c r="U80" s="221">
        <f t="shared" si="131"/>
        <v>0.10417026178925304</v>
      </c>
      <c r="V80" s="221">
        <f t="shared" si="132"/>
        <v>0.1302128272365663</v>
      </c>
      <c r="W80" s="221">
        <f t="shared" si="133"/>
        <v>4.4940583318096115E-6</v>
      </c>
      <c r="X80" s="201">
        <f t="shared" si="134"/>
        <v>350</v>
      </c>
      <c r="Y80" s="451">
        <f t="shared" si="174"/>
        <v>350</v>
      </c>
      <c r="AA80" s="221">
        <f t="shared" si="135"/>
        <v>2.2856354011755182</v>
      </c>
      <c r="AB80" s="177">
        <f t="shared" si="136"/>
        <v>9.8605673459021225E-5</v>
      </c>
      <c r="AC80" s="177">
        <f t="shared" si="137"/>
        <v>1.8020156525828219</v>
      </c>
      <c r="AD80" s="177"/>
      <c r="AE80" s="177">
        <f t="shared" si="138"/>
        <v>6.4712206554230591E-6</v>
      </c>
      <c r="AF80" s="555">
        <f t="shared" si="139"/>
        <v>3382.2222222222235</v>
      </c>
      <c r="AG80" s="538">
        <f t="shared" si="140"/>
        <v>7.7611695137976321E-3</v>
      </c>
      <c r="AI80" s="177">
        <f t="shared" si="141"/>
        <v>0.49151531165092061</v>
      </c>
      <c r="AJ80" s="177">
        <f t="shared" si="142"/>
        <v>0.49151531165092061</v>
      </c>
      <c r="AK80" s="177">
        <f t="shared" si="143"/>
        <v>1.427676874433947</v>
      </c>
      <c r="AM80" s="555">
        <f t="shared" si="144"/>
        <v>75.000000000000014</v>
      </c>
      <c r="AN80" s="469">
        <f t="shared" si="145"/>
        <v>350</v>
      </c>
      <c r="AP80">
        <f t="shared" si="146"/>
        <v>75.000000000000014</v>
      </c>
      <c r="AQ80">
        <f t="shared" si="147"/>
        <v>350</v>
      </c>
      <c r="AS80" s="5">
        <f t="shared" si="175"/>
        <v>2.8571428571428572</v>
      </c>
      <c r="AT80" s="5">
        <f t="shared" si="148"/>
        <v>0.61439413956365074</v>
      </c>
      <c r="AU80" s="5">
        <f t="shared" si="176"/>
        <v>2.2427487175792065</v>
      </c>
      <c r="AV80" s="5">
        <f t="shared" si="149"/>
        <v>2.1204693581414262E-5</v>
      </c>
      <c r="AW80" s="177">
        <f t="shared" si="177"/>
        <v>0.21503794884727775</v>
      </c>
      <c r="AX80" s="177">
        <f t="shared" si="150"/>
        <v>1.2683333333333333</v>
      </c>
      <c r="AY80" s="177">
        <f t="shared" si="151"/>
        <v>8813.8848008983441</v>
      </c>
      <c r="AZ80" s="177">
        <f t="shared" si="178"/>
        <v>1.4390173708692675E-4</v>
      </c>
      <c r="BA80" s="469">
        <f t="shared" si="152"/>
        <v>3.7498705811702195</v>
      </c>
      <c r="BB80" s="469">
        <f t="shared" si="153"/>
        <v>1.1299077929323256</v>
      </c>
      <c r="BC80" s="5">
        <f t="shared" si="154"/>
        <v>9.734152420048639E-2</v>
      </c>
      <c r="BD80" s="469">
        <f t="shared" si="155"/>
        <v>11.83723290405837</v>
      </c>
      <c r="BE80" s="5"/>
      <c r="BF80" s="177">
        <f t="shared" si="179"/>
        <v>0.13159336077589179</v>
      </c>
      <c r="BG80" s="177">
        <f t="shared" si="156"/>
        <v>11487.153051597961</v>
      </c>
      <c r="BH80" s="177"/>
      <c r="BI80" s="538">
        <f t="shared" si="157"/>
        <v>6.0608844101029055E-3</v>
      </c>
      <c r="BJ80" s="538">
        <f t="shared" si="158"/>
        <v>598.1586589195831</v>
      </c>
      <c r="BK80" s="538">
        <f t="shared" si="159"/>
        <v>4.3749999999999995E-3</v>
      </c>
      <c r="BL80" s="538">
        <f t="shared" si="160"/>
        <v>8462927.8085788898</v>
      </c>
      <c r="BM80">
        <f t="shared" si="161"/>
        <v>6.96E-3</v>
      </c>
      <c r="BN80">
        <f t="shared" si="162"/>
        <v>1.6625000000000001E-5</v>
      </c>
      <c r="BO80" s="538">
        <f t="shared" si="163"/>
        <v>8473000.7760167606</v>
      </c>
      <c r="BP80" s="469">
        <f t="shared" si="180"/>
        <v>8473000776.0167608</v>
      </c>
      <c r="BQ80" s="538">
        <f t="shared" si="164"/>
        <v>100813379.53784643</v>
      </c>
      <c r="BR80" s="538"/>
      <c r="BT80" s="469">
        <f t="shared" si="181"/>
        <v>100813379537.84644</v>
      </c>
      <c r="BU80" s="538">
        <f t="shared" si="165"/>
        <v>1.7316812600294018E-3</v>
      </c>
      <c r="BV80" s="538">
        <f t="shared" si="166"/>
        <v>3958640.55692509</v>
      </c>
      <c r="BW80" s="538">
        <f t="shared" si="167"/>
        <v>0</v>
      </c>
      <c r="BX80" s="538">
        <f t="shared" si="168"/>
        <v>-14.000044207234781</v>
      </c>
      <c r="BY80" s="538">
        <f t="shared" si="169"/>
        <v>4.2277777777777782E-3</v>
      </c>
      <c r="BZ80" s="469">
        <f t="shared" si="182"/>
        <v>-13995.816429457003</v>
      </c>
      <c r="CA80" s="177">
        <f t="shared" si="183"/>
        <v>109286366.31804675</v>
      </c>
      <c r="CB80" s="5">
        <f t="shared" si="184"/>
        <v>1.1250000000000002</v>
      </c>
      <c r="CC80" s="177">
        <f t="shared" si="185"/>
        <v>1.0294056123571682E-8</v>
      </c>
      <c r="CD80" s="5">
        <f t="shared" si="186"/>
        <v>1.0294056123571682E-6</v>
      </c>
      <c r="CG80" s="571">
        <f t="shared" si="170"/>
        <v>-50</v>
      </c>
      <c r="CH80">
        <f t="shared" si="171"/>
        <v>-50</v>
      </c>
    </row>
    <row r="81" spans="5:86" x14ac:dyDescent="0.25">
      <c r="E81" s="174">
        <v>76</v>
      </c>
      <c r="F81" s="221">
        <f t="shared" si="172"/>
        <v>7.6000000000000012E-2</v>
      </c>
      <c r="G81" s="221"/>
      <c r="H81" s="221">
        <f t="shared" si="120"/>
        <v>1.1400000000000001</v>
      </c>
      <c r="I81" s="551">
        <f t="shared" si="121"/>
        <v>24</v>
      </c>
      <c r="J81" s="176">
        <f t="shared" si="122"/>
        <v>695386.58000000007</v>
      </c>
      <c r="K81" s="451">
        <f t="shared" si="123"/>
        <v>695410.58000000007</v>
      </c>
      <c r="L81" s="451"/>
      <c r="M81" s="221">
        <f t="shared" si="124"/>
        <v>0.99996548801428931</v>
      </c>
      <c r="N81" s="176">
        <f t="shared" si="125"/>
        <v>8.0997204529157436</v>
      </c>
      <c r="O81" s="176">
        <f t="shared" si="173"/>
        <v>1.1400000000000001</v>
      </c>
      <c r="P81" s="221">
        <f t="shared" si="126"/>
        <v>0.5399813635277162</v>
      </c>
      <c r="Q81" s="221">
        <f t="shared" si="127"/>
        <v>15</v>
      </c>
      <c r="R81" s="221">
        <f t="shared" si="128"/>
        <v>0.59997929280857354</v>
      </c>
      <c r="S81" s="176">
        <f t="shared" si="129"/>
        <v>106.57842315994485</v>
      </c>
      <c r="T81" s="176">
        <f t="shared" si="130"/>
        <v>15</v>
      </c>
      <c r="U81" s="221">
        <f t="shared" si="131"/>
        <v>0.10555919861310974</v>
      </c>
      <c r="V81" s="221">
        <f t="shared" si="132"/>
        <v>0.13194899826638717</v>
      </c>
      <c r="W81" s="221">
        <f t="shared" si="133"/>
        <v>4.5539791095670727E-6</v>
      </c>
      <c r="X81" s="201">
        <f t="shared" si="134"/>
        <v>350</v>
      </c>
      <c r="Y81" s="451">
        <f t="shared" si="174"/>
        <v>350</v>
      </c>
      <c r="AA81" s="221">
        <f t="shared" si="135"/>
        <v>2.2856354011755182</v>
      </c>
      <c r="AB81" s="177">
        <f t="shared" si="136"/>
        <v>9.8605673459021225E-5</v>
      </c>
      <c r="AC81" s="177">
        <f t="shared" si="137"/>
        <v>1.8020156525828219</v>
      </c>
      <c r="AD81" s="177"/>
      <c r="AE81" s="177">
        <f t="shared" si="138"/>
        <v>6.4712206554230591E-6</v>
      </c>
      <c r="AF81" s="555">
        <f t="shared" si="139"/>
        <v>3427.3185185185202</v>
      </c>
      <c r="AG81" s="538">
        <f t="shared" si="140"/>
        <v>7.7611695137976321E-3</v>
      </c>
      <c r="AI81" s="177">
        <f t="shared" si="141"/>
        <v>0.49478123004866065</v>
      </c>
      <c r="AJ81" s="177">
        <f t="shared" si="142"/>
        <v>0.49478123004866065</v>
      </c>
      <c r="AK81" s="177">
        <f t="shared" si="143"/>
        <v>1.4298541533657738</v>
      </c>
      <c r="AM81" s="555">
        <f t="shared" si="144"/>
        <v>76.000000000000014</v>
      </c>
      <c r="AN81" s="469">
        <f t="shared" si="145"/>
        <v>350</v>
      </c>
      <c r="AP81">
        <f t="shared" si="146"/>
        <v>76.000000000000014</v>
      </c>
      <c r="AQ81">
        <f t="shared" si="147"/>
        <v>350</v>
      </c>
      <c r="AS81" s="5">
        <f t="shared" si="175"/>
        <v>2.8571428571428572</v>
      </c>
      <c r="AT81" s="5">
        <f t="shared" si="148"/>
        <v>0.61847653756082577</v>
      </c>
      <c r="AU81" s="5">
        <f t="shared" si="176"/>
        <v>2.2386663195820313</v>
      </c>
      <c r="AV81" s="5">
        <f t="shared" si="149"/>
        <v>2.1345590105376808E-5</v>
      </c>
      <c r="AW81" s="177">
        <f t="shared" si="177"/>
        <v>0.216466788146289</v>
      </c>
      <c r="AX81" s="177">
        <f t="shared" si="150"/>
        <v>1.2852444444444446</v>
      </c>
      <c r="AY81" s="177">
        <f t="shared" si="151"/>
        <v>8856.2992505873699</v>
      </c>
      <c r="AZ81" s="177">
        <f t="shared" si="178"/>
        <v>1.4512206600959248E-4</v>
      </c>
      <c r="BA81" s="469">
        <f t="shared" si="152"/>
        <v>3.7498705811702195</v>
      </c>
      <c r="BB81" s="469">
        <f t="shared" si="153"/>
        <v>1.1571995399070421</v>
      </c>
      <c r="BC81" s="5">
        <f t="shared" si="154"/>
        <v>9.845986127791341E-2</v>
      </c>
      <c r="BD81" s="469">
        <f t="shared" si="155"/>
        <v>11.973516686682943</v>
      </c>
      <c r="BE81" s="5"/>
      <c r="BF81" s="177">
        <f t="shared" si="179"/>
        <v>0.13290711325494184</v>
      </c>
      <c r="BG81" s="177">
        <f t="shared" si="156"/>
        <v>11552.951394012493</v>
      </c>
      <c r="BH81" s="177"/>
      <c r="BI81" s="538">
        <f t="shared" si="157"/>
        <v>6.1825052638166773E-3</v>
      </c>
      <c r="BJ81" s="538">
        <f t="shared" si="158"/>
        <v>602.13317878219198</v>
      </c>
      <c r="BK81" s="538">
        <f t="shared" si="159"/>
        <v>4.3749999999999995E-3</v>
      </c>
      <c r="BL81" s="538">
        <f t="shared" si="160"/>
        <v>8462927.8085788898</v>
      </c>
      <c r="BM81">
        <f t="shared" si="161"/>
        <v>6.96E-3</v>
      </c>
      <c r="BN81">
        <f t="shared" si="162"/>
        <v>1.6625000000000001E-5</v>
      </c>
      <c r="BO81" s="538">
        <f t="shared" si="163"/>
        <v>8473195.0983997732</v>
      </c>
      <c r="BP81" s="469">
        <f t="shared" si="180"/>
        <v>8473195098.3997736</v>
      </c>
      <c r="BQ81" s="538">
        <f t="shared" si="164"/>
        <v>101971604.05885918</v>
      </c>
      <c r="BR81" s="538"/>
      <c r="BT81" s="469">
        <f t="shared" si="181"/>
        <v>101971604058.85919</v>
      </c>
      <c r="BU81" s="538">
        <f t="shared" si="165"/>
        <v>1.7664300753761936E-3</v>
      </c>
      <c r="BV81" s="538">
        <f t="shared" si="166"/>
        <v>4004120.5773724555</v>
      </c>
      <c r="BW81" s="538">
        <f t="shared" si="167"/>
        <v>0</v>
      </c>
      <c r="BX81" s="538">
        <f t="shared" si="168"/>
        <v>-14.000043705113985</v>
      </c>
      <c r="BY81" s="538">
        <f t="shared" si="169"/>
        <v>4.2841481481481498E-3</v>
      </c>
      <c r="BZ81" s="469">
        <f t="shared" si="182"/>
        <v>-13995.759556965837</v>
      </c>
      <c r="CA81" s="177">
        <f t="shared" si="183"/>
        <v>110444785.1614994</v>
      </c>
      <c r="CB81" s="5">
        <f t="shared" si="184"/>
        <v>1.1400000000000001</v>
      </c>
      <c r="CC81" s="177">
        <f t="shared" si="185"/>
        <v>1.0321899640313971E-8</v>
      </c>
      <c r="CD81" s="5">
        <f t="shared" si="186"/>
        <v>1.0321899640313972E-6</v>
      </c>
      <c r="CG81" s="571">
        <f t="shared" si="170"/>
        <v>-50</v>
      </c>
      <c r="CH81">
        <f t="shared" si="171"/>
        <v>-50</v>
      </c>
    </row>
    <row r="82" spans="5:86" x14ac:dyDescent="0.25">
      <c r="E82" s="174">
        <v>77</v>
      </c>
      <c r="F82" s="221">
        <f t="shared" si="172"/>
        <v>7.7000000000000013E-2</v>
      </c>
      <c r="G82" s="221"/>
      <c r="H82" s="221">
        <f t="shared" si="120"/>
        <v>1.1550000000000002</v>
      </c>
      <c r="I82" s="551">
        <f t="shared" si="121"/>
        <v>24</v>
      </c>
      <c r="J82" s="176">
        <f t="shared" si="122"/>
        <v>695386.58000000007</v>
      </c>
      <c r="K82" s="451">
        <f t="shared" si="123"/>
        <v>695410.58000000007</v>
      </c>
      <c r="L82" s="451"/>
      <c r="M82" s="221">
        <f t="shared" si="124"/>
        <v>0.99996548801428931</v>
      </c>
      <c r="N82" s="176">
        <f t="shared" si="125"/>
        <v>8.0997204529157436</v>
      </c>
      <c r="O82" s="176">
        <f t="shared" si="173"/>
        <v>1.1550000000000002</v>
      </c>
      <c r="P82" s="221">
        <f t="shared" si="126"/>
        <v>0.5399813635277162</v>
      </c>
      <c r="Q82" s="221">
        <f t="shared" si="127"/>
        <v>15</v>
      </c>
      <c r="R82" s="221">
        <f t="shared" si="128"/>
        <v>0.59997929280857354</v>
      </c>
      <c r="S82" s="176">
        <f t="shared" si="129"/>
        <v>105.19428100053719</v>
      </c>
      <c r="T82" s="176">
        <f t="shared" si="130"/>
        <v>15</v>
      </c>
      <c r="U82" s="221">
        <f t="shared" si="131"/>
        <v>0.10694813543696645</v>
      </c>
      <c r="V82" s="221">
        <f t="shared" si="132"/>
        <v>0.13368516929620805</v>
      </c>
      <c r="W82" s="221">
        <f t="shared" si="133"/>
        <v>4.6138998873245349E-6</v>
      </c>
      <c r="X82" s="201">
        <f t="shared" si="134"/>
        <v>350</v>
      </c>
      <c r="Y82" s="451">
        <f t="shared" si="174"/>
        <v>350</v>
      </c>
      <c r="AA82" s="221">
        <f t="shared" si="135"/>
        <v>2.2856354011755182</v>
      </c>
      <c r="AB82" s="177">
        <f t="shared" si="136"/>
        <v>9.8605673459021225E-5</v>
      </c>
      <c r="AC82" s="177">
        <f t="shared" si="137"/>
        <v>1.8020156525828219</v>
      </c>
      <c r="AD82" s="177"/>
      <c r="AE82" s="177">
        <f t="shared" si="138"/>
        <v>6.4712206554230591E-6</v>
      </c>
      <c r="AF82" s="555">
        <f t="shared" si="139"/>
        <v>3472.4148148148161</v>
      </c>
      <c r="AG82" s="538">
        <f t="shared" si="140"/>
        <v>7.7611695137976321E-3</v>
      </c>
      <c r="AI82" s="177">
        <f t="shared" si="141"/>
        <v>0.49802573189507954</v>
      </c>
      <c r="AJ82" s="177">
        <f t="shared" si="142"/>
        <v>0.49802573189507954</v>
      </c>
      <c r="AK82" s="177">
        <f t="shared" si="143"/>
        <v>1.4320171545967197</v>
      </c>
      <c r="AM82" s="555">
        <f t="shared" si="144"/>
        <v>77.000000000000014</v>
      </c>
      <c r="AN82" s="469">
        <f t="shared" si="145"/>
        <v>350</v>
      </c>
      <c r="AP82">
        <f t="shared" si="146"/>
        <v>77.000000000000014</v>
      </c>
      <c r="AQ82">
        <f t="shared" si="147"/>
        <v>350</v>
      </c>
      <c r="AS82" s="5">
        <f t="shared" si="175"/>
        <v>2.8571428571428572</v>
      </c>
      <c r="AT82" s="5">
        <f t="shared" si="148"/>
        <v>0.62253216486884944</v>
      </c>
      <c r="AU82" s="5">
        <f t="shared" si="176"/>
        <v>2.2346106922740079</v>
      </c>
      <c r="AV82" s="5">
        <f t="shared" si="149"/>
        <v>2.1485562687810837E-5</v>
      </c>
      <c r="AW82" s="177">
        <f t="shared" si="177"/>
        <v>0.21788625770409731</v>
      </c>
      <c r="AX82" s="177">
        <f t="shared" si="150"/>
        <v>1.3021555555555557</v>
      </c>
      <c r="AY82" s="177">
        <f t="shared" si="151"/>
        <v>8898.2244498697364</v>
      </c>
      <c r="AZ82" s="177">
        <f t="shared" si="178"/>
        <v>1.4633880757802399E-4</v>
      </c>
      <c r="BA82" s="469">
        <f t="shared" si="152"/>
        <v>3.7498705811702195</v>
      </c>
      <c r="BB82" s="469">
        <f t="shared" si="153"/>
        <v>1.1848130318748014</v>
      </c>
      <c r="BC82" s="5">
        <f t="shared" si="154"/>
        <v>9.9574666264524658E-2</v>
      </c>
      <c r="BD82" s="469">
        <f t="shared" si="155"/>
        <v>12.109376618409627</v>
      </c>
      <c r="BE82" s="5"/>
      <c r="BF82" s="177">
        <f t="shared" si="179"/>
        <v>0.13421655113998085</v>
      </c>
      <c r="BG82" s="177">
        <f t="shared" si="156"/>
        <v>11618.171049935838</v>
      </c>
      <c r="BH82" s="177"/>
      <c r="BI82" s="538">
        <f t="shared" si="157"/>
        <v>6.3049289099688828E-3</v>
      </c>
      <c r="BJ82" s="538">
        <f t="shared" si="158"/>
        <v>606.08163537614325</v>
      </c>
      <c r="BK82" s="538">
        <f t="shared" si="159"/>
        <v>4.3749999999999995E-3</v>
      </c>
      <c r="BL82" s="538">
        <f t="shared" si="160"/>
        <v>8462927.8085788898</v>
      </c>
      <c r="BM82">
        <f t="shared" si="161"/>
        <v>6.96E-3</v>
      </c>
      <c r="BN82">
        <f t="shared" si="162"/>
        <v>1.6625000000000001E-5</v>
      </c>
      <c r="BO82" s="538">
        <f t="shared" si="163"/>
        <v>8473390.6599204969</v>
      </c>
      <c r="BP82" s="469">
        <f t="shared" si="180"/>
        <v>8473390659.9204969</v>
      </c>
      <c r="BQ82" s="538">
        <f t="shared" si="164"/>
        <v>103126170.51087382</v>
      </c>
      <c r="BR82" s="538"/>
      <c r="BT82" s="469">
        <f t="shared" si="181"/>
        <v>103126170510.87383</v>
      </c>
      <c r="BU82" s="538">
        <f t="shared" si="165"/>
        <v>1.8014082599911094E-3</v>
      </c>
      <c r="BV82" s="538">
        <f t="shared" si="166"/>
        <v>4049456.9563670163</v>
      </c>
      <c r="BW82" s="538">
        <f t="shared" si="167"/>
        <v>0</v>
      </c>
      <c r="BX82" s="538">
        <f t="shared" si="168"/>
        <v>-14.000043215804491</v>
      </c>
      <c r="BY82" s="538">
        <f t="shared" si="169"/>
        <v>4.3405185185185196E-3</v>
      </c>
      <c r="BZ82" s="469">
        <f t="shared" si="182"/>
        <v>-13995.702697285973</v>
      </c>
      <c r="CA82" s="177">
        <f t="shared" si="183"/>
        <v>111599547.17509162</v>
      </c>
      <c r="CB82" s="5">
        <f t="shared" si="184"/>
        <v>1.1550000000000002</v>
      </c>
      <c r="CC82" s="177">
        <f t="shared" si="185"/>
        <v>1.0349504252326502E-8</v>
      </c>
      <c r="CD82" s="5">
        <f t="shared" si="186"/>
        <v>1.0349504252326502E-6</v>
      </c>
      <c r="CG82" s="571">
        <f t="shared" si="170"/>
        <v>-50</v>
      </c>
      <c r="CH82">
        <f t="shared" si="171"/>
        <v>-50</v>
      </c>
    </row>
    <row r="83" spans="5:86" x14ac:dyDescent="0.25">
      <c r="E83" s="174">
        <v>78</v>
      </c>
      <c r="F83" s="221">
        <f t="shared" si="172"/>
        <v>7.8000000000000014E-2</v>
      </c>
      <c r="G83" s="221"/>
      <c r="H83" s="221">
        <f t="shared" si="120"/>
        <v>1.1700000000000002</v>
      </c>
      <c r="I83" s="551">
        <f t="shared" si="121"/>
        <v>24</v>
      </c>
      <c r="J83" s="176">
        <f t="shared" si="122"/>
        <v>695386.58000000007</v>
      </c>
      <c r="K83" s="451">
        <f t="shared" si="123"/>
        <v>695410.58000000007</v>
      </c>
      <c r="L83" s="451"/>
      <c r="M83" s="221">
        <f t="shared" si="124"/>
        <v>0.99996548801428931</v>
      </c>
      <c r="N83" s="176">
        <f t="shared" si="125"/>
        <v>8.0997204529157436</v>
      </c>
      <c r="O83" s="176">
        <f t="shared" si="173"/>
        <v>1.1700000000000002</v>
      </c>
      <c r="P83" s="221">
        <f t="shared" si="126"/>
        <v>0.5399813635277162</v>
      </c>
      <c r="Q83" s="221">
        <f t="shared" si="127"/>
        <v>15</v>
      </c>
      <c r="R83" s="221">
        <f t="shared" si="128"/>
        <v>0.59997929280857354</v>
      </c>
      <c r="S83" s="176">
        <f t="shared" si="129"/>
        <v>103.84562966609326</v>
      </c>
      <c r="T83" s="176">
        <f t="shared" si="130"/>
        <v>15</v>
      </c>
      <c r="U83" s="221">
        <f t="shared" si="131"/>
        <v>0.10833707226082315</v>
      </c>
      <c r="V83" s="221">
        <f t="shared" si="132"/>
        <v>0.13542134032602893</v>
      </c>
      <c r="W83" s="221">
        <f t="shared" si="133"/>
        <v>4.6738206650819953E-6</v>
      </c>
      <c r="X83" s="201">
        <f t="shared" si="134"/>
        <v>350</v>
      </c>
      <c r="Y83" s="451">
        <f t="shared" si="174"/>
        <v>350</v>
      </c>
      <c r="AA83" s="221">
        <f t="shared" si="135"/>
        <v>2.2856354011755182</v>
      </c>
      <c r="AB83" s="177">
        <f t="shared" si="136"/>
        <v>9.8605673459021225E-5</v>
      </c>
      <c r="AC83" s="177">
        <f t="shared" si="137"/>
        <v>1.8020156525828219</v>
      </c>
      <c r="AD83" s="177"/>
      <c r="AE83" s="177">
        <f t="shared" si="138"/>
        <v>6.4712206554230591E-6</v>
      </c>
      <c r="AF83" s="555">
        <f t="shared" si="139"/>
        <v>3517.5111111111123</v>
      </c>
      <c r="AG83" s="538">
        <f t="shared" si="140"/>
        <v>7.7611695137976321E-3</v>
      </c>
      <c r="AI83" s="177">
        <f t="shared" si="141"/>
        <v>0.50124923306753666</v>
      </c>
      <c r="AJ83" s="177">
        <f t="shared" si="142"/>
        <v>0.50124923306753666</v>
      </c>
      <c r="AK83" s="177">
        <f t="shared" si="143"/>
        <v>1.4341661553783578</v>
      </c>
      <c r="AM83" s="555">
        <f t="shared" si="144"/>
        <v>78.000000000000014</v>
      </c>
      <c r="AN83" s="469">
        <f t="shared" si="145"/>
        <v>350</v>
      </c>
      <c r="AP83">
        <f t="shared" si="146"/>
        <v>78.000000000000014</v>
      </c>
      <c r="AQ83">
        <f t="shared" si="147"/>
        <v>350</v>
      </c>
      <c r="AS83" s="5">
        <f t="shared" si="175"/>
        <v>2.8571428571428572</v>
      </c>
      <c r="AT83" s="5">
        <f t="shared" si="148"/>
        <v>0.62656154133442077</v>
      </c>
      <c r="AU83" s="5">
        <f t="shared" si="176"/>
        <v>2.2305813158084362</v>
      </c>
      <c r="AV83" s="5">
        <f t="shared" si="149"/>
        <v>2.1624629270277404E-5</v>
      </c>
      <c r="AW83" s="177">
        <f t="shared" si="177"/>
        <v>0.21929653946704727</v>
      </c>
      <c r="AX83" s="177">
        <f t="shared" si="150"/>
        <v>1.3190666666666668</v>
      </c>
      <c r="AY83" s="177">
        <f t="shared" si="151"/>
        <v>8939.6698992557849</v>
      </c>
      <c r="AZ83" s="177">
        <f t="shared" si="178"/>
        <v>1.4755205522482183E-4</v>
      </c>
      <c r="BA83" s="469">
        <f t="shared" si="152"/>
        <v>3.7498705811702195</v>
      </c>
      <c r="BB83" s="469">
        <f t="shared" si="153"/>
        <v>1.2127482688356033</v>
      </c>
      <c r="BC83" s="5">
        <f t="shared" si="154"/>
        <v>0.10068596217190856</v>
      </c>
      <c r="BD83" s="469">
        <f t="shared" si="155"/>
        <v>12.244815460629031</v>
      </c>
      <c r="BE83" s="5"/>
      <c r="BF83" s="177">
        <f t="shared" si="179"/>
        <v>0.13552174436348854</v>
      </c>
      <c r="BG83" s="177">
        <f t="shared" si="156"/>
        <v>11682.823046012929</v>
      </c>
      <c r="BH83" s="177"/>
      <c r="BI83" s="538">
        <f t="shared" si="157"/>
        <v>6.428150118362958E-3</v>
      </c>
      <c r="BJ83" s="538">
        <f t="shared" si="158"/>
        <v>610.004534811089</v>
      </c>
      <c r="BK83" s="538">
        <f t="shared" si="159"/>
        <v>4.3749999999999995E-3</v>
      </c>
      <c r="BL83" s="538">
        <f t="shared" si="160"/>
        <v>8462927.8085788898</v>
      </c>
      <c r="BM83">
        <f t="shared" si="161"/>
        <v>6.96E-3</v>
      </c>
      <c r="BN83">
        <f t="shared" si="162"/>
        <v>1.6625000000000001E-5</v>
      </c>
      <c r="BO83" s="538">
        <f t="shared" si="163"/>
        <v>8473587.4530702233</v>
      </c>
      <c r="BP83" s="469">
        <f t="shared" si="180"/>
        <v>8473587453.0702229</v>
      </c>
      <c r="BQ83" s="538">
        <f t="shared" si="164"/>
        <v>104277102.72622739</v>
      </c>
      <c r="BR83" s="538"/>
      <c r="BT83" s="469">
        <f t="shared" si="181"/>
        <v>104277102726.22739</v>
      </c>
      <c r="BU83" s="538">
        <f t="shared" si="165"/>
        <v>1.836614319532274E-3</v>
      </c>
      <c r="BV83" s="538">
        <f t="shared" si="166"/>
        <v>4094650.6297335243</v>
      </c>
      <c r="BW83" s="538">
        <f t="shared" si="167"/>
        <v>0</v>
      </c>
      <c r="BX83" s="538">
        <f t="shared" si="168"/>
        <v>-14.000042738819497</v>
      </c>
      <c r="BY83" s="538">
        <f t="shared" si="169"/>
        <v>4.3968888888888894E-3</v>
      </c>
      <c r="BZ83" s="469">
        <f t="shared" si="182"/>
        <v>-13995.645849930608</v>
      </c>
      <c r="CA83" s="177">
        <f t="shared" si="183"/>
        <v>112750676.18365176</v>
      </c>
      <c r="CB83" s="5">
        <f t="shared" si="184"/>
        <v>1.1700000000000002</v>
      </c>
      <c r="CC83" s="177">
        <f t="shared" si="185"/>
        <v>1.0376877793205615E-8</v>
      </c>
      <c r="CD83" s="5">
        <f t="shared" si="186"/>
        <v>1.0376877793205614E-6</v>
      </c>
      <c r="CG83" s="571">
        <f t="shared" si="170"/>
        <v>-50</v>
      </c>
      <c r="CH83">
        <f t="shared" si="171"/>
        <v>-50</v>
      </c>
    </row>
    <row r="84" spans="5:86" x14ac:dyDescent="0.25">
      <c r="E84" s="174">
        <v>79</v>
      </c>
      <c r="F84" s="221">
        <f t="shared" si="172"/>
        <v>7.9000000000000015E-2</v>
      </c>
      <c r="G84" s="221"/>
      <c r="H84" s="221">
        <f t="shared" si="120"/>
        <v>1.1850000000000003</v>
      </c>
      <c r="I84" s="551">
        <f t="shared" si="121"/>
        <v>24</v>
      </c>
      <c r="J84" s="176">
        <f t="shared" si="122"/>
        <v>695386.58000000007</v>
      </c>
      <c r="K84" s="451">
        <f t="shared" si="123"/>
        <v>695410.58000000007</v>
      </c>
      <c r="L84" s="451"/>
      <c r="M84" s="221">
        <f t="shared" si="124"/>
        <v>0.99996548801428931</v>
      </c>
      <c r="N84" s="176">
        <f t="shared" si="125"/>
        <v>8.0997204529157436</v>
      </c>
      <c r="O84" s="176">
        <f t="shared" si="173"/>
        <v>1.1850000000000003</v>
      </c>
      <c r="P84" s="221">
        <f t="shared" si="126"/>
        <v>0.5399813635277162</v>
      </c>
      <c r="Q84" s="221">
        <f t="shared" si="127"/>
        <v>15</v>
      </c>
      <c r="R84" s="221">
        <f t="shared" si="128"/>
        <v>0.59997929280857354</v>
      </c>
      <c r="S84" s="176">
        <f t="shared" si="129"/>
        <v>102.53112140376632</v>
      </c>
      <c r="T84" s="176">
        <f t="shared" si="130"/>
        <v>15</v>
      </c>
      <c r="U84" s="221">
        <f t="shared" si="131"/>
        <v>0.10972600908467986</v>
      </c>
      <c r="V84" s="221">
        <f t="shared" si="132"/>
        <v>0.13715751135584983</v>
      </c>
      <c r="W84" s="221">
        <f t="shared" si="133"/>
        <v>4.7337414428394565E-6</v>
      </c>
      <c r="X84" s="201">
        <f t="shared" si="134"/>
        <v>350</v>
      </c>
      <c r="Y84" s="451">
        <f t="shared" si="174"/>
        <v>350</v>
      </c>
      <c r="AA84" s="221">
        <f t="shared" si="135"/>
        <v>2.2856354011755182</v>
      </c>
      <c r="AB84" s="177">
        <f t="shared" si="136"/>
        <v>9.8605673459021225E-5</v>
      </c>
      <c r="AC84" s="177">
        <f t="shared" si="137"/>
        <v>1.8020156525828219</v>
      </c>
      <c r="AD84" s="177"/>
      <c r="AE84" s="177">
        <f t="shared" si="138"/>
        <v>6.4712206554230591E-6</v>
      </c>
      <c r="AF84" s="555">
        <f t="shared" si="139"/>
        <v>3562.607407407409</v>
      </c>
      <c r="AG84" s="538">
        <f t="shared" si="140"/>
        <v>7.7611695137976321E-3</v>
      </c>
      <c r="AI84" s="177">
        <f t="shared" si="141"/>
        <v>0.50445213615560958</v>
      </c>
      <c r="AJ84" s="177">
        <f t="shared" si="142"/>
        <v>0.50445213615560958</v>
      </c>
      <c r="AK84" s="177">
        <f t="shared" si="143"/>
        <v>1.4363014241037397</v>
      </c>
      <c r="AM84" s="555">
        <f t="shared" si="144"/>
        <v>79.000000000000014</v>
      </c>
      <c r="AN84" s="469">
        <f t="shared" si="145"/>
        <v>350</v>
      </c>
      <c r="AP84">
        <f t="shared" si="146"/>
        <v>79.000000000000014</v>
      </c>
      <c r="AQ84">
        <f t="shared" si="147"/>
        <v>350</v>
      </c>
      <c r="AS84" s="5">
        <f t="shared" si="175"/>
        <v>2.8571428571428572</v>
      </c>
      <c r="AT84" s="5">
        <f t="shared" si="148"/>
        <v>0.63056517019451197</v>
      </c>
      <c r="AU84" s="5">
        <f t="shared" si="176"/>
        <v>2.2265776869483451</v>
      </c>
      <c r="AV84" s="5">
        <f t="shared" si="149"/>
        <v>2.1762807221083108E-5</v>
      </c>
      <c r="AW84" s="177">
        <f t="shared" si="177"/>
        <v>0.22069780956807919</v>
      </c>
      <c r="AX84" s="177">
        <f t="shared" si="150"/>
        <v>1.3359777777777779</v>
      </c>
      <c r="AY84" s="177">
        <f t="shared" si="151"/>
        <v>8980.6447957031196</v>
      </c>
      <c r="AZ84" s="177">
        <f t="shared" si="178"/>
        <v>1.4876189941472688E-4</v>
      </c>
      <c r="BA84" s="469">
        <f t="shared" si="152"/>
        <v>3.7498705811702195</v>
      </c>
      <c r="BB84" s="469">
        <f t="shared" si="153"/>
        <v>1.241005250789448</v>
      </c>
      <c r="BC84" s="5">
        <f t="shared" si="154"/>
        <v>0.1017937715676616</v>
      </c>
      <c r="BD84" s="469">
        <f t="shared" si="155"/>
        <v>12.379835921452727</v>
      </c>
      <c r="BE84" s="5"/>
      <c r="BF84" s="177">
        <f t="shared" si="179"/>
        <v>0.13682276084373049</v>
      </c>
      <c r="BG84" s="177">
        <f t="shared" si="156"/>
        <v>11746.918057148243</v>
      </c>
      <c r="BH84" s="177"/>
      <c r="BI84" s="538">
        <f t="shared" si="157"/>
        <v>6.5521637597152332E-3</v>
      </c>
      <c r="BJ84" s="538">
        <f t="shared" si="158"/>
        <v>613.90236702587003</v>
      </c>
      <c r="BK84" s="538">
        <f t="shared" si="159"/>
        <v>4.3749999999999995E-3</v>
      </c>
      <c r="BL84" s="538">
        <f t="shared" si="160"/>
        <v>8462927.8085788898</v>
      </c>
      <c r="BM84">
        <f t="shared" si="161"/>
        <v>6.96E-3</v>
      </c>
      <c r="BN84">
        <f t="shared" si="162"/>
        <v>1.6625000000000001E-5</v>
      </c>
      <c r="BO84" s="538">
        <f t="shared" si="163"/>
        <v>8473785.4704816602</v>
      </c>
      <c r="BP84" s="469">
        <f t="shared" si="180"/>
        <v>8473785470.4816599</v>
      </c>
      <c r="BQ84" s="538">
        <f t="shared" si="164"/>
        <v>105424424.07742903</v>
      </c>
      <c r="BR84" s="538"/>
      <c r="BT84" s="469">
        <f t="shared" si="181"/>
        <v>105424424077.42903</v>
      </c>
      <c r="BU84" s="538">
        <f t="shared" si="165"/>
        <v>1.8720467884900669E-3</v>
      </c>
      <c r="BV84" s="538">
        <f t="shared" si="166"/>
        <v>4139702.5152406632</v>
      </c>
      <c r="BW84" s="538">
        <f t="shared" si="167"/>
        <v>0</v>
      </c>
      <c r="BX84" s="538">
        <f t="shared" si="168"/>
        <v>-14.00004227369665</v>
      </c>
      <c r="BY84" s="538">
        <f t="shared" si="169"/>
        <v>4.4532592592592601E-3</v>
      </c>
      <c r="BZ84" s="469">
        <f t="shared" si="182"/>
        <v>-13995.58901443739</v>
      </c>
      <c r="CA84" s="177">
        <f t="shared" si="183"/>
        <v>113898195.55232167</v>
      </c>
      <c r="CB84" s="5">
        <f t="shared" si="184"/>
        <v>1.1850000000000003</v>
      </c>
      <c r="CC84" s="177">
        <f t="shared" si="185"/>
        <v>1.0404027754126018E-8</v>
      </c>
      <c r="CD84" s="5">
        <f t="shared" si="186"/>
        <v>1.0404027754126019E-6</v>
      </c>
      <c r="CG84" s="571">
        <f t="shared" si="170"/>
        <v>-50</v>
      </c>
      <c r="CH84">
        <f t="shared" si="171"/>
        <v>-50</v>
      </c>
    </row>
    <row r="85" spans="5:86" x14ac:dyDescent="0.25">
      <c r="E85" s="174">
        <v>80</v>
      </c>
      <c r="F85" s="221">
        <f t="shared" si="172"/>
        <v>8.0000000000000016E-2</v>
      </c>
      <c r="G85" s="221"/>
      <c r="H85" s="221">
        <f t="shared" si="120"/>
        <v>1.2000000000000002</v>
      </c>
      <c r="I85" s="551">
        <f t="shared" si="121"/>
        <v>24</v>
      </c>
      <c r="J85" s="176">
        <f t="shared" si="122"/>
        <v>695386.58000000007</v>
      </c>
      <c r="K85" s="451">
        <f t="shared" si="123"/>
        <v>695410.58000000007</v>
      </c>
      <c r="L85" s="451"/>
      <c r="M85" s="221">
        <f t="shared" si="124"/>
        <v>0.99996548801428931</v>
      </c>
      <c r="N85" s="176">
        <f t="shared" si="125"/>
        <v>8.0997204529157436</v>
      </c>
      <c r="O85" s="176">
        <f t="shared" si="173"/>
        <v>1.2000000000000002</v>
      </c>
      <c r="P85" s="221">
        <f t="shared" si="126"/>
        <v>0.5399813635277162</v>
      </c>
      <c r="Q85" s="221">
        <f t="shared" si="127"/>
        <v>15</v>
      </c>
      <c r="R85" s="221">
        <f t="shared" si="128"/>
        <v>0.59997929280857354</v>
      </c>
      <c r="S85" s="176">
        <f t="shared" si="129"/>
        <v>101.24947584835193</v>
      </c>
      <c r="T85" s="176">
        <f t="shared" si="130"/>
        <v>15</v>
      </c>
      <c r="U85" s="221">
        <f t="shared" si="131"/>
        <v>0.11111494590853656</v>
      </c>
      <c r="V85" s="221">
        <f t="shared" si="132"/>
        <v>0.13889368238567071</v>
      </c>
      <c r="W85" s="221">
        <f t="shared" si="133"/>
        <v>4.7936622205969178E-6</v>
      </c>
      <c r="X85" s="201">
        <f t="shared" si="134"/>
        <v>350</v>
      </c>
      <c r="Y85" s="451">
        <f t="shared" si="174"/>
        <v>350</v>
      </c>
      <c r="AA85" s="221">
        <f t="shared" si="135"/>
        <v>2.2856354011755182</v>
      </c>
      <c r="AB85" s="177">
        <f t="shared" si="136"/>
        <v>9.8605673459021225E-5</v>
      </c>
      <c r="AC85" s="177">
        <f t="shared" si="137"/>
        <v>1.8020156525828219</v>
      </c>
      <c r="AD85" s="177"/>
      <c r="AE85" s="177">
        <f t="shared" si="138"/>
        <v>6.4712206554230591E-6</v>
      </c>
      <c r="AF85" s="555">
        <f t="shared" si="139"/>
        <v>3607.7037037037053</v>
      </c>
      <c r="AG85" s="538">
        <f t="shared" si="140"/>
        <v>7.7611695137976321E-3</v>
      </c>
      <c r="AI85" s="177">
        <f t="shared" si="141"/>
        <v>0.50763483104799034</v>
      </c>
      <c r="AJ85" s="177">
        <f t="shared" si="142"/>
        <v>0.50763483104799034</v>
      </c>
      <c r="AK85" s="177">
        <f t="shared" si="143"/>
        <v>1.4384232206986602</v>
      </c>
      <c r="AM85" s="555">
        <f t="shared" si="144"/>
        <v>80.000000000000014</v>
      </c>
      <c r="AN85" s="469">
        <f t="shared" si="145"/>
        <v>350</v>
      </c>
      <c r="AP85">
        <f t="shared" si="146"/>
        <v>80.000000000000014</v>
      </c>
      <c r="AQ85">
        <f t="shared" si="147"/>
        <v>350</v>
      </c>
      <c r="AS85" s="5">
        <f t="shared" si="175"/>
        <v>2.8571428571428572</v>
      </c>
      <c r="AT85" s="5">
        <f t="shared" si="148"/>
        <v>0.63454353880998793</v>
      </c>
      <c r="AU85" s="5">
        <f t="shared" si="176"/>
        <v>2.2225993183328692</v>
      </c>
      <c r="AV85" s="5">
        <f t="shared" si="149"/>
        <v>2.1900113360599665E-5</v>
      </c>
      <c r="AW85" s="177">
        <f t="shared" si="177"/>
        <v>0.22209023858349577</v>
      </c>
      <c r="AX85" s="177">
        <f t="shared" si="150"/>
        <v>1.352888888888889</v>
      </c>
      <c r="AY85" s="177">
        <f t="shared" si="151"/>
        <v>9021.1580460239638</v>
      </c>
      <c r="AZ85" s="177">
        <f t="shared" si="178"/>
        <v>1.4996842777687162E-4</v>
      </c>
      <c r="BA85" s="469">
        <f t="shared" si="152"/>
        <v>3.7498705811702195</v>
      </c>
      <c r="BB85" s="469">
        <f t="shared" si="153"/>
        <v>1.2695839777363349</v>
      </c>
      <c r="BC85" s="5">
        <f t="shared" si="154"/>
        <v>0.10289811658948468</v>
      </c>
      <c r="BD85" s="469">
        <f t="shared" si="155"/>
        <v>12.514440657404831</v>
      </c>
      <c r="BE85" s="5"/>
      <c r="BF85" s="177">
        <f t="shared" si="179"/>
        <v>0.13811966656749888</v>
      </c>
      <c r="BG85" s="177">
        <f t="shared" si="156"/>
        <v>11810.466422026298</v>
      </c>
      <c r="BH85" s="177"/>
      <c r="BI85" s="538">
        <f t="shared" si="157"/>
        <v>6.6769648024509734E-3</v>
      </c>
      <c r="BJ85" s="538">
        <f t="shared" si="158"/>
        <v>617.7756065027487</v>
      </c>
      <c r="BK85" s="538">
        <f t="shared" si="159"/>
        <v>4.3749999999999995E-3</v>
      </c>
      <c r="BL85" s="538">
        <f t="shared" si="160"/>
        <v>8462927.8085788898</v>
      </c>
      <c r="BM85">
        <f t="shared" si="161"/>
        <v>6.96E-3</v>
      </c>
      <c r="BN85">
        <f t="shared" si="162"/>
        <v>1.6625000000000001E-5</v>
      </c>
      <c r="BO85" s="538">
        <f t="shared" si="163"/>
        <v>8473984.7049246561</v>
      </c>
      <c r="BP85" s="469">
        <f t="shared" si="180"/>
        <v>8473984704.9246559</v>
      </c>
      <c r="BQ85" s="538">
        <f t="shared" si="164"/>
        <v>106568157.49175933</v>
      </c>
      <c r="BR85" s="538"/>
      <c r="BT85" s="469">
        <f t="shared" si="181"/>
        <v>106568157491.75932</v>
      </c>
      <c r="BU85" s="538">
        <f t="shared" si="165"/>
        <v>1.907704229271707E-3</v>
      </c>
      <c r="BV85" s="538">
        <f t="shared" si="166"/>
        <v>4184613.5131743201</v>
      </c>
      <c r="BW85" s="538">
        <f t="shared" si="167"/>
        <v>0</v>
      </c>
      <c r="BX85" s="538">
        <f t="shared" si="168"/>
        <v>-14.000041819996547</v>
      </c>
      <c r="BY85" s="538">
        <f t="shared" si="169"/>
        <v>4.5096296296296299E-3</v>
      </c>
      <c r="BZ85" s="469">
        <f t="shared" si="182"/>
        <v>-13995.532190366917</v>
      </c>
      <c r="CA85" s="177">
        <f t="shared" si="183"/>
        <v>115042128.2011518</v>
      </c>
      <c r="CB85" s="5">
        <f t="shared" si="184"/>
        <v>1.2000000000000002</v>
      </c>
      <c r="CC85" s="177">
        <f t="shared" si="185"/>
        <v>1.043096130301623E-8</v>
      </c>
      <c r="CD85" s="5">
        <f t="shared" si="186"/>
        <v>1.0430961303016229E-6</v>
      </c>
      <c r="CG85" s="571">
        <f t="shared" si="170"/>
        <v>-50</v>
      </c>
      <c r="CH85">
        <f t="shared" si="171"/>
        <v>-50</v>
      </c>
    </row>
    <row r="86" spans="5:86" x14ac:dyDescent="0.25">
      <c r="E86" s="174">
        <v>81</v>
      </c>
      <c r="F86" s="221">
        <f t="shared" si="172"/>
        <v>8.1000000000000016E-2</v>
      </c>
      <c r="G86" s="221"/>
      <c r="H86" s="221">
        <f t="shared" si="120"/>
        <v>1.2150000000000003</v>
      </c>
      <c r="I86" s="551">
        <f t="shared" si="121"/>
        <v>24</v>
      </c>
      <c r="J86" s="176">
        <f t="shared" si="122"/>
        <v>695386.58000000007</v>
      </c>
      <c r="K86" s="451">
        <f t="shared" si="123"/>
        <v>695410.58000000007</v>
      </c>
      <c r="L86" s="451"/>
      <c r="M86" s="221">
        <f t="shared" si="124"/>
        <v>0.99996548801428931</v>
      </c>
      <c r="N86" s="176">
        <f t="shared" si="125"/>
        <v>8.0997204529157436</v>
      </c>
      <c r="O86" s="176">
        <f t="shared" si="173"/>
        <v>1.2150000000000003</v>
      </c>
      <c r="P86" s="221">
        <f t="shared" si="126"/>
        <v>0.5399813635277162</v>
      </c>
      <c r="Q86" s="221">
        <f t="shared" si="127"/>
        <v>15</v>
      </c>
      <c r="R86" s="221">
        <f t="shared" si="128"/>
        <v>0.59997929280857354</v>
      </c>
      <c r="S86" s="176">
        <f t="shared" si="129"/>
        <v>99.999475862557077</v>
      </c>
      <c r="T86" s="176">
        <f t="shared" si="130"/>
        <v>15</v>
      </c>
      <c r="U86" s="221">
        <f t="shared" si="131"/>
        <v>0.11250388273239328</v>
      </c>
      <c r="V86" s="221">
        <f t="shared" si="132"/>
        <v>0.14062985341549161</v>
      </c>
      <c r="W86" s="221">
        <f t="shared" si="133"/>
        <v>4.8535829983543799E-6</v>
      </c>
      <c r="X86" s="201">
        <f t="shared" si="134"/>
        <v>350</v>
      </c>
      <c r="Y86" s="451">
        <f t="shared" si="174"/>
        <v>350</v>
      </c>
      <c r="AA86" s="221">
        <f t="shared" si="135"/>
        <v>2.2856354011755182</v>
      </c>
      <c r="AB86" s="177">
        <f t="shared" si="136"/>
        <v>9.8605673459021225E-5</v>
      </c>
      <c r="AC86" s="177">
        <f t="shared" si="137"/>
        <v>1.8020156525828219</v>
      </c>
      <c r="AD86" s="177"/>
      <c r="AE86" s="177">
        <f t="shared" si="138"/>
        <v>6.4712206554230591E-6</v>
      </c>
      <c r="AF86" s="555">
        <f t="shared" si="139"/>
        <v>3652.800000000002</v>
      </c>
      <c r="AG86" s="538">
        <f t="shared" si="140"/>
        <v>7.7611695137976321E-3</v>
      </c>
      <c r="AI86" s="177">
        <f t="shared" si="141"/>
        <v>0.51079769548646725</v>
      </c>
      <c r="AJ86" s="177">
        <f t="shared" si="142"/>
        <v>0.51079769548646725</v>
      </c>
      <c r="AK86" s="177">
        <f t="shared" si="143"/>
        <v>1.4405317969909781</v>
      </c>
      <c r="AM86" s="555">
        <f t="shared" si="144"/>
        <v>81.000000000000014</v>
      </c>
      <c r="AN86" s="469">
        <f t="shared" si="145"/>
        <v>350</v>
      </c>
      <c r="AP86">
        <f t="shared" si="146"/>
        <v>81.000000000000014</v>
      </c>
      <c r="AQ86">
        <f t="shared" si="147"/>
        <v>350</v>
      </c>
      <c r="AS86" s="5">
        <f t="shared" si="175"/>
        <v>2.8571428571428572</v>
      </c>
      <c r="AT86" s="5">
        <f t="shared" si="148"/>
        <v>0.63849711935808406</v>
      </c>
      <c r="AU86" s="5">
        <f t="shared" si="176"/>
        <v>2.2186457377847733</v>
      </c>
      <c r="AV86" s="5">
        <f t="shared" si="149"/>
        <v>2.2036563985163496E-5</v>
      </c>
      <c r="AW86" s="177">
        <f t="shared" si="177"/>
        <v>0.22347399177532942</v>
      </c>
      <c r="AX86" s="177">
        <f t="shared" si="150"/>
        <v>1.3697999999999999</v>
      </c>
      <c r="AY86" s="177">
        <f t="shared" si="151"/>
        <v>9061.2182795406006</v>
      </c>
      <c r="AZ86" s="177">
        <f t="shared" si="178"/>
        <v>1.5117172522958447E-4</v>
      </c>
      <c r="BA86" s="469">
        <f t="shared" si="152"/>
        <v>3.7498705811702195</v>
      </c>
      <c r="BB86" s="469">
        <f t="shared" si="153"/>
        <v>1.2984844496762646</v>
      </c>
      <c r="BC86" s="5">
        <f t="shared" si="154"/>
        <v>0.10399901895866126</v>
      </c>
      <c r="BD86" s="469">
        <f t="shared" si="155"/>
        <v>12.648632275039352</v>
      </c>
      <c r="BE86" s="5"/>
      <c r="BF86" s="177">
        <f t="shared" si="179"/>
        <v>0.13941252566846382</v>
      </c>
      <c r="BG86" s="177">
        <f t="shared" si="156"/>
        <v>11873.478157762242</v>
      </c>
      <c r="BH86" s="177"/>
      <c r="BI86" s="538">
        <f t="shared" si="157"/>
        <v>6.8025483096410292E-3</v>
      </c>
      <c r="BJ86" s="538">
        <f t="shared" si="158"/>
        <v>621.62471294158831</v>
      </c>
      <c r="BK86" s="538">
        <f t="shared" si="159"/>
        <v>4.3749999999999995E-3</v>
      </c>
      <c r="BL86" s="538">
        <f t="shared" si="160"/>
        <v>8462927.8085788898</v>
      </c>
      <c r="BM86">
        <f t="shared" si="161"/>
        <v>6.96E-3</v>
      </c>
      <c r="BN86">
        <f t="shared" si="162"/>
        <v>1.6625000000000001E-5</v>
      </c>
      <c r="BO86" s="538">
        <f t="shared" si="163"/>
        <v>8474185.1493020672</v>
      </c>
      <c r="BP86" s="469">
        <f t="shared" si="180"/>
        <v>8474185149.3020668</v>
      </c>
      <c r="BQ86" s="538">
        <f t="shared" si="164"/>
        <v>107708325.46522924</v>
      </c>
      <c r="BR86" s="538"/>
      <c r="BT86" s="469">
        <f t="shared" si="181"/>
        <v>107708325465.22925</v>
      </c>
      <c r="BU86" s="538">
        <f t="shared" si="165"/>
        <v>1.9435852313260085E-3</v>
      </c>
      <c r="BV86" s="538">
        <f t="shared" si="166"/>
        <v>4229384.5068857111</v>
      </c>
      <c r="BW86" s="538">
        <f t="shared" si="167"/>
        <v>0</v>
      </c>
      <c r="BX86" s="538">
        <f t="shared" si="168"/>
        <v>-14.000041377301322</v>
      </c>
      <c r="BY86" s="538">
        <f t="shared" si="169"/>
        <v>4.5659999999999997E-3</v>
      </c>
      <c r="BZ86" s="469">
        <f t="shared" si="182"/>
        <v>-13995.475377301322</v>
      </c>
      <c r="CA86" s="177">
        <f t="shared" si="183"/>
        <v>116182496.61905593</v>
      </c>
      <c r="CB86" s="5">
        <f t="shared" si="184"/>
        <v>1.2150000000000003</v>
      </c>
      <c r="CC86" s="177">
        <f t="shared" si="185"/>
        <v>1.0457685302440228E-8</v>
      </c>
      <c r="CD86" s="5">
        <f t="shared" si="186"/>
        <v>1.0457685302440228E-6</v>
      </c>
      <c r="CG86" s="571">
        <f t="shared" si="170"/>
        <v>-50</v>
      </c>
      <c r="CH86">
        <f t="shared" si="171"/>
        <v>-50</v>
      </c>
    </row>
    <row r="87" spans="5:86" x14ac:dyDescent="0.25">
      <c r="E87" s="174">
        <v>82</v>
      </c>
      <c r="F87" s="221">
        <f t="shared" si="172"/>
        <v>8.2000000000000003E-2</v>
      </c>
      <c r="G87" s="221"/>
      <c r="H87" s="221">
        <f t="shared" si="120"/>
        <v>1.23</v>
      </c>
      <c r="I87" s="551">
        <f t="shared" si="121"/>
        <v>24</v>
      </c>
      <c r="J87" s="176">
        <f t="shared" si="122"/>
        <v>695386.58000000007</v>
      </c>
      <c r="K87" s="451">
        <f t="shared" si="123"/>
        <v>695410.58000000007</v>
      </c>
      <c r="L87" s="451"/>
      <c r="M87" s="221">
        <f t="shared" si="124"/>
        <v>0.99996548801428931</v>
      </c>
      <c r="N87" s="176">
        <f t="shared" si="125"/>
        <v>8.0997204529157436</v>
      </c>
      <c r="O87" s="176">
        <f t="shared" si="173"/>
        <v>1.23</v>
      </c>
      <c r="P87" s="221">
        <f t="shared" si="126"/>
        <v>0.5399813635277162</v>
      </c>
      <c r="Q87" s="221">
        <f t="shared" si="127"/>
        <v>15</v>
      </c>
      <c r="R87" s="221">
        <f t="shared" si="128"/>
        <v>0.59997929280857354</v>
      </c>
      <c r="S87" s="176">
        <f t="shared" si="129"/>
        <v>98.779963681639472</v>
      </c>
      <c r="T87" s="176">
        <f t="shared" si="130"/>
        <v>15</v>
      </c>
      <c r="U87" s="221">
        <f t="shared" si="131"/>
        <v>0.11389281955624996</v>
      </c>
      <c r="V87" s="221">
        <f t="shared" si="132"/>
        <v>0.14236602444531246</v>
      </c>
      <c r="W87" s="221">
        <f t="shared" si="133"/>
        <v>4.9135037761118403E-6</v>
      </c>
      <c r="X87" s="201">
        <f t="shared" si="134"/>
        <v>350</v>
      </c>
      <c r="Y87" s="451">
        <f t="shared" si="174"/>
        <v>350</v>
      </c>
      <c r="AA87" s="221">
        <f t="shared" si="135"/>
        <v>2.2856354011755182</v>
      </c>
      <c r="AB87" s="177">
        <f t="shared" si="136"/>
        <v>9.8605673459021225E-5</v>
      </c>
      <c r="AC87" s="177">
        <f t="shared" si="137"/>
        <v>1.8020156525828219</v>
      </c>
      <c r="AD87" s="177"/>
      <c r="AE87" s="177">
        <f t="shared" si="138"/>
        <v>6.4712206554230591E-6</v>
      </c>
      <c r="AF87" s="555">
        <f t="shared" si="139"/>
        <v>3697.8962962962974</v>
      </c>
      <c r="AG87" s="538">
        <f t="shared" si="140"/>
        <v>7.7611695137976321E-3</v>
      </c>
      <c r="AI87" s="177">
        <f t="shared" si="141"/>
        <v>0.51394109558922185</v>
      </c>
      <c r="AJ87" s="177">
        <f t="shared" si="142"/>
        <v>0.51394109558922185</v>
      </c>
      <c r="AK87" s="177">
        <f t="shared" si="143"/>
        <v>1.4426273970594812</v>
      </c>
      <c r="AM87" s="555">
        <f t="shared" si="144"/>
        <v>82</v>
      </c>
      <c r="AN87" s="469">
        <f t="shared" si="145"/>
        <v>350</v>
      </c>
      <c r="AP87">
        <f t="shared" si="146"/>
        <v>82</v>
      </c>
      <c r="AQ87">
        <f t="shared" si="147"/>
        <v>350</v>
      </c>
      <c r="AS87" s="5">
        <f t="shared" si="175"/>
        <v>2.8571428571428572</v>
      </c>
      <c r="AT87" s="5">
        <f t="shared" si="148"/>
        <v>0.64242636948652743</v>
      </c>
      <c r="AU87" s="5">
        <f t="shared" si="176"/>
        <v>2.2147164876563297</v>
      </c>
      <c r="AV87" s="5">
        <f t="shared" si="149"/>
        <v>2.2172174889651528E-5</v>
      </c>
      <c r="AW87" s="177">
        <f t="shared" si="177"/>
        <v>0.22484922932028459</v>
      </c>
      <c r="AX87" s="177">
        <f t="shared" si="150"/>
        <v>1.3867111111111108</v>
      </c>
      <c r="AY87" s="177">
        <f t="shared" si="151"/>
        <v>9100.8338600398292</v>
      </c>
      <c r="AZ87" s="177">
        <f t="shared" si="178"/>
        <v>1.5237187409825344E-4</v>
      </c>
      <c r="BA87" s="469">
        <f t="shared" si="152"/>
        <v>3.7498705811702195</v>
      </c>
      <c r="BB87" s="469">
        <f t="shared" si="153"/>
        <v>1.3277066666092365</v>
      </c>
      <c r="BC87" s="5">
        <f t="shared" si="154"/>
        <v>0.10509649999295081</v>
      </c>
      <c r="BD87" s="469">
        <f t="shared" si="155"/>
        <v>12.782413332487433</v>
      </c>
      <c r="BE87" s="5"/>
      <c r="BF87" s="177">
        <f t="shared" si="179"/>
        <v>0.14070140050141958</v>
      </c>
      <c r="BG87" s="177">
        <f t="shared" si="156"/>
        <v>11935.96297374134</v>
      </c>
      <c r="BH87" s="177"/>
      <c r="BI87" s="538">
        <f t="shared" si="157"/>
        <v>6.9289094360713054E-3</v>
      </c>
      <c r="BJ87" s="538">
        <f t="shared" si="158"/>
        <v>625.45013189668839</v>
      </c>
      <c r="BK87" s="538">
        <f t="shared" si="159"/>
        <v>4.3749999999999995E-3</v>
      </c>
      <c r="BL87" s="538">
        <f t="shared" si="160"/>
        <v>8462927.8085788898</v>
      </c>
      <c r="BM87">
        <f t="shared" si="161"/>
        <v>6.96E-3</v>
      </c>
      <c r="BN87">
        <f t="shared" si="162"/>
        <v>1.6625000000000001E-5</v>
      </c>
      <c r="BO87" s="538">
        <f t="shared" si="163"/>
        <v>8474386.7966458388</v>
      </c>
      <c r="BP87" s="469">
        <f t="shared" si="180"/>
        <v>8474386796.6458387</v>
      </c>
      <c r="BQ87" s="538">
        <f t="shared" si="164"/>
        <v>108844950.07593347</v>
      </c>
      <c r="BR87" s="538"/>
      <c r="BT87" s="469">
        <f t="shared" si="181"/>
        <v>108844950075.93347</v>
      </c>
      <c r="BU87" s="538">
        <f t="shared" si="165"/>
        <v>1.9796884103060876E-3</v>
      </c>
      <c r="BV87" s="538">
        <f t="shared" si="166"/>
        <v>4274016.3633157257</v>
      </c>
      <c r="BW87" s="538">
        <f t="shared" si="167"/>
        <v>0</v>
      </c>
      <c r="BX87" s="538">
        <f t="shared" si="168"/>
        <v>-14.000040945213321</v>
      </c>
      <c r="BY87" s="538">
        <f t="shared" si="169"/>
        <v>4.6223703703703696E-3</v>
      </c>
      <c r="BZ87" s="469">
        <f t="shared" si="182"/>
        <v>-13995.418574842952</v>
      </c>
      <c r="CA87" s="177">
        <f t="shared" si="183"/>
        <v>117319322.87716073</v>
      </c>
      <c r="CB87" s="5">
        <f t="shared" si="184"/>
        <v>1.23</v>
      </c>
      <c r="CC87" s="177">
        <f t="shared" si="185"/>
        <v>1.0484206326286919E-8</v>
      </c>
      <c r="CD87" s="5">
        <f t="shared" si="186"/>
        <v>1.0484206326286919E-6</v>
      </c>
      <c r="CG87" s="571">
        <f t="shared" si="170"/>
        <v>-50</v>
      </c>
      <c r="CH87">
        <f t="shared" si="171"/>
        <v>-50</v>
      </c>
    </row>
    <row r="88" spans="5:86" x14ac:dyDescent="0.25">
      <c r="E88" s="174">
        <v>83</v>
      </c>
      <c r="F88" s="221">
        <f t="shared" si="172"/>
        <v>8.3000000000000004E-2</v>
      </c>
      <c r="G88" s="221"/>
      <c r="H88" s="221">
        <f t="shared" si="120"/>
        <v>1.2450000000000001</v>
      </c>
      <c r="I88" s="551">
        <f t="shared" si="121"/>
        <v>24</v>
      </c>
      <c r="J88" s="176">
        <f t="shared" si="122"/>
        <v>695386.58000000007</v>
      </c>
      <c r="K88" s="451">
        <f t="shared" si="123"/>
        <v>695410.58000000007</v>
      </c>
      <c r="L88" s="451"/>
      <c r="M88" s="221">
        <f t="shared" si="124"/>
        <v>0.99996548801428931</v>
      </c>
      <c r="N88" s="176">
        <f t="shared" si="125"/>
        <v>8.0997204529157436</v>
      </c>
      <c r="O88" s="176">
        <f t="shared" si="173"/>
        <v>1.2450000000000001</v>
      </c>
      <c r="P88" s="221">
        <f t="shared" si="126"/>
        <v>0.5399813635277162</v>
      </c>
      <c r="Q88" s="221">
        <f t="shared" si="127"/>
        <v>15</v>
      </c>
      <c r="R88" s="221">
        <f t="shared" si="128"/>
        <v>0.59997929280857354</v>
      </c>
      <c r="S88" s="176">
        <f t="shared" si="129"/>
        <v>97.589837336748147</v>
      </c>
      <c r="T88" s="176">
        <f t="shared" si="130"/>
        <v>15</v>
      </c>
      <c r="U88" s="221">
        <f t="shared" si="131"/>
        <v>0.11528175638010668</v>
      </c>
      <c r="V88" s="221">
        <f t="shared" si="132"/>
        <v>0.14410219547513337</v>
      </c>
      <c r="W88" s="221">
        <f t="shared" si="133"/>
        <v>4.9734245538693024E-6</v>
      </c>
      <c r="X88" s="201">
        <f t="shared" si="134"/>
        <v>350</v>
      </c>
      <c r="Y88" s="451">
        <f t="shared" si="174"/>
        <v>350</v>
      </c>
      <c r="AA88" s="221">
        <f t="shared" si="135"/>
        <v>2.2856354011755182</v>
      </c>
      <c r="AB88" s="177">
        <f t="shared" si="136"/>
        <v>9.8605673459021225E-5</v>
      </c>
      <c r="AC88" s="177">
        <f t="shared" si="137"/>
        <v>1.8020156525828219</v>
      </c>
      <c r="AD88" s="177"/>
      <c r="AE88" s="177">
        <f t="shared" si="138"/>
        <v>6.4712206554230591E-6</v>
      </c>
      <c r="AF88" s="555">
        <f t="shared" si="139"/>
        <v>3742.9925925925936</v>
      </c>
      <c r="AG88" s="538">
        <f t="shared" si="140"/>
        <v>7.7611695137976321E-3</v>
      </c>
      <c r="AI88" s="177">
        <f t="shared" si="141"/>
        <v>0.51706538634549282</v>
      </c>
      <c r="AJ88" s="177">
        <f t="shared" si="142"/>
        <v>0.51706538634549282</v>
      </c>
      <c r="AK88" s="177">
        <f t="shared" si="143"/>
        <v>1.4447102575636619</v>
      </c>
      <c r="AM88" s="555">
        <f t="shared" si="144"/>
        <v>83</v>
      </c>
      <c r="AN88" s="469">
        <f t="shared" si="145"/>
        <v>350</v>
      </c>
      <c r="AP88">
        <f t="shared" si="146"/>
        <v>83</v>
      </c>
      <c r="AQ88">
        <f t="shared" si="147"/>
        <v>350</v>
      </c>
      <c r="AS88" s="5">
        <f t="shared" si="175"/>
        <v>2.8571428571428572</v>
      </c>
      <c r="AT88" s="5">
        <f t="shared" si="148"/>
        <v>0.64633173293186608</v>
      </c>
      <c r="AU88" s="5">
        <f t="shared" si="176"/>
        <v>2.2108111242109914</v>
      </c>
      <c r="AV88" s="5">
        <f t="shared" si="149"/>
        <v>2.2306961388821718E-5</v>
      </c>
      <c r="AW88" s="177">
        <f t="shared" si="177"/>
        <v>0.22621610652615312</v>
      </c>
      <c r="AX88" s="177">
        <f t="shared" si="150"/>
        <v>1.4036222222222219</v>
      </c>
      <c r="AY88" s="177">
        <f t="shared" si="151"/>
        <v>9140.0128970733149</v>
      </c>
      <c r="AZ88" s="177">
        <f t="shared" si="178"/>
        <v>1.5356895422671338E-4</v>
      </c>
      <c r="BA88" s="469">
        <f t="shared" si="152"/>
        <v>3.7498705811702195</v>
      </c>
      <c r="BB88" s="469">
        <f t="shared" si="153"/>
        <v>1.3572506285352515</v>
      </c>
      <c r="BC88" s="5">
        <f t="shared" si="154"/>
        <v>0.10619058061893073</v>
      </c>
      <c r="BD88" s="469">
        <f t="shared" si="155"/>
        <v>12.915786340938354</v>
      </c>
      <c r="BE88" s="5"/>
      <c r="BF88" s="177">
        <f t="shared" si="179"/>
        <v>0.14198635171268834</v>
      </c>
      <c r="BG88" s="177">
        <f t="shared" si="156"/>
        <v>11997.93028470165</v>
      </c>
      <c r="BH88" s="177"/>
      <c r="BI88" s="538">
        <f t="shared" si="157"/>
        <v>7.0560434254377307E-3</v>
      </c>
      <c r="BJ88" s="538">
        <f t="shared" si="158"/>
        <v>629.25229537877567</v>
      </c>
      <c r="BK88" s="538">
        <f t="shared" si="159"/>
        <v>4.3749999999999995E-3</v>
      </c>
      <c r="BL88" s="538">
        <f t="shared" si="160"/>
        <v>8462927.8085788898</v>
      </c>
      <c r="BM88">
        <f t="shared" si="161"/>
        <v>6.96E-3</v>
      </c>
      <c r="BN88">
        <f t="shared" si="162"/>
        <v>1.6625000000000001E-5</v>
      </c>
      <c r="BO88" s="538">
        <f t="shared" si="163"/>
        <v>8474589.6401132252</v>
      </c>
      <c r="BP88" s="469">
        <f t="shared" si="180"/>
        <v>8474589640.113225</v>
      </c>
      <c r="BQ88" s="538">
        <f t="shared" si="164"/>
        <v>109978052.99683207</v>
      </c>
      <c r="BR88" s="538"/>
      <c r="BT88" s="469">
        <f t="shared" si="181"/>
        <v>109978052996.83208</v>
      </c>
      <c r="BU88" s="538">
        <f t="shared" si="165"/>
        <v>2.0160124072679231E-3</v>
      </c>
      <c r="BV88" s="538">
        <f t="shared" si="166"/>
        <v>4318509.9334968301</v>
      </c>
      <c r="BW88" s="538">
        <f t="shared" si="167"/>
        <v>0</v>
      </c>
      <c r="BX88" s="538">
        <f t="shared" si="168"/>
        <v>-14.000040523353928</v>
      </c>
      <c r="BY88" s="538">
        <f t="shared" si="169"/>
        <v>4.6787407407407403E-3</v>
      </c>
      <c r="BZ88" s="469">
        <f t="shared" si="182"/>
        <v>-13995.361782613187</v>
      </c>
      <c r="CA88" s="177">
        <f t="shared" si="183"/>
        <v>118452628.64158352</v>
      </c>
      <c r="CB88" s="5">
        <f t="shared" si="184"/>
        <v>1.2450000000000001</v>
      </c>
      <c r="CC88" s="177">
        <f t="shared" si="185"/>
        <v>1.0510530675359993E-8</v>
      </c>
      <c r="CD88" s="5">
        <f t="shared" si="186"/>
        <v>1.0510530675359994E-6</v>
      </c>
      <c r="CG88" s="571">
        <f t="shared" si="170"/>
        <v>-50</v>
      </c>
      <c r="CH88">
        <f t="shared" si="171"/>
        <v>-50</v>
      </c>
    </row>
    <row r="89" spans="5:86" x14ac:dyDescent="0.25">
      <c r="E89" s="174">
        <v>84</v>
      </c>
      <c r="F89" s="221">
        <f t="shared" si="172"/>
        <v>8.4000000000000005E-2</v>
      </c>
      <c r="G89" s="221"/>
      <c r="H89" s="221">
        <f t="shared" si="120"/>
        <v>1.26</v>
      </c>
      <c r="I89" s="551">
        <f t="shared" si="121"/>
        <v>24</v>
      </c>
      <c r="J89" s="176">
        <f t="shared" si="122"/>
        <v>695386.58000000007</v>
      </c>
      <c r="K89" s="451">
        <f t="shared" si="123"/>
        <v>695410.58000000007</v>
      </c>
      <c r="L89" s="451"/>
      <c r="M89" s="221">
        <f t="shared" si="124"/>
        <v>0.99996548801428931</v>
      </c>
      <c r="N89" s="176">
        <f t="shared" si="125"/>
        <v>8.0997204529157436</v>
      </c>
      <c r="O89" s="176">
        <f t="shared" si="173"/>
        <v>1.26</v>
      </c>
      <c r="P89" s="221">
        <f t="shared" si="126"/>
        <v>0.5399813635277162</v>
      </c>
      <c r="Q89" s="221">
        <f t="shared" si="127"/>
        <v>15</v>
      </c>
      <c r="R89" s="221">
        <f t="shared" si="128"/>
        <v>0.59997929280857354</v>
      </c>
      <c r="S89" s="176">
        <f t="shared" si="129"/>
        <v>96.428047333739244</v>
      </c>
      <c r="T89" s="176">
        <f t="shared" si="130"/>
        <v>15</v>
      </c>
      <c r="U89" s="221">
        <f t="shared" si="131"/>
        <v>0.11667069320396338</v>
      </c>
      <c r="V89" s="221">
        <f t="shared" si="132"/>
        <v>0.14583836650495424</v>
      </c>
      <c r="W89" s="221">
        <f t="shared" si="133"/>
        <v>5.0333453316267645E-6</v>
      </c>
      <c r="X89" s="201">
        <f t="shared" si="134"/>
        <v>350</v>
      </c>
      <c r="Y89" s="451">
        <f t="shared" si="174"/>
        <v>350</v>
      </c>
      <c r="AA89" s="221">
        <f t="shared" si="135"/>
        <v>2.2856354011755182</v>
      </c>
      <c r="AB89" s="177">
        <f t="shared" si="136"/>
        <v>9.8605673459021225E-5</v>
      </c>
      <c r="AC89" s="177">
        <f t="shared" si="137"/>
        <v>1.8020156525828219</v>
      </c>
      <c r="AD89" s="177"/>
      <c r="AE89" s="177">
        <f t="shared" si="138"/>
        <v>6.4712206554230591E-6</v>
      </c>
      <c r="AF89" s="555">
        <f t="shared" si="139"/>
        <v>3788.0888888888899</v>
      </c>
      <c r="AG89" s="538">
        <f t="shared" si="140"/>
        <v>7.7611695137976321E-3</v>
      </c>
      <c r="AI89" s="177">
        <f t="shared" si="141"/>
        <v>0.52017091208349764</v>
      </c>
      <c r="AJ89" s="177">
        <f t="shared" si="142"/>
        <v>0.52017091208349764</v>
      </c>
      <c r="AK89" s="177">
        <f t="shared" si="143"/>
        <v>1.4467806080556651</v>
      </c>
      <c r="AM89" s="555">
        <f t="shared" si="144"/>
        <v>84</v>
      </c>
      <c r="AN89" s="469">
        <f t="shared" si="145"/>
        <v>350</v>
      </c>
      <c r="AP89">
        <f t="shared" si="146"/>
        <v>84</v>
      </c>
      <c r="AQ89">
        <f t="shared" si="147"/>
        <v>350</v>
      </c>
      <c r="AS89" s="5">
        <f t="shared" si="175"/>
        <v>2.8571428571428572</v>
      </c>
      <c r="AT89" s="5">
        <f t="shared" si="148"/>
        <v>0.65021364010437199</v>
      </c>
      <c r="AU89" s="5">
        <f t="shared" si="176"/>
        <v>2.2069292170384851</v>
      </c>
      <c r="AV89" s="5">
        <f t="shared" si="149"/>
        <v>2.2440938337499879E-5</v>
      </c>
      <c r="AW89" s="177">
        <f t="shared" si="177"/>
        <v>0.2275747740365302</v>
      </c>
      <c r="AX89" s="177">
        <f t="shared" si="150"/>
        <v>1.4205333333333334</v>
      </c>
      <c r="AY89" s="177">
        <f t="shared" si="151"/>
        <v>9178.7632566470184</v>
      </c>
      <c r="AZ89" s="177">
        <f t="shared" si="178"/>
        <v>1.5476304308258747E-4</v>
      </c>
      <c r="BA89" s="469">
        <f t="shared" si="152"/>
        <v>3.7498705811702195</v>
      </c>
      <c r="BB89" s="469">
        <f t="shared" si="153"/>
        <v>1.3871163354543088</v>
      </c>
      <c r="BC89" s="5">
        <f t="shared" si="154"/>
        <v>0.10728128138381521</v>
      </c>
      <c r="BD89" s="469">
        <f t="shared" si="155"/>
        <v>13.048753766057827</v>
      </c>
      <c r="BE89" s="5"/>
      <c r="BF89" s="177">
        <f t="shared" si="179"/>
        <v>0.14326743830692334</v>
      </c>
      <c r="BG89" s="177">
        <f t="shared" si="156"/>
        <v>12059.389223109843</v>
      </c>
      <c r="BH89" s="177"/>
      <c r="BI89" s="538">
        <f t="shared" si="157"/>
        <v>7.1839456076598293E-3</v>
      </c>
      <c r="BJ89" s="538">
        <f t="shared" si="158"/>
        <v>633.03162242444967</v>
      </c>
      <c r="BK89" s="538">
        <f t="shared" si="159"/>
        <v>4.3749999999999995E-3</v>
      </c>
      <c r="BL89" s="538">
        <f t="shared" si="160"/>
        <v>8462927.8085788898</v>
      </c>
      <c r="BM89">
        <f t="shared" si="161"/>
        <v>6.96E-3</v>
      </c>
      <c r="BN89">
        <f t="shared" si="162"/>
        <v>1.6625000000000001E-5</v>
      </c>
      <c r="BO89" s="538">
        <f t="shared" si="163"/>
        <v>8474793.6729831528</v>
      </c>
      <c r="BP89" s="469">
        <f t="shared" si="180"/>
        <v>8474793672.9831524</v>
      </c>
      <c r="BQ89" s="538">
        <f t="shared" si="164"/>
        <v>111107655.50799175</v>
      </c>
      <c r="BR89" s="538"/>
      <c r="BT89" s="469">
        <f t="shared" si="181"/>
        <v>111107655507.99174</v>
      </c>
      <c r="BU89" s="538">
        <f t="shared" si="165"/>
        <v>2.0525558879028087E-3</v>
      </c>
      <c r="BV89" s="538">
        <f t="shared" si="166"/>
        <v>4362866.0530337347</v>
      </c>
      <c r="BW89" s="538">
        <f t="shared" si="167"/>
        <v>0</v>
      </c>
      <c r="BX89" s="538">
        <f t="shared" si="168"/>
        <v>-14.00004011136239</v>
      </c>
      <c r="BY89" s="538">
        <f t="shared" si="169"/>
        <v>4.7351111111111118E-3</v>
      </c>
      <c r="BZ89" s="469">
        <f t="shared" si="182"/>
        <v>-13995.305000251279</v>
      </c>
      <c r="CA89" s="177">
        <f t="shared" si="183"/>
        <v>119582435.1856699</v>
      </c>
      <c r="CB89" s="5">
        <f t="shared" si="184"/>
        <v>1.26</v>
      </c>
      <c r="CC89" s="177">
        <f t="shared" si="185"/>
        <v>1.0536664391952392E-8</v>
      </c>
      <c r="CD89" s="5">
        <f t="shared" si="186"/>
        <v>1.0536664391952393E-6</v>
      </c>
      <c r="CG89" s="571">
        <f t="shared" si="170"/>
        <v>-50</v>
      </c>
      <c r="CH89">
        <f t="shared" si="171"/>
        <v>-50</v>
      </c>
    </row>
    <row r="90" spans="5:86" x14ac:dyDescent="0.25">
      <c r="E90" s="174">
        <v>85</v>
      </c>
      <c r="F90" s="221">
        <f t="shared" si="172"/>
        <v>8.5000000000000006E-2</v>
      </c>
      <c r="G90" s="221"/>
      <c r="H90" s="221">
        <f t="shared" si="120"/>
        <v>1.2750000000000001</v>
      </c>
      <c r="I90" s="551">
        <f t="shared" si="121"/>
        <v>24</v>
      </c>
      <c r="J90" s="176">
        <f t="shared" si="122"/>
        <v>695386.58000000007</v>
      </c>
      <c r="K90" s="451">
        <f t="shared" si="123"/>
        <v>695410.58000000007</v>
      </c>
      <c r="L90" s="451"/>
      <c r="M90" s="221">
        <f t="shared" si="124"/>
        <v>0.99996548801428931</v>
      </c>
      <c r="N90" s="176">
        <f t="shared" si="125"/>
        <v>8.0997204529157436</v>
      </c>
      <c r="O90" s="176">
        <f t="shared" si="173"/>
        <v>1.2750000000000001</v>
      </c>
      <c r="P90" s="221">
        <f t="shared" si="126"/>
        <v>0.5399813635277162</v>
      </c>
      <c r="Q90" s="221">
        <f t="shared" si="127"/>
        <v>15</v>
      </c>
      <c r="R90" s="221">
        <f t="shared" si="128"/>
        <v>0.59997929280857354</v>
      </c>
      <c r="S90" s="176">
        <f t="shared" si="129"/>
        <v>95.293593566428683</v>
      </c>
      <c r="T90" s="176">
        <f t="shared" si="130"/>
        <v>15</v>
      </c>
      <c r="U90" s="221">
        <f t="shared" si="131"/>
        <v>0.11805963002782009</v>
      </c>
      <c r="V90" s="221">
        <f t="shared" si="132"/>
        <v>0.14757453753477512</v>
      </c>
      <c r="W90" s="221">
        <f t="shared" si="133"/>
        <v>5.0932661093842258E-6</v>
      </c>
      <c r="X90" s="201">
        <f t="shared" si="134"/>
        <v>350</v>
      </c>
      <c r="Y90" s="451">
        <f t="shared" si="174"/>
        <v>350</v>
      </c>
      <c r="AA90" s="221">
        <f t="shared" si="135"/>
        <v>2.2856354011755182</v>
      </c>
      <c r="AB90" s="177">
        <f t="shared" si="136"/>
        <v>9.8605673459021225E-5</v>
      </c>
      <c r="AC90" s="177">
        <f t="shared" si="137"/>
        <v>1.8020156525828219</v>
      </c>
      <c r="AD90" s="177"/>
      <c r="AE90" s="177">
        <f t="shared" si="138"/>
        <v>6.4712206554230591E-6</v>
      </c>
      <c r="AF90" s="555">
        <f t="shared" si="139"/>
        <v>3833.1851851851866</v>
      </c>
      <c r="AG90" s="538">
        <f t="shared" si="140"/>
        <v>7.7611695137976321E-3</v>
      </c>
      <c r="AI90" s="177">
        <f t="shared" si="141"/>
        <v>0.52325800691335989</v>
      </c>
      <c r="AJ90" s="177">
        <f t="shared" si="142"/>
        <v>0.52325800691335989</v>
      </c>
      <c r="AK90" s="177">
        <f t="shared" si="143"/>
        <v>1.4488386712755732</v>
      </c>
      <c r="AM90" s="555">
        <f t="shared" si="144"/>
        <v>85</v>
      </c>
      <c r="AN90" s="469">
        <f t="shared" si="145"/>
        <v>350</v>
      </c>
      <c r="AP90">
        <f t="shared" si="146"/>
        <v>85</v>
      </c>
      <c r="AQ90">
        <f t="shared" si="147"/>
        <v>350</v>
      </c>
      <c r="AS90" s="5">
        <f t="shared" si="175"/>
        <v>2.8571428571428572</v>
      </c>
      <c r="AT90" s="5">
        <f t="shared" si="148"/>
        <v>0.65407250864169986</v>
      </c>
      <c r="AU90" s="5">
        <f t="shared" si="176"/>
        <v>2.2030703485011571</v>
      </c>
      <c r="AV90" s="5">
        <f t="shared" si="149"/>
        <v>2.2574120149688244E-5</v>
      </c>
      <c r="AW90" s="177">
        <f t="shared" si="177"/>
        <v>0.22892537802459495</v>
      </c>
      <c r="AX90" s="177">
        <f t="shared" si="150"/>
        <v>1.4374444444444445</v>
      </c>
      <c r="AY90" s="177">
        <f t="shared" si="151"/>
        <v>9217.0925713396573</v>
      </c>
      <c r="AZ90" s="177">
        <f t="shared" si="178"/>
        <v>1.5595421585697705E-4</v>
      </c>
      <c r="BA90" s="469">
        <f t="shared" si="152"/>
        <v>3.7498705811702195</v>
      </c>
      <c r="BB90" s="469">
        <f t="shared" si="153"/>
        <v>1.4173037873664089</v>
      </c>
      <c r="BC90" s="5">
        <f t="shared" si="154"/>
        <v>0.10836862246678144</v>
      </c>
      <c r="BD90" s="469">
        <f t="shared" si="155"/>
        <v>13.181318029347107</v>
      </c>
      <c r="BE90" s="5"/>
      <c r="BF90" s="177">
        <f t="shared" si="179"/>
        <v>0.14454471771053737</v>
      </c>
      <c r="BG90" s="177">
        <f t="shared" si="156"/>
        <v>12120.348650876305</v>
      </c>
      <c r="BH90" s="177"/>
      <c r="BI90" s="538">
        <f t="shared" si="157"/>
        <v>7.3126113963066265E-3</v>
      </c>
      <c r="BJ90" s="538">
        <f t="shared" si="158"/>
        <v>636.7885196352114</v>
      </c>
      <c r="BK90" s="538">
        <f t="shared" si="159"/>
        <v>4.3749999999999995E-3</v>
      </c>
      <c r="BL90" s="538">
        <f t="shared" si="160"/>
        <v>8462927.8085788898</v>
      </c>
      <c r="BM90">
        <f t="shared" si="161"/>
        <v>6.96E-3</v>
      </c>
      <c r="BN90">
        <f t="shared" si="162"/>
        <v>1.6625000000000001E-5</v>
      </c>
      <c r="BO90" s="538">
        <f t="shared" si="163"/>
        <v>8474998.8886527531</v>
      </c>
      <c r="BP90" s="469">
        <f t="shared" si="180"/>
        <v>8474998888.6527529</v>
      </c>
      <c r="BQ90" s="538">
        <f t="shared" si="164"/>
        <v>112233778.50831495</v>
      </c>
      <c r="BR90" s="538"/>
      <c r="BT90" s="469">
        <f t="shared" si="181"/>
        <v>112233778508.31496</v>
      </c>
      <c r="BU90" s="538">
        <f t="shared" si="165"/>
        <v>2.0893175418018935E-3</v>
      </c>
      <c r="BV90" s="538">
        <f t="shared" si="166"/>
        <v>4407085.5425639721</v>
      </c>
      <c r="BW90" s="538">
        <f t="shared" si="167"/>
        <v>0</v>
      </c>
      <c r="BX90" s="538">
        <f t="shared" si="168"/>
        <v>-14.000039708894825</v>
      </c>
      <c r="BY90" s="538">
        <f t="shared" si="169"/>
        <v>4.7914814814814816E-3</v>
      </c>
      <c r="BZ90" s="469">
        <f t="shared" si="182"/>
        <v>-13995.248227413344</v>
      </c>
      <c r="CA90" s="177">
        <f t="shared" si="183"/>
        <v>120708763.40171948</v>
      </c>
      <c r="CB90" s="5">
        <f t="shared" si="184"/>
        <v>1.2750000000000001</v>
      </c>
      <c r="CC90" s="177">
        <f t="shared" si="185"/>
        <v>1.0562613273482561E-8</v>
      </c>
      <c r="CD90" s="5">
        <f t="shared" si="186"/>
        <v>1.0562613273482561E-6</v>
      </c>
      <c r="CG90" s="571">
        <f t="shared" si="170"/>
        <v>-50</v>
      </c>
      <c r="CH90">
        <f t="shared" si="171"/>
        <v>-50</v>
      </c>
    </row>
    <row r="91" spans="5:86" x14ac:dyDescent="0.25">
      <c r="E91" s="174">
        <v>86</v>
      </c>
      <c r="F91" s="221">
        <f t="shared" si="172"/>
        <v>8.6000000000000007E-2</v>
      </c>
      <c r="G91" s="221"/>
      <c r="H91" s="221">
        <f t="shared" si="120"/>
        <v>1.29</v>
      </c>
      <c r="I91" s="551">
        <f t="shared" si="121"/>
        <v>24</v>
      </c>
      <c r="J91" s="176">
        <f t="shared" si="122"/>
        <v>695386.58000000007</v>
      </c>
      <c r="K91" s="451">
        <f t="shared" si="123"/>
        <v>695410.58000000007</v>
      </c>
      <c r="L91" s="451"/>
      <c r="M91" s="221">
        <f t="shared" si="124"/>
        <v>0.99996548801428931</v>
      </c>
      <c r="N91" s="176">
        <f t="shared" si="125"/>
        <v>8.0997204529157436</v>
      </c>
      <c r="O91" s="176">
        <f t="shared" si="173"/>
        <v>1.29</v>
      </c>
      <c r="P91" s="221">
        <f t="shared" si="126"/>
        <v>0.5399813635277162</v>
      </c>
      <c r="Q91" s="221">
        <f t="shared" si="127"/>
        <v>15</v>
      </c>
      <c r="R91" s="221">
        <f t="shared" si="128"/>
        <v>0.59997929280857354</v>
      </c>
      <c r="S91" s="176">
        <f t="shared" si="129"/>
        <v>94.185522445199027</v>
      </c>
      <c r="T91" s="176">
        <f t="shared" si="130"/>
        <v>15</v>
      </c>
      <c r="U91" s="221">
        <f t="shared" si="131"/>
        <v>0.11944856685167679</v>
      </c>
      <c r="V91" s="221">
        <f t="shared" si="132"/>
        <v>0.149310708564596</v>
      </c>
      <c r="W91" s="221">
        <f t="shared" si="133"/>
        <v>5.1531868871416862E-6</v>
      </c>
      <c r="X91" s="201">
        <f t="shared" si="134"/>
        <v>350</v>
      </c>
      <c r="Y91" s="451">
        <f t="shared" si="174"/>
        <v>350</v>
      </c>
      <c r="AA91" s="221">
        <f t="shared" si="135"/>
        <v>2.2856354011755182</v>
      </c>
      <c r="AB91" s="177">
        <f t="shared" si="136"/>
        <v>9.8605673459021225E-5</v>
      </c>
      <c r="AC91" s="177">
        <f t="shared" si="137"/>
        <v>1.8020156525828219</v>
      </c>
      <c r="AD91" s="177"/>
      <c r="AE91" s="177">
        <f t="shared" si="138"/>
        <v>6.4712206554230591E-6</v>
      </c>
      <c r="AF91" s="555">
        <f t="shared" si="139"/>
        <v>3878.2814814814828</v>
      </c>
      <c r="AG91" s="538">
        <f t="shared" si="140"/>
        <v>7.7611695137976321E-3</v>
      </c>
      <c r="AI91" s="177">
        <f t="shared" si="141"/>
        <v>0.52632699514665393</v>
      </c>
      <c r="AJ91" s="177">
        <f t="shared" si="142"/>
        <v>0.52632699514665393</v>
      </c>
      <c r="AK91" s="177">
        <f t="shared" si="143"/>
        <v>1.4508846634311026</v>
      </c>
      <c r="AM91" s="555">
        <f t="shared" si="144"/>
        <v>86</v>
      </c>
      <c r="AN91" s="469">
        <f t="shared" si="145"/>
        <v>350</v>
      </c>
      <c r="AP91">
        <f t="shared" si="146"/>
        <v>86</v>
      </c>
      <c r="AQ91">
        <f t="shared" si="147"/>
        <v>350</v>
      </c>
      <c r="AS91" s="5">
        <f t="shared" si="175"/>
        <v>2.8571428571428572</v>
      </c>
      <c r="AT91" s="5">
        <f t="shared" si="148"/>
        <v>0.65790874393331733</v>
      </c>
      <c r="AU91" s="5">
        <f t="shared" si="176"/>
        <v>2.1992341132095401</v>
      </c>
      <c r="AV91" s="5">
        <f t="shared" si="149"/>
        <v>2.2706520816665191E-5</v>
      </c>
      <c r="AW91" s="177">
        <f t="shared" si="177"/>
        <v>0.23026806037666106</v>
      </c>
      <c r="AX91" s="177">
        <f t="shared" si="150"/>
        <v>1.4543555555555561</v>
      </c>
      <c r="AY91" s="177">
        <f t="shared" si="151"/>
        <v>9255.0082498869942</v>
      </c>
      <c r="AZ91" s="177">
        <f t="shared" si="178"/>
        <v>1.5714254555886692E-4</v>
      </c>
      <c r="BA91" s="469">
        <f t="shared" si="152"/>
        <v>3.7498705811702195</v>
      </c>
      <c r="BB91" s="469">
        <f t="shared" si="153"/>
        <v>1.4478129842715517</v>
      </c>
      <c r="BC91" s="5">
        <f t="shared" si="154"/>
        <v>0.10945262368982664</v>
      </c>
      <c r="BD91" s="469">
        <f t="shared" si="155"/>
        <v>13.313481509445863</v>
      </c>
      <c r="BE91" s="5"/>
      <c r="BF91" s="177">
        <f t="shared" si="179"/>
        <v>0.1458182458319639</v>
      </c>
      <c r="BG91" s="177">
        <f t="shared" si="156"/>
        <v>12180.817170452157</v>
      </c>
      <c r="BH91" s="177"/>
      <c r="BI91" s="538">
        <f t="shared" si="157"/>
        <v>7.4420362861288688E-3</v>
      </c>
      <c r="BJ91" s="538">
        <f t="shared" si="158"/>
        <v>640.52338168803578</v>
      </c>
      <c r="BK91" s="538">
        <f t="shared" si="159"/>
        <v>4.3749999999999995E-3</v>
      </c>
      <c r="BL91" s="538">
        <f t="shared" si="160"/>
        <v>8462927.8085788898</v>
      </c>
      <c r="BM91">
        <f t="shared" si="161"/>
        <v>6.96E-3</v>
      </c>
      <c r="BN91">
        <f t="shared" si="162"/>
        <v>1.6625000000000001E-5</v>
      </c>
      <c r="BO91" s="538">
        <f t="shared" si="163"/>
        <v>8475205.2806340083</v>
      </c>
      <c r="BP91" s="469">
        <f t="shared" si="180"/>
        <v>8475205280.6340084</v>
      </c>
      <c r="BQ91" s="538">
        <f t="shared" si="164"/>
        <v>113356442.52678531</v>
      </c>
      <c r="BR91" s="538"/>
      <c r="BT91" s="469">
        <f t="shared" si="181"/>
        <v>113356442526.78531</v>
      </c>
      <c r="BU91" s="538">
        <f t="shared" si="165"/>
        <v>2.1262960817511056E-3</v>
      </c>
      <c r="BV91" s="538">
        <f t="shared" si="166"/>
        <v>4451169.2081994638</v>
      </c>
      <c r="BW91" s="538">
        <f t="shared" si="167"/>
        <v>0</v>
      </c>
      <c r="BX91" s="538">
        <f t="shared" si="168"/>
        <v>-14.000039315623194</v>
      </c>
      <c r="BY91" s="538">
        <f t="shared" si="169"/>
        <v>4.8478518518518532E-3</v>
      </c>
      <c r="BZ91" s="469">
        <f t="shared" si="182"/>
        <v>-13995.191463771343</v>
      </c>
      <c r="CA91" s="177">
        <f t="shared" si="183"/>
        <v>121831633.81222787</v>
      </c>
      <c r="CB91" s="5">
        <f t="shared" si="184"/>
        <v>1.29</v>
      </c>
      <c r="CC91" s="177">
        <f t="shared" si="185"/>
        <v>1.05883828852627E-8</v>
      </c>
      <c r="CD91" s="5">
        <f t="shared" si="186"/>
        <v>1.0588382885262699E-6</v>
      </c>
      <c r="CG91" s="571">
        <f t="shared" si="170"/>
        <v>-50</v>
      </c>
      <c r="CH91">
        <f t="shared" si="171"/>
        <v>-50</v>
      </c>
    </row>
    <row r="92" spans="5:86" x14ac:dyDescent="0.25">
      <c r="E92" s="174">
        <v>87</v>
      </c>
      <c r="F92" s="221">
        <f t="shared" si="172"/>
        <v>8.7000000000000008E-2</v>
      </c>
      <c r="G92" s="221"/>
      <c r="H92" s="221">
        <f t="shared" si="120"/>
        <v>1.3050000000000002</v>
      </c>
      <c r="I92" s="551">
        <f t="shared" si="121"/>
        <v>24</v>
      </c>
      <c r="J92" s="176">
        <f t="shared" si="122"/>
        <v>695386.58000000007</v>
      </c>
      <c r="K92" s="451">
        <f t="shared" si="123"/>
        <v>695410.58000000007</v>
      </c>
      <c r="L92" s="451"/>
      <c r="M92" s="221">
        <f t="shared" si="124"/>
        <v>0.99996548801428931</v>
      </c>
      <c r="N92" s="176">
        <f t="shared" si="125"/>
        <v>8.0997204529157436</v>
      </c>
      <c r="O92" s="176">
        <f t="shared" si="173"/>
        <v>1.3050000000000002</v>
      </c>
      <c r="P92" s="221">
        <f t="shared" si="126"/>
        <v>0.5399813635277162</v>
      </c>
      <c r="Q92" s="221">
        <f t="shared" si="127"/>
        <v>15</v>
      </c>
      <c r="R92" s="221">
        <f t="shared" si="128"/>
        <v>0.59997929280857354</v>
      </c>
      <c r="S92" s="176">
        <f t="shared" si="129"/>
        <v>93.102924223633707</v>
      </c>
      <c r="T92" s="176">
        <f t="shared" si="130"/>
        <v>15</v>
      </c>
      <c r="U92" s="221">
        <f t="shared" si="131"/>
        <v>0.12083750367553352</v>
      </c>
      <c r="V92" s="221">
        <f t="shared" si="132"/>
        <v>0.1510468795944169</v>
      </c>
      <c r="W92" s="221">
        <f t="shared" si="133"/>
        <v>5.2131076648991492E-6</v>
      </c>
      <c r="X92" s="201">
        <f t="shared" si="134"/>
        <v>350</v>
      </c>
      <c r="Y92" s="451">
        <f t="shared" si="174"/>
        <v>350</v>
      </c>
      <c r="AA92" s="221">
        <f t="shared" si="135"/>
        <v>2.2856354011755182</v>
      </c>
      <c r="AB92" s="177">
        <f t="shared" si="136"/>
        <v>9.8605673459021225E-5</v>
      </c>
      <c r="AC92" s="177">
        <f t="shared" si="137"/>
        <v>1.8020156525828219</v>
      </c>
      <c r="AD92" s="177"/>
      <c r="AE92" s="177">
        <f t="shared" si="138"/>
        <v>6.4712206554230591E-6</v>
      </c>
      <c r="AF92" s="555">
        <f t="shared" si="139"/>
        <v>3923.3777777777791</v>
      </c>
      <c r="AG92" s="538">
        <f t="shared" si="140"/>
        <v>7.7611695137976321E-3</v>
      </c>
      <c r="AI92" s="177">
        <f t="shared" si="141"/>
        <v>0.52937819169405709</v>
      </c>
      <c r="AJ92" s="177">
        <f t="shared" si="142"/>
        <v>0.52937819169405709</v>
      </c>
      <c r="AK92" s="177">
        <f t="shared" si="143"/>
        <v>1.4529187944627047</v>
      </c>
      <c r="AM92" s="555">
        <f t="shared" si="144"/>
        <v>87.000000000000014</v>
      </c>
      <c r="AN92" s="469">
        <f t="shared" si="145"/>
        <v>350</v>
      </c>
      <c r="AP92">
        <f t="shared" si="146"/>
        <v>87.000000000000014</v>
      </c>
      <c r="AQ92">
        <f t="shared" si="147"/>
        <v>350</v>
      </c>
      <c r="AS92" s="5">
        <f t="shared" si="175"/>
        <v>2.8571428571428572</v>
      </c>
      <c r="AT92" s="5">
        <f t="shared" si="148"/>
        <v>0.66172273961757133</v>
      </c>
      <c r="AU92" s="5">
        <f t="shared" si="176"/>
        <v>2.1954201175252859</v>
      </c>
      <c r="AV92" s="5">
        <f t="shared" si="149"/>
        <v>2.2838153924140598E-5</v>
      </c>
      <c r="AW92" s="177">
        <f t="shared" si="177"/>
        <v>0.23160295886614995</v>
      </c>
      <c r="AX92" s="177">
        <f t="shared" si="150"/>
        <v>1.4712666666666669</v>
      </c>
      <c r="AY92" s="177">
        <f t="shared" si="151"/>
        <v>9292.5174862659987</v>
      </c>
      <c r="AZ92" s="177">
        <f t="shared" si="178"/>
        <v>1.5832810310458336E-4</v>
      </c>
      <c r="BA92" s="469">
        <f t="shared" si="152"/>
        <v>3.7498705811702195</v>
      </c>
      <c r="BB92" s="469">
        <f t="shared" si="153"/>
        <v>1.4786439261697368</v>
      </c>
      <c r="BC92" s="5">
        <f t="shared" si="154"/>
        <v>0.11053330452818279</v>
      </c>
      <c r="BD92" s="469">
        <f t="shared" si="155"/>
        <v>13.445246543381938</v>
      </c>
      <c r="BE92" s="5"/>
      <c r="BF92" s="177">
        <f t="shared" si="179"/>
        <v>0.14708807711894401</v>
      </c>
      <c r="BG92" s="177">
        <f t="shared" si="156"/>
        <v>12240.803135347536</v>
      </c>
      <c r="BH92" s="177"/>
      <c r="BI92" s="538">
        <f t="shared" si="157"/>
        <v>7.5722158506919459E-3</v>
      </c>
      <c r="BJ92" s="538">
        <f t="shared" si="158"/>
        <v>644.23659181930202</v>
      </c>
      <c r="BK92" s="538">
        <f t="shared" si="159"/>
        <v>4.3749999999999995E-3</v>
      </c>
      <c r="BL92" s="538">
        <f t="shared" si="160"/>
        <v>8462927.8085788898</v>
      </c>
      <c r="BM92">
        <f t="shared" si="161"/>
        <v>6.96E-3</v>
      </c>
      <c r="BN92">
        <f t="shared" si="162"/>
        <v>1.6625000000000001E-5</v>
      </c>
      <c r="BO92" s="538">
        <f t="shared" si="163"/>
        <v>8475412.8425505552</v>
      </c>
      <c r="BP92" s="469">
        <f t="shared" si="180"/>
        <v>8475412842.5505552</v>
      </c>
      <c r="BQ92" s="538">
        <f t="shared" si="164"/>
        <v>114475667.7332527</v>
      </c>
      <c r="BR92" s="538"/>
      <c r="BT92" s="469">
        <f t="shared" si="181"/>
        <v>114475667733.2527</v>
      </c>
      <c r="BU92" s="538">
        <f t="shared" si="165"/>
        <v>2.163490243054842E-3</v>
      </c>
      <c r="BV92" s="538">
        <f t="shared" si="166"/>
        <v>4495117.8419500226</v>
      </c>
      <c r="BW92" s="538">
        <f t="shared" si="167"/>
        <v>0</v>
      </c>
      <c r="BX92" s="538">
        <f t="shared" si="168"/>
        <v>-14.000038931234444</v>
      </c>
      <c r="BY92" s="538">
        <f t="shared" si="169"/>
        <v>4.9042222222222221E-3</v>
      </c>
      <c r="BZ92" s="469">
        <f t="shared" si="182"/>
        <v>-13995.134709012222</v>
      </c>
      <c r="CA92" s="177">
        <f t="shared" si="183"/>
        <v>122951066.58066855</v>
      </c>
      <c r="CB92" s="5">
        <f t="shared" si="184"/>
        <v>1.3050000000000002</v>
      </c>
      <c r="CC92" s="177">
        <f t="shared" si="185"/>
        <v>1.0613978572463572E-8</v>
      </c>
      <c r="CD92" s="5">
        <f t="shared" si="186"/>
        <v>1.0613978572463573E-6</v>
      </c>
      <c r="CG92" s="571">
        <f t="shared" si="170"/>
        <v>-50</v>
      </c>
      <c r="CH92">
        <f t="shared" si="171"/>
        <v>-50</v>
      </c>
    </row>
    <row r="93" spans="5:86" x14ac:dyDescent="0.25">
      <c r="E93" s="174">
        <v>88</v>
      </c>
      <c r="F93" s="221">
        <f t="shared" si="172"/>
        <v>8.8000000000000009E-2</v>
      </c>
      <c r="G93" s="221"/>
      <c r="H93" s="221">
        <f t="shared" si="120"/>
        <v>1.32</v>
      </c>
      <c r="I93" s="551">
        <f t="shared" si="121"/>
        <v>24</v>
      </c>
      <c r="J93" s="176">
        <f t="shared" si="122"/>
        <v>695386.58000000007</v>
      </c>
      <c r="K93" s="451">
        <f t="shared" si="123"/>
        <v>695410.58000000007</v>
      </c>
      <c r="L93" s="451"/>
      <c r="M93" s="221">
        <f t="shared" si="124"/>
        <v>0.99996548801428931</v>
      </c>
      <c r="N93" s="176">
        <f t="shared" si="125"/>
        <v>8.0997204529157436</v>
      </c>
      <c r="O93" s="176">
        <f t="shared" si="173"/>
        <v>1.32</v>
      </c>
      <c r="P93" s="221">
        <f t="shared" si="126"/>
        <v>0.5399813635277162</v>
      </c>
      <c r="Q93" s="221">
        <f t="shared" si="127"/>
        <v>15</v>
      </c>
      <c r="R93" s="221">
        <f t="shared" si="128"/>
        <v>0.59997929280857354</v>
      </c>
      <c r="S93" s="176">
        <f t="shared" si="129"/>
        <v>92.044930507425917</v>
      </c>
      <c r="T93" s="176">
        <f t="shared" si="130"/>
        <v>15</v>
      </c>
      <c r="U93" s="221">
        <f t="shared" si="131"/>
        <v>0.12222644049939022</v>
      </c>
      <c r="V93" s="221">
        <f t="shared" si="132"/>
        <v>0.15278305062423775</v>
      </c>
      <c r="W93" s="221">
        <f t="shared" si="133"/>
        <v>5.2730284426566096E-6</v>
      </c>
      <c r="X93" s="201">
        <f t="shared" si="134"/>
        <v>350</v>
      </c>
      <c r="Y93" s="451">
        <f t="shared" si="174"/>
        <v>350</v>
      </c>
      <c r="AA93" s="221">
        <f t="shared" si="135"/>
        <v>2.2856354011755182</v>
      </c>
      <c r="AB93" s="177">
        <f t="shared" si="136"/>
        <v>9.8605673459021225E-5</v>
      </c>
      <c r="AC93" s="177">
        <f t="shared" si="137"/>
        <v>1.8020156525828219</v>
      </c>
      <c r="AD93" s="177"/>
      <c r="AE93" s="177">
        <f t="shared" si="138"/>
        <v>6.4712206554230591E-6</v>
      </c>
      <c r="AF93" s="555">
        <f t="shared" si="139"/>
        <v>3968.4740740740754</v>
      </c>
      <c r="AG93" s="538">
        <f t="shared" si="140"/>
        <v>7.7611695137976321E-3</v>
      </c>
      <c r="AI93" s="177">
        <f t="shared" si="141"/>
        <v>0.53241190244249226</v>
      </c>
      <c r="AJ93" s="177">
        <f t="shared" si="142"/>
        <v>0.53241190244249226</v>
      </c>
      <c r="AK93" s="177">
        <f t="shared" si="143"/>
        <v>1.4549412682949949</v>
      </c>
      <c r="AM93" s="555">
        <f t="shared" si="144"/>
        <v>88.000000000000014</v>
      </c>
      <c r="AN93" s="469">
        <f t="shared" si="145"/>
        <v>350</v>
      </c>
      <c r="AP93">
        <f t="shared" si="146"/>
        <v>88.000000000000014</v>
      </c>
      <c r="AQ93">
        <f t="shared" si="147"/>
        <v>350</v>
      </c>
      <c r="AS93" s="5">
        <f t="shared" si="175"/>
        <v>2.8571428571428572</v>
      </c>
      <c r="AT93" s="5">
        <f t="shared" si="148"/>
        <v>0.66551487805311538</v>
      </c>
      <c r="AU93" s="5">
        <f t="shared" si="176"/>
        <v>2.1916279790897417</v>
      </c>
      <c r="AV93" s="5">
        <f t="shared" si="149"/>
        <v>2.2969032668526284E-5</v>
      </c>
      <c r="AW93" s="177">
        <f t="shared" si="177"/>
        <v>0.23293020731859038</v>
      </c>
      <c r="AX93" s="177">
        <f t="shared" si="150"/>
        <v>1.488177777777778</v>
      </c>
      <c r="AY93" s="177">
        <f t="shared" si="151"/>
        <v>9329.6272683104762</v>
      </c>
      <c r="AZ93" s="177">
        <f t="shared" si="178"/>
        <v>1.5951095740261825E-4</v>
      </c>
      <c r="BA93" s="469">
        <f t="shared" si="152"/>
        <v>3.7498705811702195</v>
      </c>
      <c r="BB93" s="469">
        <f t="shared" si="153"/>
        <v>1.509796613060965</v>
      </c>
      <c r="BC93" s="5">
        <f t="shared" si="154"/>
        <v>0.11161068412031092</v>
      </c>
      <c r="BD93" s="469">
        <f t="shared" si="155"/>
        <v>13.576615427770642</v>
      </c>
      <c r="BE93" s="5"/>
      <c r="BF93" s="177">
        <f t="shared" si="179"/>
        <v>0.14835426461301895</v>
      </c>
      <c r="BG93" s="177">
        <f t="shared" si="156"/>
        <v>12300.314660107721</v>
      </c>
      <c r="BH93" s="177"/>
      <c r="BI93" s="538">
        <f t="shared" si="157"/>
        <v>7.703145740104376E-3</v>
      </c>
      <c r="BJ93" s="538">
        <f t="shared" si="158"/>
        <v>647.92852228376478</v>
      </c>
      <c r="BK93" s="538">
        <f t="shared" si="159"/>
        <v>4.3749999999999995E-3</v>
      </c>
      <c r="BL93" s="538">
        <f t="shared" si="160"/>
        <v>8462927.8085788898</v>
      </c>
      <c r="BM93">
        <f t="shared" si="161"/>
        <v>6.96E-3</v>
      </c>
      <c r="BN93">
        <f t="shared" si="162"/>
        <v>1.6625000000000001E-5</v>
      </c>
      <c r="BO93" s="538">
        <f t="shared" si="163"/>
        <v>8475621.5681345835</v>
      </c>
      <c r="BP93" s="469">
        <f t="shared" si="180"/>
        <v>8475621568.1345835</v>
      </c>
      <c r="BQ93" s="538">
        <f t="shared" si="164"/>
        <v>115591473.9487849</v>
      </c>
      <c r="BR93" s="538"/>
      <c r="BT93" s="469">
        <f t="shared" si="181"/>
        <v>115591473948.7849</v>
      </c>
      <c r="BU93" s="538">
        <f t="shared" si="165"/>
        <v>2.2008987828869646E-3</v>
      </c>
      <c r="BV93" s="538">
        <f t="shared" si="166"/>
        <v>4538932.2221298274</v>
      </c>
      <c r="BW93" s="538">
        <f t="shared" si="167"/>
        <v>0</v>
      </c>
      <c r="BX93" s="538">
        <f t="shared" si="168"/>
        <v>-14.000038555429628</v>
      </c>
      <c r="BY93" s="538">
        <f t="shared" si="169"/>
        <v>4.9605925925925946E-3</v>
      </c>
      <c r="BZ93" s="469">
        <f t="shared" si="182"/>
        <v>-13995.077962837035</v>
      </c>
      <c r="CA93" s="177">
        <f t="shared" si="183"/>
        <v>124067081.52184154</v>
      </c>
      <c r="CB93" s="5">
        <f t="shared" si="184"/>
        <v>1.32</v>
      </c>
      <c r="CC93" s="177">
        <f t="shared" si="185"/>
        <v>1.0639405471334505E-8</v>
      </c>
      <c r="CD93" s="5">
        <f t="shared" si="186"/>
        <v>1.0639405471334504E-6</v>
      </c>
      <c r="CG93" s="571">
        <f t="shared" si="170"/>
        <v>-50</v>
      </c>
      <c r="CH93">
        <f t="shared" si="171"/>
        <v>-50</v>
      </c>
    </row>
    <row r="94" spans="5:86" x14ac:dyDescent="0.25">
      <c r="E94" s="174">
        <v>89</v>
      </c>
      <c r="F94" s="221">
        <f t="shared" si="172"/>
        <v>8.900000000000001E-2</v>
      </c>
      <c r="G94" s="221"/>
      <c r="H94" s="221">
        <f t="shared" si="120"/>
        <v>1.3350000000000002</v>
      </c>
      <c r="I94" s="551">
        <f t="shared" si="121"/>
        <v>24</v>
      </c>
      <c r="J94" s="176">
        <f t="shared" si="122"/>
        <v>695386.58000000007</v>
      </c>
      <c r="K94" s="451">
        <f t="shared" si="123"/>
        <v>695410.58000000007</v>
      </c>
      <c r="L94" s="451"/>
      <c r="M94" s="221">
        <f t="shared" si="124"/>
        <v>0.99996548801428931</v>
      </c>
      <c r="N94" s="176">
        <f t="shared" si="125"/>
        <v>8.0997204529157436</v>
      </c>
      <c r="O94" s="176">
        <f t="shared" si="173"/>
        <v>1.3350000000000002</v>
      </c>
      <c r="P94" s="221">
        <f t="shared" si="126"/>
        <v>0.5399813635277162</v>
      </c>
      <c r="Q94" s="221">
        <f t="shared" si="127"/>
        <v>15</v>
      </c>
      <c r="R94" s="221">
        <f t="shared" si="128"/>
        <v>0.59997929280857354</v>
      </c>
      <c r="S94" s="176">
        <f t="shared" si="129"/>
        <v>91.010711931226524</v>
      </c>
      <c r="T94" s="176">
        <f t="shared" si="130"/>
        <v>15</v>
      </c>
      <c r="U94" s="221">
        <f t="shared" si="131"/>
        <v>0.12361537732324693</v>
      </c>
      <c r="V94" s="221">
        <f t="shared" si="132"/>
        <v>0.15451922165405865</v>
      </c>
      <c r="W94" s="221">
        <f t="shared" si="133"/>
        <v>5.3329492204140717E-6</v>
      </c>
      <c r="X94" s="201">
        <f t="shared" si="134"/>
        <v>350</v>
      </c>
      <c r="Y94" s="451">
        <f t="shared" si="174"/>
        <v>350</v>
      </c>
      <c r="AA94" s="221">
        <f t="shared" si="135"/>
        <v>2.2856354011755182</v>
      </c>
      <c r="AB94" s="177">
        <f t="shared" si="136"/>
        <v>9.8605673459021225E-5</v>
      </c>
      <c r="AC94" s="177">
        <f t="shared" si="137"/>
        <v>1.8020156525828219</v>
      </c>
      <c r="AD94" s="177"/>
      <c r="AE94" s="177">
        <f t="shared" si="138"/>
        <v>6.4712206554230591E-6</v>
      </c>
      <c r="AF94" s="555">
        <f t="shared" si="139"/>
        <v>4013.5703703703716</v>
      </c>
      <c r="AG94" s="538">
        <f t="shared" si="140"/>
        <v>7.7611695137976321E-3</v>
      </c>
      <c r="AI94" s="177">
        <f t="shared" si="141"/>
        <v>0.5354284246130363</v>
      </c>
      <c r="AJ94" s="177">
        <f t="shared" si="142"/>
        <v>0.5354284246130363</v>
      </c>
      <c r="AK94" s="177">
        <f t="shared" si="143"/>
        <v>1.4569522830753576</v>
      </c>
      <c r="AM94" s="555">
        <f t="shared" si="144"/>
        <v>89.000000000000014</v>
      </c>
      <c r="AN94" s="469">
        <f t="shared" si="145"/>
        <v>350</v>
      </c>
      <c r="AP94">
        <f t="shared" si="146"/>
        <v>89.000000000000014</v>
      </c>
      <c r="AQ94">
        <f t="shared" si="147"/>
        <v>350</v>
      </c>
      <c r="AS94" s="5">
        <f t="shared" si="175"/>
        <v>2.8571428571428572</v>
      </c>
      <c r="AT94" s="5">
        <f t="shared" si="148"/>
        <v>0.66928553076629538</v>
      </c>
      <c r="AU94" s="5">
        <f t="shared" si="176"/>
        <v>2.1878573263765619</v>
      </c>
      <c r="AV94" s="5">
        <f t="shared" si="149"/>
        <v>2.3099169872376725E-5</v>
      </c>
      <c r="AW94" s="177">
        <f t="shared" si="177"/>
        <v>0.23424993576820338</v>
      </c>
      <c r="AX94" s="177">
        <f t="shared" si="150"/>
        <v>1.5050888888888891</v>
      </c>
      <c r="AY94" s="177">
        <f t="shared" si="151"/>
        <v>9366.3443858873216</v>
      </c>
      <c r="AZ94" s="177">
        <f t="shared" si="178"/>
        <v>1.6069117543410767E-4</v>
      </c>
      <c r="BA94" s="469">
        <f t="shared" si="152"/>
        <v>3.7498705811702195</v>
      </c>
      <c r="BB94" s="469">
        <f t="shared" si="153"/>
        <v>1.5412710449452351</v>
      </c>
      <c r="BC94" s="5">
        <f t="shared" si="154"/>
        <v>0.11268478127749652</v>
      </c>
      <c r="BD94" s="469">
        <f t="shared" si="155"/>
        <v>13.707590419966252</v>
      </c>
      <c r="BE94" s="5"/>
      <c r="BF94" s="177">
        <f t="shared" si="179"/>
        <v>0.14961686000139407</v>
      </c>
      <c r="BG94" s="177">
        <f t="shared" si="156"/>
        <v>12359.359629780753</v>
      </c>
      <c r="BH94" s="177"/>
      <c r="BI94" s="538">
        <f t="shared" si="157"/>
        <v>7.8348216788368622E-3</v>
      </c>
      <c r="BJ94" s="538">
        <f t="shared" si="158"/>
        <v>651.59953479011631</v>
      </c>
      <c r="BK94" s="538">
        <f t="shared" si="159"/>
        <v>4.3749999999999995E-3</v>
      </c>
      <c r="BL94" s="538">
        <f t="shared" si="160"/>
        <v>8462927.8085788898</v>
      </c>
      <c r="BM94">
        <f t="shared" si="161"/>
        <v>6.96E-3</v>
      </c>
      <c r="BN94">
        <f t="shared" si="162"/>
        <v>1.6625000000000001E-5</v>
      </c>
      <c r="BO94" s="538">
        <f t="shared" si="163"/>
        <v>8475831.4512238689</v>
      </c>
      <c r="BP94" s="469">
        <f t="shared" si="180"/>
        <v>8475831451.2238693</v>
      </c>
      <c r="BQ94" s="538">
        <f t="shared" si="164"/>
        <v>116703880.65560469</v>
      </c>
      <c r="BR94" s="538"/>
      <c r="BT94" s="469">
        <f t="shared" si="181"/>
        <v>116703880655.60469</v>
      </c>
      <c r="BU94" s="538">
        <f t="shared" si="165"/>
        <v>2.2385204796676753E-3</v>
      </c>
      <c r="BV94" s="538">
        <f t="shared" si="166"/>
        <v>4582613.1137476265</v>
      </c>
      <c r="BW94" s="538">
        <f t="shared" si="167"/>
        <v>0</v>
      </c>
      <c r="BX94" s="538">
        <f t="shared" si="168"/>
        <v>-14.000038187923117</v>
      </c>
      <c r="BY94" s="538">
        <f t="shared" si="169"/>
        <v>5.0169629629629635E-3</v>
      </c>
      <c r="BZ94" s="469">
        <f t="shared" si="182"/>
        <v>-13995.021224960155</v>
      </c>
      <c r="CA94" s="177">
        <f t="shared" si="183"/>
        <v>125179698.11180733</v>
      </c>
      <c r="CB94" s="5">
        <f t="shared" si="184"/>
        <v>1.3350000000000002</v>
      </c>
      <c r="CC94" s="177">
        <f t="shared" si="185"/>
        <v>1.0664668519732966E-8</v>
      </c>
      <c r="CD94" s="5">
        <f t="shared" si="186"/>
        <v>1.0664668519732966E-6</v>
      </c>
      <c r="CG94" s="571">
        <f t="shared" si="170"/>
        <v>-50</v>
      </c>
      <c r="CH94">
        <f t="shared" si="171"/>
        <v>-50</v>
      </c>
    </row>
    <row r="95" spans="5:86" x14ac:dyDescent="0.25">
      <c r="E95" s="174">
        <v>90</v>
      </c>
      <c r="F95" s="221">
        <f t="shared" si="172"/>
        <v>9.0000000000000011E-2</v>
      </c>
      <c r="G95" s="221"/>
      <c r="H95" s="221">
        <f t="shared" si="120"/>
        <v>1.35</v>
      </c>
      <c r="I95" s="551">
        <f t="shared" si="121"/>
        <v>24</v>
      </c>
      <c r="J95" s="176">
        <f t="shared" si="122"/>
        <v>695386.58000000007</v>
      </c>
      <c r="K95" s="451">
        <f t="shared" si="123"/>
        <v>695410.58000000007</v>
      </c>
      <c r="L95" s="451"/>
      <c r="M95" s="221">
        <f t="shared" si="124"/>
        <v>0.99996548801428931</v>
      </c>
      <c r="N95" s="176">
        <f t="shared" si="125"/>
        <v>8.0997204529157436</v>
      </c>
      <c r="O95" s="176">
        <f t="shared" si="173"/>
        <v>1.35</v>
      </c>
      <c r="P95" s="221">
        <f t="shared" si="126"/>
        <v>0.5399813635277162</v>
      </c>
      <c r="Q95" s="221">
        <f t="shared" si="127"/>
        <v>15</v>
      </c>
      <c r="R95" s="221">
        <f t="shared" si="128"/>
        <v>0.59997929280857354</v>
      </c>
      <c r="S95" s="176">
        <f t="shared" si="129"/>
        <v>89.999475990368538</v>
      </c>
      <c r="T95" s="176">
        <f t="shared" si="130"/>
        <v>15</v>
      </c>
      <c r="U95" s="221">
        <f t="shared" si="131"/>
        <v>0.12500431414710361</v>
      </c>
      <c r="V95" s="221">
        <f t="shared" si="132"/>
        <v>0.1562553926838795</v>
      </c>
      <c r="W95" s="221">
        <f t="shared" si="133"/>
        <v>5.3928699981715321E-6</v>
      </c>
      <c r="X95" s="201">
        <f t="shared" si="134"/>
        <v>350</v>
      </c>
      <c r="Y95" s="451">
        <f t="shared" si="174"/>
        <v>350</v>
      </c>
      <c r="AA95" s="221">
        <f t="shared" si="135"/>
        <v>2.2856354011755182</v>
      </c>
      <c r="AB95" s="177">
        <f t="shared" si="136"/>
        <v>9.8605673459021225E-5</v>
      </c>
      <c r="AC95" s="177">
        <f t="shared" si="137"/>
        <v>1.8020156525828219</v>
      </c>
      <c r="AD95" s="177"/>
      <c r="AE95" s="177">
        <f t="shared" si="138"/>
        <v>6.4712206554230591E-6</v>
      </c>
      <c r="AF95" s="555">
        <f t="shared" si="139"/>
        <v>4058.6666666666683</v>
      </c>
      <c r="AG95" s="538">
        <f t="shared" si="140"/>
        <v>7.7611695137976321E-3</v>
      </c>
      <c r="AI95" s="177">
        <f t="shared" si="141"/>
        <v>0.53842804710078207</v>
      </c>
      <c r="AJ95" s="177">
        <f t="shared" si="142"/>
        <v>0.53842804710078207</v>
      </c>
      <c r="AK95" s="177">
        <f t="shared" si="143"/>
        <v>1.4589520314005213</v>
      </c>
      <c r="AM95" s="555">
        <f t="shared" si="144"/>
        <v>90.000000000000014</v>
      </c>
      <c r="AN95" s="469">
        <f t="shared" si="145"/>
        <v>350</v>
      </c>
      <c r="AP95">
        <f t="shared" si="146"/>
        <v>90.000000000000014</v>
      </c>
      <c r="AQ95">
        <f t="shared" si="147"/>
        <v>350</v>
      </c>
      <c r="AS95" s="5">
        <f t="shared" si="175"/>
        <v>2.8571428571428572</v>
      </c>
      <c r="AT95" s="5">
        <f t="shared" si="148"/>
        <v>0.67303505887597748</v>
      </c>
      <c r="AU95" s="5">
        <f t="shared" si="176"/>
        <v>2.1841077982668797</v>
      </c>
      <c r="AV95" s="5">
        <f t="shared" si="149"/>
        <v>2.3228577999051204E-5</v>
      </c>
      <c r="AW95" s="177">
        <f t="shared" si="177"/>
        <v>0.2355622706065921</v>
      </c>
      <c r="AX95" s="177">
        <f t="shared" si="150"/>
        <v>1.5220000000000005</v>
      </c>
      <c r="AY95" s="177">
        <f t="shared" si="151"/>
        <v>9402.6754386604825</v>
      </c>
      <c r="AZ95" s="177">
        <f t="shared" si="178"/>
        <v>1.6186882232923554E-4</v>
      </c>
      <c r="BA95" s="469">
        <f t="shared" si="152"/>
        <v>3.7498705811702195</v>
      </c>
      <c r="BB95" s="469">
        <f t="shared" si="153"/>
        <v>1.5730672218225485</v>
      </c>
      <c r="BC95" s="5">
        <f t="shared" si="154"/>
        <v>0.11375561449306663</v>
      </c>
      <c r="BD95" s="469">
        <f t="shared" si="155"/>
        <v>13.838173739167997</v>
      </c>
      <c r="BE95" s="5"/>
      <c r="BF95" s="177">
        <f t="shared" si="179"/>
        <v>0.15087591366632955</v>
      </c>
      <c r="BG95" s="177">
        <f t="shared" si="156"/>
        <v>12417.945708907981</v>
      </c>
      <c r="BH95" s="177"/>
      <c r="BI95" s="538">
        <f t="shared" si="157"/>
        <v>7.9672394636274031E-3</v>
      </c>
      <c r="BJ95" s="538">
        <f t="shared" si="158"/>
        <v>655.24998091458883</v>
      </c>
      <c r="BK95" s="538">
        <f t="shared" si="159"/>
        <v>4.3749999999999995E-3</v>
      </c>
      <c r="BL95" s="538">
        <f t="shared" si="160"/>
        <v>8462927.8085788898</v>
      </c>
      <c r="BM95">
        <f t="shared" si="161"/>
        <v>6.96E-3</v>
      </c>
      <c r="BN95">
        <f t="shared" si="162"/>
        <v>1.6625000000000001E-5</v>
      </c>
      <c r="BO95" s="538">
        <f t="shared" si="163"/>
        <v>8476042.4857589174</v>
      </c>
      <c r="BP95" s="469">
        <f t="shared" si="180"/>
        <v>8476042485.7589178</v>
      </c>
      <c r="BQ95" s="538">
        <f t="shared" si="164"/>
        <v>117812907.00663598</v>
      </c>
      <c r="BR95" s="538"/>
      <c r="BT95" s="469">
        <f t="shared" si="181"/>
        <v>117812907006.63599</v>
      </c>
      <c r="BU95" s="538">
        <f t="shared" si="165"/>
        <v>2.2763541324649725E-3</v>
      </c>
      <c r="BV95" s="538">
        <f t="shared" si="166"/>
        <v>4626161.2688815836</v>
      </c>
      <c r="BW95" s="538">
        <f t="shared" si="167"/>
        <v>0</v>
      </c>
      <c r="BX95" s="538">
        <f t="shared" si="168"/>
        <v>-14.000037828441899</v>
      </c>
      <c r="BY95" s="538">
        <f t="shared" si="169"/>
        <v>5.0733333333333351E-3</v>
      </c>
      <c r="BZ95" s="469">
        <f t="shared" si="182"/>
        <v>-13994.964495108565</v>
      </c>
      <c r="CA95" s="177">
        <f t="shared" si="183"/>
        <v>126288935.4974304</v>
      </c>
      <c r="CB95" s="5">
        <f t="shared" si="184"/>
        <v>1.35</v>
      </c>
      <c r="CC95" s="177">
        <f t="shared" si="185"/>
        <v>1.0689772467012961E-8</v>
      </c>
      <c r="CD95" s="5">
        <f t="shared" si="186"/>
        <v>1.0689772467012962E-6</v>
      </c>
      <c r="CG95" s="571">
        <f t="shared" si="170"/>
        <v>-50</v>
      </c>
      <c r="CH95">
        <f t="shared" si="171"/>
        <v>-50</v>
      </c>
    </row>
    <row r="96" spans="5:86" x14ac:dyDescent="0.25">
      <c r="E96" s="174">
        <v>91</v>
      </c>
      <c r="F96" s="221">
        <f t="shared" si="172"/>
        <v>9.1000000000000011E-2</v>
      </c>
      <c r="G96" s="221"/>
      <c r="H96" s="221">
        <f t="shared" si="120"/>
        <v>1.3650000000000002</v>
      </c>
      <c r="I96" s="551">
        <f t="shared" si="121"/>
        <v>24</v>
      </c>
      <c r="J96" s="176">
        <f t="shared" si="122"/>
        <v>695386.58000000007</v>
      </c>
      <c r="K96" s="451">
        <f t="shared" si="123"/>
        <v>695410.58000000007</v>
      </c>
      <c r="L96" s="451"/>
      <c r="M96" s="221">
        <f t="shared" si="124"/>
        <v>0.99996548801428931</v>
      </c>
      <c r="N96" s="176">
        <f t="shared" si="125"/>
        <v>8.0997204529157436</v>
      </c>
      <c r="O96" s="176">
        <f t="shared" si="173"/>
        <v>1.3650000000000002</v>
      </c>
      <c r="P96" s="221">
        <f t="shared" si="126"/>
        <v>0.5399813635277162</v>
      </c>
      <c r="Q96" s="221">
        <f t="shared" si="127"/>
        <v>15</v>
      </c>
      <c r="R96" s="221">
        <f t="shared" si="128"/>
        <v>0.59997929280857354</v>
      </c>
      <c r="S96" s="176">
        <f t="shared" si="129"/>
        <v>89.010465015554985</v>
      </c>
      <c r="T96" s="221">
        <f t="shared" si="130"/>
        <v>15</v>
      </c>
      <c r="U96" s="221">
        <f t="shared" si="131"/>
        <v>0.12639325097096035</v>
      </c>
      <c r="V96" s="221">
        <f t="shared" si="132"/>
        <v>0.15799156371370043</v>
      </c>
      <c r="W96" s="221">
        <f t="shared" si="133"/>
        <v>5.452790775928995E-6</v>
      </c>
      <c r="X96" s="201">
        <f t="shared" si="134"/>
        <v>350</v>
      </c>
      <c r="Y96" s="451">
        <f t="shared" si="174"/>
        <v>350</v>
      </c>
      <c r="AA96" s="221">
        <f t="shared" si="135"/>
        <v>2.2856354011755182</v>
      </c>
      <c r="AB96" s="177">
        <f t="shared" si="136"/>
        <v>9.8605673459021225E-5</v>
      </c>
      <c r="AC96" s="177">
        <f t="shared" si="137"/>
        <v>1.8020156525828219</v>
      </c>
      <c r="AD96" s="177"/>
      <c r="AE96" s="177">
        <f t="shared" si="138"/>
        <v>6.4712206554230591E-6</v>
      </c>
      <c r="AF96" s="555">
        <f t="shared" si="139"/>
        <v>4103.7629629629646</v>
      </c>
      <c r="AG96" s="538">
        <f t="shared" si="140"/>
        <v>7.7611695137976321E-3</v>
      </c>
      <c r="AI96" s="177">
        <f t="shared" si="141"/>
        <v>0.54141105079775198</v>
      </c>
      <c r="AJ96" s="177">
        <f t="shared" si="142"/>
        <v>0.54141105079775198</v>
      </c>
      <c r="AK96" s="177">
        <f t="shared" si="143"/>
        <v>1.4609407005318347</v>
      </c>
      <c r="AM96" s="555">
        <f t="shared" si="144"/>
        <v>91.000000000000014</v>
      </c>
      <c r="AN96" s="469">
        <f t="shared" si="145"/>
        <v>350</v>
      </c>
      <c r="AP96">
        <f t="shared" si="146"/>
        <v>91.000000000000014</v>
      </c>
      <c r="AQ96">
        <f t="shared" si="147"/>
        <v>350</v>
      </c>
      <c r="AS96" s="5">
        <f t="shared" si="175"/>
        <v>2.8571428571428572</v>
      </c>
      <c r="AT96" s="5">
        <f t="shared" si="148"/>
        <v>0.67676381349718995</v>
      </c>
      <c r="AU96" s="5">
        <f t="shared" si="176"/>
        <v>2.1803790436456674</v>
      </c>
      <c r="AV96" s="5">
        <f t="shared" si="149"/>
        <v>2.335726916664477E-5</v>
      </c>
      <c r="AW96" s="177">
        <f t="shared" si="177"/>
        <v>0.23686733472401647</v>
      </c>
      <c r="AX96" s="177">
        <f t="shared" si="150"/>
        <v>1.5389111111111113</v>
      </c>
      <c r="AY96" s="177">
        <f t="shared" si="151"/>
        <v>9438.626843467764</v>
      </c>
      <c r="AZ96" s="177">
        <f t="shared" si="178"/>
        <v>1.6304396143980974E-4</v>
      </c>
      <c r="BA96" s="469">
        <f t="shared" si="152"/>
        <v>3.7498705811702195</v>
      </c>
      <c r="BB96" s="469">
        <f t="shared" si="153"/>
        <v>1.6051851436929043</v>
      </c>
      <c r="BC96" s="5">
        <f t="shared" si="154"/>
        <v>0.11482320195124752</v>
      </c>
      <c r="BD96" s="469">
        <f t="shared" si="155"/>
        <v>13.968367567483039</v>
      </c>
      <c r="BE96" s="5"/>
      <c r="BF96" s="177">
        <f t="shared" si="179"/>
        <v>0.1521314747322017</v>
      </c>
      <c r="BG96" s="177">
        <f t="shared" si="156"/>
        <v>12476.080350066526</v>
      </c>
      <c r="BH96" s="177"/>
      <c r="BI96" s="538">
        <f t="shared" si="157"/>
        <v>8.1003949614680843E-3</v>
      </c>
      <c r="BJ96" s="538">
        <f t="shared" si="158"/>
        <v>658.88020249392991</v>
      </c>
      <c r="BK96" s="538">
        <f t="shared" si="159"/>
        <v>4.3749999999999995E-3</v>
      </c>
      <c r="BL96" s="538">
        <f t="shared" si="160"/>
        <v>8462927.8085788898</v>
      </c>
      <c r="BM96">
        <f t="shared" si="161"/>
        <v>6.96E-3</v>
      </c>
      <c r="BN96">
        <f t="shared" si="162"/>
        <v>1.6625000000000001E-5</v>
      </c>
      <c r="BO96" s="538">
        <f t="shared" si="163"/>
        <v>8476254.665780222</v>
      </c>
      <c r="BP96" s="469">
        <f t="shared" si="180"/>
        <v>8476254665.7802219</v>
      </c>
      <c r="BQ96" s="538">
        <f t="shared" si="164"/>
        <v>118918571.83467697</v>
      </c>
      <c r="BR96" s="538"/>
      <c r="BT96" s="469">
        <f t="shared" si="181"/>
        <v>118918571834.67697</v>
      </c>
      <c r="BU96" s="538">
        <f t="shared" si="165"/>
        <v>2.3143985604194527E-3</v>
      </c>
      <c r="BV96" s="538">
        <f t="shared" si="166"/>
        <v>4669577.4270394826</v>
      </c>
      <c r="BW96" s="538">
        <f t="shared" si="167"/>
        <v>0</v>
      </c>
      <c r="BX96" s="538">
        <f t="shared" si="168"/>
        <v>-14.000037476724847</v>
      </c>
      <c r="BY96" s="538">
        <f t="shared" si="169"/>
        <v>5.1297037037037049E-3</v>
      </c>
      <c r="BZ96" s="469">
        <f t="shared" si="182"/>
        <v>-13994.907773021143</v>
      </c>
      <c r="CA96" s="177">
        <f t="shared" si="183"/>
        <v>127394812.50554942</v>
      </c>
      <c r="CB96" s="5">
        <f t="shared" si="184"/>
        <v>1.3650000000000002</v>
      </c>
      <c r="CC96" s="177">
        <f t="shared" si="185"/>
        <v>1.0714721883318008E-8</v>
      </c>
      <c r="CD96" s="5">
        <f t="shared" si="186"/>
        <v>1.0714721883318007E-6</v>
      </c>
      <c r="CG96" s="571">
        <f t="shared" si="170"/>
        <v>-50</v>
      </c>
      <c r="CH96">
        <f t="shared" si="171"/>
        <v>-50</v>
      </c>
    </row>
    <row r="97" spans="5:86" x14ac:dyDescent="0.25">
      <c r="E97" s="174">
        <v>92</v>
      </c>
      <c r="F97" s="221">
        <f t="shared" si="172"/>
        <v>9.2000000000000012E-2</v>
      </c>
      <c r="G97" s="221"/>
      <c r="H97" s="221">
        <f t="shared" si="120"/>
        <v>1.3800000000000001</v>
      </c>
      <c r="I97" s="551">
        <f t="shared" si="121"/>
        <v>24</v>
      </c>
      <c r="J97" s="176">
        <f t="shared" si="122"/>
        <v>695386.58000000007</v>
      </c>
      <c r="K97" s="451">
        <f t="shared" si="123"/>
        <v>695410.58000000007</v>
      </c>
      <c r="L97" s="451"/>
      <c r="M97" s="221">
        <f t="shared" si="124"/>
        <v>0.99996548801428931</v>
      </c>
      <c r="N97" s="176">
        <f t="shared" si="125"/>
        <v>8.0997204529157436</v>
      </c>
      <c r="O97" s="176">
        <f t="shared" si="173"/>
        <v>1.3800000000000001</v>
      </c>
      <c r="P97" s="221">
        <f t="shared" si="126"/>
        <v>0.5399813635277162</v>
      </c>
      <c r="Q97" s="221">
        <f t="shared" si="127"/>
        <v>15</v>
      </c>
      <c r="R97" s="221">
        <f t="shared" si="128"/>
        <v>0.59997929280857354</v>
      </c>
      <c r="S97" s="176">
        <f t="shared" si="129"/>
        <v>88.042954279632227</v>
      </c>
      <c r="T97" s="542">
        <f t="shared" si="130"/>
        <v>15</v>
      </c>
      <c r="U97" s="221">
        <f t="shared" si="131"/>
        <v>0.12778218779481704</v>
      </c>
      <c r="V97" s="221">
        <f t="shared" si="132"/>
        <v>0.15972773474352131</v>
      </c>
      <c r="W97" s="221">
        <f t="shared" si="133"/>
        <v>5.5127115536864563E-6</v>
      </c>
      <c r="X97" s="201">
        <f t="shared" si="134"/>
        <v>350</v>
      </c>
      <c r="Y97" s="451">
        <f t="shared" si="174"/>
        <v>350</v>
      </c>
      <c r="AA97" s="221">
        <f t="shared" si="135"/>
        <v>2.2856354011755182</v>
      </c>
      <c r="AB97" s="177">
        <f t="shared" si="136"/>
        <v>9.8605673459021225E-5</v>
      </c>
      <c r="AC97" s="177">
        <f t="shared" si="137"/>
        <v>1.8020156525828219</v>
      </c>
      <c r="AD97" s="177"/>
      <c r="AE97" s="177">
        <f t="shared" si="138"/>
        <v>6.4712206554230591E-6</v>
      </c>
      <c r="AF97" s="555">
        <f t="shared" si="139"/>
        <v>4148.8592592592604</v>
      </c>
      <c r="AG97" s="538">
        <f t="shared" si="140"/>
        <v>7.7611695137976321E-3</v>
      </c>
      <c r="AI97" s="177">
        <f t="shared" si="141"/>
        <v>0.5443777088998869</v>
      </c>
      <c r="AJ97" s="177">
        <f t="shared" si="142"/>
        <v>0.5443777088998869</v>
      </c>
      <c r="AK97" s="177">
        <f t="shared" si="143"/>
        <v>1.4629184725999247</v>
      </c>
      <c r="AM97" s="555">
        <f t="shared" si="144"/>
        <v>92.000000000000014</v>
      </c>
      <c r="AN97" s="469">
        <f t="shared" si="145"/>
        <v>350</v>
      </c>
      <c r="AP97">
        <f t="shared" si="146"/>
        <v>92.000000000000014</v>
      </c>
      <c r="AQ97">
        <f t="shared" si="147"/>
        <v>350</v>
      </c>
      <c r="AS97" s="5">
        <f t="shared" si="175"/>
        <v>2.8571428571428572</v>
      </c>
      <c r="AT97" s="5">
        <f t="shared" si="148"/>
        <v>0.68047213612485868</v>
      </c>
      <c r="AU97" s="5">
        <f t="shared" si="176"/>
        <v>2.1766707210179987</v>
      </c>
      <c r="AV97" s="5">
        <f t="shared" si="149"/>
        <v>2.34852551612322E-5</v>
      </c>
      <c r="AW97" s="177">
        <f t="shared" si="177"/>
        <v>0.23816524764370053</v>
      </c>
      <c r="AX97" s="177">
        <f t="shared" si="150"/>
        <v>1.5558222222222224</v>
      </c>
      <c r="AY97" s="177">
        <f t="shared" si="151"/>
        <v>9474.2048413338362</v>
      </c>
      <c r="AZ97" s="177">
        <f t="shared" si="178"/>
        <v>1.6421665440824313E-4</v>
      </c>
      <c r="BA97" s="469">
        <f t="shared" si="152"/>
        <v>3.7498705811702195</v>
      </c>
      <c r="BB97" s="469">
        <f t="shared" si="153"/>
        <v>1.6376248105563027</v>
      </c>
      <c r="BC97" s="5">
        <f t="shared" si="154"/>
        <v>0.11588756153568049</v>
      </c>
      <c r="BD97" s="469">
        <f t="shared" si="155"/>
        <v>14.098174050948323</v>
      </c>
      <c r="BE97" s="5"/>
      <c r="BF97" s="177">
        <f t="shared" si="179"/>
        <v>0.15338359111036909</v>
      </c>
      <c r="BG97" s="177">
        <f t="shared" si="156"/>
        <v>12533.770801990742</v>
      </c>
      <c r="BH97" s="177"/>
      <c r="BI97" s="538">
        <f t="shared" si="157"/>
        <v>8.2342841076695119E-3</v>
      </c>
      <c r="BJ97" s="538">
        <f t="shared" si="158"/>
        <v>662.49053199899777</v>
      </c>
      <c r="BK97" s="538">
        <f t="shared" si="159"/>
        <v>4.3749999999999995E-3</v>
      </c>
      <c r="BL97" s="538">
        <f t="shared" si="160"/>
        <v>8462927.8085788898</v>
      </c>
      <c r="BM97">
        <f t="shared" si="161"/>
        <v>6.96E-3</v>
      </c>
      <c r="BN97">
        <f t="shared" si="162"/>
        <v>1.6625000000000001E-5</v>
      </c>
      <c r="BO97" s="538">
        <f t="shared" si="163"/>
        <v>8476467.9854256045</v>
      </c>
      <c r="BP97" s="469">
        <f t="shared" si="180"/>
        <v>8476467985.4256048</v>
      </c>
      <c r="BQ97" s="538">
        <f t="shared" si="164"/>
        <v>120020893.66122042</v>
      </c>
      <c r="BR97" s="538"/>
      <c r="BT97" s="469">
        <f t="shared" si="181"/>
        <v>120020893661.22041</v>
      </c>
      <c r="BU97" s="538">
        <f t="shared" si="165"/>
        <v>2.3526526021912897E-3</v>
      </c>
      <c r="BV97" s="538">
        <f t="shared" si="166"/>
        <v>4712862.3155050697</v>
      </c>
      <c r="BW97" s="538">
        <f t="shared" si="167"/>
        <v>0</v>
      </c>
      <c r="BX97" s="538">
        <f t="shared" si="168"/>
        <v>-14.000037132522099</v>
      </c>
      <c r="BY97" s="538">
        <f t="shared" si="169"/>
        <v>5.1860740740740765E-3</v>
      </c>
      <c r="BZ97" s="469">
        <f t="shared" si="182"/>
        <v>-13994.851058448026</v>
      </c>
      <c r="CA97" s="177">
        <f t="shared" si="183"/>
        <v>128497347.65179497</v>
      </c>
      <c r="CB97" s="5">
        <f t="shared" si="184"/>
        <v>1.3800000000000001</v>
      </c>
      <c r="CC97" s="177">
        <f t="shared" si="185"/>
        <v>1.073952116832027E-8</v>
      </c>
      <c r="CD97" s="5">
        <f t="shared" si="186"/>
        <v>1.0739521168320271E-6</v>
      </c>
      <c r="CG97" s="571">
        <f t="shared" si="170"/>
        <v>-50</v>
      </c>
      <c r="CH97">
        <f t="shared" si="171"/>
        <v>-50</v>
      </c>
    </row>
    <row r="98" spans="5:86" x14ac:dyDescent="0.25">
      <c r="E98" s="174">
        <v>93</v>
      </c>
      <c r="F98" s="221">
        <f t="shared" si="172"/>
        <v>9.3000000000000013E-2</v>
      </c>
      <c r="G98" s="221"/>
      <c r="H98" s="221">
        <f t="shared" si="120"/>
        <v>1.3950000000000002</v>
      </c>
      <c r="I98" s="551">
        <f t="shared" si="121"/>
        <v>24</v>
      </c>
      <c r="J98" s="176">
        <f t="shared" si="122"/>
        <v>695386.58000000007</v>
      </c>
      <c r="K98" s="451">
        <f t="shared" si="123"/>
        <v>695410.58000000007</v>
      </c>
      <c r="L98" s="451"/>
      <c r="M98" s="221">
        <f t="shared" si="124"/>
        <v>0.99996548801428931</v>
      </c>
      <c r="N98" s="176">
        <f t="shared" si="125"/>
        <v>8.0997204529157436</v>
      </c>
      <c r="O98" s="176">
        <f t="shared" si="173"/>
        <v>1.3950000000000002</v>
      </c>
      <c r="P98" s="221">
        <f t="shared" si="126"/>
        <v>0.5399813635277162</v>
      </c>
      <c r="Q98" s="221">
        <f t="shared" si="127"/>
        <v>15</v>
      </c>
      <c r="R98" s="221">
        <f t="shared" si="128"/>
        <v>0.59997929280857354</v>
      </c>
      <c r="S98" s="176">
        <f t="shared" si="129"/>
        <v>87.096250226506925</v>
      </c>
      <c r="T98" s="542">
        <f t="shared" si="130"/>
        <v>15</v>
      </c>
      <c r="U98" s="221">
        <f t="shared" si="131"/>
        <v>0.12917112461867375</v>
      </c>
      <c r="V98" s="221">
        <f t="shared" si="132"/>
        <v>0.16146390577334221</v>
      </c>
      <c r="W98" s="221">
        <f t="shared" si="133"/>
        <v>5.5726323314439176E-6</v>
      </c>
      <c r="X98" s="201">
        <f t="shared" si="134"/>
        <v>350</v>
      </c>
      <c r="Y98" s="451">
        <f t="shared" si="174"/>
        <v>350</v>
      </c>
      <c r="AA98" s="221">
        <f t="shared" si="135"/>
        <v>2.2856354011755182</v>
      </c>
      <c r="AB98" s="177">
        <f t="shared" si="136"/>
        <v>9.8605673459021225E-5</v>
      </c>
      <c r="AC98" s="177">
        <f t="shared" si="137"/>
        <v>1.8020156525828219</v>
      </c>
      <c r="AD98" s="177"/>
      <c r="AE98" s="177">
        <f t="shared" si="138"/>
        <v>6.4712206554230591E-6</v>
      </c>
      <c r="AF98" s="555">
        <f t="shared" si="139"/>
        <v>4193.9555555555571</v>
      </c>
      <c r="AG98" s="538">
        <f t="shared" si="140"/>
        <v>7.7611695137976321E-3</v>
      </c>
      <c r="AI98" s="177">
        <f t="shared" si="141"/>
        <v>0.54732828719905757</v>
      </c>
      <c r="AJ98" s="177">
        <f t="shared" si="142"/>
        <v>0.54732828719905757</v>
      </c>
      <c r="AK98" s="177">
        <f t="shared" si="143"/>
        <v>1.4648855247993717</v>
      </c>
      <c r="AM98" s="555">
        <f t="shared" si="144"/>
        <v>93.000000000000014</v>
      </c>
      <c r="AN98" s="469">
        <f t="shared" si="145"/>
        <v>350</v>
      </c>
      <c r="AP98">
        <f t="shared" si="146"/>
        <v>93.000000000000014</v>
      </c>
      <c r="AQ98">
        <f t="shared" si="147"/>
        <v>350</v>
      </c>
      <c r="AS98" s="5">
        <f t="shared" si="175"/>
        <v>2.8571428571428572</v>
      </c>
      <c r="AT98" s="5">
        <f t="shared" si="148"/>
        <v>0.68416035899882188</v>
      </c>
      <c r="AU98" s="5">
        <f t="shared" si="176"/>
        <v>2.1729824981440355</v>
      </c>
      <c r="AV98" s="5">
        <f t="shared" si="149"/>
        <v>2.3612547449465772E-5</v>
      </c>
      <c r="AW98" s="177">
        <f t="shared" si="177"/>
        <v>0.23945612564958765</v>
      </c>
      <c r="AX98" s="177">
        <f t="shared" si="150"/>
        <v>1.5727333333333338</v>
      </c>
      <c r="AY98" s="177">
        <f t="shared" si="151"/>
        <v>9509.4155041410941</v>
      </c>
      <c r="AZ98" s="177">
        <f t="shared" si="178"/>
        <v>1.6538696123315368E-4</v>
      </c>
      <c r="BA98" s="469">
        <f t="shared" si="152"/>
        <v>3.7498705811702195</v>
      </c>
      <c r="BB98" s="469">
        <f t="shared" si="153"/>
        <v>1.6703862224127435</v>
      </c>
      <c r="BC98" s="5">
        <f t="shared" si="154"/>
        <v>0.11694871083761302</v>
      </c>
      <c r="BD98" s="469">
        <f t="shared" si="155"/>
        <v>14.227595300513565</v>
      </c>
      <c r="BE98" s="5"/>
      <c r="BF98" s="177">
        <f t="shared" si="179"/>
        <v>0.15463230954196885</v>
      </c>
      <c r="BG98" s="177">
        <f t="shared" si="156"/>
        <v>12591.024117297666</v>
      </c>
      <c r="BH98" s="177"/>
      <c r="BI98" s="538">
        <f t="shared" si="157"/>
        <v>8.3689029039991439E-3</v>
      </c>
      <c r="BJ98" s="538">
        <f t="shared" si="158"/>
        <v>666.08129289013073</v>
      </c>
      <c r="BK98" s="538">
        <f t="shared" si="159"/>
        <v>4.3749999999999995E-3</v>
      </c>
      <c r="BL98" s="538">
        <f t="shared" si="160"/>
        <v>8462927.8085788898</v>
      </c>
      <c r="BM98">
        <f t="shared" si="161"/>
        <v>6.96E-3</v>
      </c>
      <c r="BN98">
        <f t="shared" si="162"/>
        <v>1.6625000000000001E-5</v>
      </c>
      <c r="BO98" s="538">
        <f t="shared" si="163"/>
        <v>8476682.4389276616</v>
      </c>
      <c r="BP98" s="469">
        <f t="shared" si="180"/>
        <v>8476682438.9276619</v>
      </c>
      <c r="BQ98" s="538">
        <f t="shared" si="164"/>
        <v>121119890.70493625</v>
      </c>
      <c r="BR98" s="538"/>
      <c r="BT98" s="469">
        <f t="shared" si="181"/>
        <v>121119890704.93625</v>
      </c>
      <c r="BU98" s="538">
        <f t="shared" si="165"/>
        <v>2.3911151154283276E-3</v>
      </c>
      <c r="BV98" s="538">
        <f t="shared" si="166"/>
        <v>4756016.6496711439</v>
      </c>
      <c r="BW98" s="538">
        <f t="shared" si="167"/>
        <v>0</v>
      </c>
      <c r="BX98" s="538">
        <f t="shared" si="168"/>
        <v>-14.000036795594456</v>
      </c>
      <c r="BY98" s="538">
        <f t="shared" si="169"/>
        <v>5.2424444444444463E-3</v>
      </c>
      <c r="BZ98" s="469">
        <f t="shared" si="182"/>
        <v>-13994.794351150011</v>
      </c>
      <c r="CA98" s="177">
        <f t="shared" si="183"/>
        <v>129596559.14906956</v>
      </c>
      <c r="CB98" s="5">
        <f t="shared" si="184"/>
        <v>1.3950000000000002</v>
      </c>
      <c r="CC98" s="177">
        <f t="shared" si="185"/>
        <v>1.0764174559444637E-8</v>
      </c>
      <c r="CD98" s="5">
        <f t="shared" si="186"/>
        <v>1.0764174559444636E-6</v>
      </c>
      <c r="CG98" s="571">
        <f t="shared" si="170"/>
        <v>-50</v>
      </c>
      <c r="CH98">
        <f t="shared" si="171"/>
        <v>-50</v>
      </c>
    </row>
    <row r="99" spans="5:86" x14ac:dyDescent="0.25">
      <c r="E99" s="174">
        <v>94</v>
      </c>
      <c r="F99" s="221">
        <f t="shared" si="172"/>
        <v>9.4E-2</v>
      </c>
      <c r="G99" s="221"/>
      <c r="H99" s="221">
        <f t="shared" si="120"/>
        <v>1.41</v>
      </c>
      <c r="I99" s="551">
        <f t="shared" si="121"/>
        <v>24</v>
      </c>
      <c r="J99" s="176">
        <f t="shared" si="122"/>
        <v>695386.58000000007</v>
      </c>
      <c r="K99" s="451">
        <f t="shared" si="123"/>
        <v>695410.58000000007</v>
      </c>
      <c r="L99" s="451"/>
      <c r="M99" s="221">
        <f t="shared" si="124"/>
        <v>0.99996548801428931</v>
      </c>
      <c r="N99" s="176">
        <f t="shared" si="125"/>
        <v>8.0997204529157436</v>
      </c>
      <c r="O99" s="176">
        <f t="shared" si="173"/>
        <v>1.41</v>
      </c>
      <c r="P99" s="221">
        <f t="shared" si="126"/>
        <v>0.5399813635277162</v>
      </c>
      <c r="Q99" s="221">
        <f t="shared" si="127"/>
        <v>15</v>
      </c>
      <c r="R99" s="221">
        <f t="shared" si="128"/>
        <v>0.59997929280857354</v>
      </c>
      <c r="S99" s="176">
        <f t="shared" si="129"/>
        <v>86.169688813111165</v>
      </c>
      <c r="T99" s="542">
        <f t="shared" si="130"/>
        <v>15</v>
      </c>
      <c r="U99" s="221">
        <f t="shared" si="131"/>
        <v>0.13056006144253043</v>
      </c>
      <c r="V99" s="221">
        <f t="shared" si="132"/>
        <v>0.16320007680316304</v>
      </c>
      <c r="W99" s="221">
        <f t="shared" si="133"/>
        <v>5.6325531092013771E-6</v>
      </c>
      <c r="X99" s="201">
        <f t="shared" si="134"/>
        <v>350</v>
      </c>
      <c r="Y99" s="451">
        <f t="shared" si="174"/>
        <v>350</v>
      </c>
      <c r="AA99" s="221">
        <f t="shared" si="135"/>
        <v>2.2856354011755182</v>
      </c>
      <c r="AB99" s="177">
        <f t="shared" si="136"/>
        <v>9.8605673459021225E-5</v>
      </c>
      <c r="AC99" s="177">
        <f t="shared" si="137"/>
        <v>1.8020156525828219</v>
      </c>
      <c r="AD99" s="177"/>
      <c r="AE99" s="177">
        <f t="shared" si="138"/>
        <v>6.4712206554230591E-6</v>
      </c>
      <c r="AF99" s="555">
        <f t="shared" si="139"/>
        <v>4239.0518518518529</v>
      </c>
      <c r="AG99" s="538">
        <f t="shared" si="140"/>
        <v>7.7611695137976321E-3</v>
      </c>
      <c r="AI99" s="177">
        <f t="shared" si="141"/>
        <v>0.55026304436098372</v>
      </c>
      <c r="AJ99" s="177">
        <f t="shared" si="142"/>
        <v>0.55026304436098372</v>
      </c>
      <c r="AK99" s="177">
        <f t="shared" si="143"/>
        <v>1.4668420295739892</v>
      </c>
      <c r="AM99" s="555">
        <f t="shared" si="144"/>
        <v>94</v>
      </c>
      <c r="AN99" s="469">
        <f t="shared" si="145"/>
        <v>350</v>
      </c>
      <c r="AP99">
        <f t="shared" si="146"/>
        <v>94</v>
      </c>
      <c r="AQ99">
        <f t="shared" si="147"/>
        <v>350</v>
      </c>
      <c r="AS99" s="5">
        <f t="shared" si="175"/>
        <v>2.8571428571428572</v>
      </c>
      <c r="AT99" s="5">
        <f t="shared" si="148"/>
        <v>0.6878288054512296</v>
      </c>
      <c r="AU99" s="5">
        <f t="shared" si="176"/>
        <v>2.1693140516916278</v>
      </c>
      <c r="AV99" s="5">
        <f t="shared" si="149"/>
        <v>2.3739157190565151E-5</v>
      </c>
      <c r="AW99" s="177">
        <f t="shared" si="177"/>
        <v>0.24074008190793036</v>
      </c>
      <c r="AX99" s="177">
        <f t="shared" si="150"/>
        <v>1.589644444444444</v>
      </c>
      <c r="AY99" s="177">
        <f t="shared" si="151"/>
        <v>9544.2647409785659</v>
      </c>
      <c r="AZ99" s="177">
        <f t="shared" si="178"/>
        <v>1.6655494033178495E-4</v>
      </c>
      <c r="BA99" s="469">
        <f t="shared" si="152"/>
        <v>3.7498705811702195</v>
      </c>
      <c r="BB99" s="469">
        <f t="shared" si="153"/>
        <v>1.7034693792622266</v>
      </c>
      <c r="BC99" s="5">
        <f t="shared" si="154"/>
        <v>0.11800666716378065</v>
      </c>
      <c r="BD99" s="469">
        <f t="shared" si="155"/>
        <v>14.356633392987014</v>
      </c>
      <c r="BE99" s="5"/>
      <c r="BF99" s="177">
        <f t="shared" si="179"/>
        <v>0.15587767563875959</v>
      </c>
      <c r="BG99" s="177">
        <f t="shared" si="156"/>
        <v>12647.847159839899</v>
      </c>
      <c r="BH99" s="177"/>
      <c r="BI99" s="538">
        <f t="shared" si="157"/>
        <v>8.5042474168898208E-3</v>
      </c>
      <c r="BJ99" s="538">
        <f t="shared" si="158"/>
        <v>669.65279995536559</v>
      </c>
      <c r="BK99" s="538">
        <f t="shared" si="159"/>
        <v>4.3749999999999995E-3</v>
      </c>
      <c r="BL99" s="538">
        <f t="shared" si="160"/>
        <v>8462927.8085788898</v>
      </c>
      <c r="BM99">
        <f t="shared" si="161"/>
        <v>6.96E-3</v>
      </c>
      <c r="BN99">
        <f t="shared" si="162"/>
        <v>1.6625000000000001E-5</v>
      </c>
      <c r="BO99" s="538">
        <f t="shared" si="163"/>
        <v>8476898.0206113234</v>
      </c>
      <c r="BP99" s="469">
        <f t="shared" si="180"/>
        <v>8476898020.6113234</v>
      </c>
      <c r="BQ99" s="538">
        <f t="shared" si="164"/>
        <v>122215580.889835</v>
      </c>
      <c r="BR99" s="538"/>
      <c r="BT99" s="469">
        <f t="shared" si="181"/>
        <v>122215580889.83501</v>
      </c>
      <c r="BU99" s="538">
        <f t="shared" si="165"/>
        <v>2.4297849762542345E-3</v>
      </c>
      <c r="BV99" s="538">
        <f t="shared" si="166"/>
        <v>4799041.1333601056</v>
      </c>
      <c r="BW99" s="538">
        <f t="shared" si="167"/>
        <v>0</v>
      </c>
      <c r="BX99" s="538">
        <f t="shared" si="168"/>
        <v>-14.00003646571281</v>
      </c>
      <c r="BY99" s="538">
        <f t="shared" si="169"/>
        <v>5.2988148148148152E-3</v>
      </c>
      <c r="BZ99" s="469">
        <f t="shared" si="182"/>
        <v>-13994.737650897996</v>
      </c>
      <c r="CA99" s="177">
        <f t="shared" si="183"/>
        <v>130692464.91570866</v>
      </c>
      <c r="CB99" s="5">
        <f t="shared" si="184"/>
        <v>1.41</v>
      </c>
      <c r="CC99" s="177">
        <f t="shared" si="185"/>
        <v>1.0788686139612909E-8</v>
      </c>
      <c r="CD99" s="5">
        <f t="shared" si="186"/>
        <v>1.0788686139612908E-6</v>
      </c>
      <c r="CG99" s="571">
        <f t="shared" si="170"/>
        <v>-50</v>
      </c>
      <c r="CH99">
        <f t="shared" si="171"/>
        <v>-50</v>
      </c>
    </row>
    <row r="100" spans="5:86" x14ac:dyDescent="0.25">
      <c r="E100" s="174">
        <v>95</v>
      </c>
      <c r="F100" s="221">
        <f t="shared" si="172"/>
        <v>9.5000000000000001E-2</v>
      </c>
      <c r="G100" s="221"/>
      <c r="H100" s="221">
        <f t="shared" si="120"/>
        <v>1.425</v>
      </c>
      <c r="I100" s="551">
        <f t="shared" si="121"/>
        <v>24</v>
      </c>
      <c r="J100" s="176">
        <f t="shared" si="122"/>
        <v>695386.58000000007</v>
      </c>
      <c r="K100" s="451">
        <f t="shared" si="123"/>
        <v>695410.58000000007</v>
      </c>
      <c r="L100" s="451"/>
      <c r="M100" s="221">
        <f t="shared" si="124"/>
        <v>0.99996548801428931</v>
      </c>
      <c r="N100" s="176">
        <f t="shared" si="125"/>
        <v>8.0997204529157436</v>
      </c>
      <c r="O100" s="176">
        <f t="shared" si="173"/>
        <v>1.425</v>
      </c>
      <c r="P100" s="221">
        <f t="shared" si="126"/>
        <v>0.5399813635277162</v>
      </c>
      <c r="Q100" s="221">
        <f t="shared" si="127"/>
        <v>15</v>
      </c>
      <c r="R100" s="221">
        <f t="shared" si="128"/>
        <v>0.59997929280857354</v>
      </c>
      <c r="S100" s="176">
        <f t="shared" si="129"/>
        <v>85.262633956084898</v>
      </c>
      <c r="T100" s="542">
        <f t="shared" si="130"/>
        <v>15</v>
      </c>
      <c r="U100" s="221">
        <f t="shared" si="131"/>
        <v>0.13194899826638715</v>
      </c>
      <c r="V100" s="221">
        <f t="shared" si="132"/>
        <v>0.16493624783298394</v>
      </c>
      <c r="W100" s="221">
        <f t="shared" si="133"/>
        <v>5.6924738869588392E-6</v>
      </c>
      <c r="X100" s="201">
        <f t="shared" si="134"/>
        <v>350</v>
      </c>
      <c r="Y100" s="451">
        <f t="shared" si="174"/>
        <v>350</v>
      </c>
      <c r="AA100" s="221">
        <f t="shared" si="135"/>
        <v>2.2856354011755182</v>
      </c>
      <c r="AB100" s="177">
        <f t="shared" si="136"/>
        <v>9.8605673459021225E-5</v>
      </c>
      <c r="AC100" s="177">
        <f t="shared" si="137"/>
        <v>1.8020156525828219</v>
      </c>
      <c r="AD100" s="177"/>
      <c r="AE100" s="177">
        <f t="shared" si="138"/>
        <v>6.4712206554230591E-6</v>
      </c>
      <c r="AF100" s="555">
        <f t="shared" si="139"/>
        <v>4284.1481481481496</v>
      </c>
      <c r="AG100" s="538">
        <f t="shared" si="140"/>
        <v>7.7611695137976321E-3</v>
      </c>
      <c r="AI100" s="177">
        <f t="shared" si="141"/>
        <v>0.55318223218988338</v>
      </c>
      <c r="AJ100" s="177">
        <f t="shared" si="142"/>
        <v>0.55318223218988338</v>
      </c>
      <c r="AK100" s="177">
        <f t="shared" si="143"/>
        <v>1.4687881547932555</v>
      </c>
      <c r="AM100" s="555">
        <f t="shared" si="144"/>
        <v>95</v>
      </c>
      <c r="AN100" s="469">
        <f t="shared" si="145"/>
        <v>350</v>
      </c>
      <c r="AP100">
        <f t="shared" si="146"/>
        <v>95</v>
      </c>
      <c r="AQ100">
        <f t="shared" si="147"/>
        <v>350</v>
      </c>
      <c r="AS100" s="5">
        <f t="shared" si="175"/>
        <v>2.8571428571428572</v>
      </c>
      <c r="AT100" s="5">
        <f t="shared" si="148"/>
        <v>0.69147779023735412</v>
      </c>
      <c r="AU100" s="5">
        <f t="shared" si="176"/>
        <v>2.1656650669055031</v>
      </c>
      <c r="AV100" s="5">
        <f t="shared" si="149"/>
        <v>2.386509524773472E-5</v>
      </c>
      <c r="AW100" s="177">
        <f t="shared" si="177"/>
        <v>0.24201722658307392</v>
      </c>
      <c r="AX100" s="177">
        <f t="shared" si="150"/>
        <v>1.606555555555556</v>
      </c>
      <c r="AY100" s="177">
        <f t="shared" si="151"/>
        <v>9578.7583041877169</v>
      </c>
      <c r="AZ100" s="177">
        <f t="shared" si="178"/>
        <v>1.6772064859943165E-4</v>
      </c>
      <c r="BA100" s="469">
        <f t="shared" si="152"/>
        <v>3.7498705811702195</v>
      </c>
      <c r="BB100" s="469">
        <f t="shared" si="153"/>
        <v>1.7368742811047526</v>
      </c>
      <c r="BC100" s="5">
        <f t="shared" si="154"/>
        <v>0.11906144754399466</v>
      </c>
      <c r="BD100" s="469">
        <f t="shared" si="155"/>
        <v>14.485290371946027</v>
      </c>
      <c r="BE100" s="5"/>
      <c r="BF100" s="177">
        <f t="shared" si="179"/>
        <v>0.15711973392212003</v>
      </c>
      <c r="BG100" s="177">
        <f t="shared" si="156"/>
        <v>12704.246611707611</v>
      </c>
      <c r="BH100" s="177"/>
      <c r="BI100" s="538">
        <f t="shared" si="157"/>
        <v>8.6403137757152266E-3</v>
      </c>
      <c r="BJ100" s="538">
        <f t="shared" si="158"/>
        <v>673.20535963250768</v>
      </c>
      <c r="BK100" s="538">
        <f t="shared" si="159"/>
        <v>4.3749999999999995E-3</v>
      </c>
      <c r="BL100" s="538">
        <f t="shared" si="160"/>
        <v>8462927.8085788898</v>
      </c>
      <c r="BM100">
        <f t="shared" si="161"/>
        <v>6.96E-3</v>
      </c>
      <c r="BN100">
        <f t="shared" si="162"/>
        <v>1.6625000000000001E-5</v>
      </c>
      <c r="BO100" s="538">
        <f t="shared" si="163"/>
        <v>8477114.7248914577</v>
      </c>
      <c r="BP100" s="469">
        <f t="shared" si="180"/>
        <v>8477114724.8914576</v>
      </c>
      <c r="BQ100" s="538">
        <f t="shared" si="164"/>
        <v>123307981.8531259</v>
      </c>
      <c r="BR100" s="538"/>
      <c r="BT100" s="469">
        <f t="shared" si="181"/>
        <v>123307981853.1259</v>
      </c>
      <c r="BU100" s="538">
        <f t="shared" si="165"/>
        <v>2.4686610787757798E-3</v>
      </c>
      <c r="BV100" s="538">
        <f t="shared" si="166"/>
        <v>4841936.4591325298</v>
      </c>
      <c r="BW100" s="538">
        <f t="shared" si="167"/>
        <v>0</v>
      </c>
      <c r="BX100" s="538">
        <f t="shared" si="168"/>
        <v>-14.000036142657628</v>
      </c>
      <c r="BY100" s="538">
        <f t="shared" si="169"/>
        <v>5.3551851851851868E-3</v>
      </c>
      <c r="BZ100" s="469">
        <f t="shared" si="182"/>
        <v>-13994.680957472441</v>
      </c>
      <c r="CA100" s="177">
        <f t="shared" si="183"/>
        <v>131785082.5833364</v>
      </c>
      <c r="CB100" s="5">
        <f t="shared" si="184"/>
        <v>1.425</v>
      </c>
      <c r="CC100" s="177">
        <f t="shared" si="185"/>
        <v>1.0813059844540966E-8</v>
      </c>
      <c r="CD100" s="5">
        <f t="shared" si="186"/>
        <v>1.0813059844540965E-6</v>
      </c>
      <c r="CG100" s="571">
        <f t="shared" si="170"/>
        <v>-50</v>
      </c>
      <c r="CH100">
        <f t="shared" si="171"/>
        <v>-50</v>
      </c>
    </row>
    <row r="101" spans="5:86" x14ac:dyDescent="0.25">
      <c r="E101" s="174">
        <v>96</v>
      </c>
      <c r="F101" s="221">
        <f t="shared" si="172"/>
        <v>9.6000000000000002E-2</v>
      </c>
      <c r="G101" s="221"/>
      <c r="H101" s="221">
        <f t="shared" ref="H101:H105" si="187">F101*Vout</f>
        <v>1.44</v>
      </c>
      <c r="I101" s="551">
        <f t="shared" si="121"/>
        <v>24</v>
      </c>
      <c r="J101" s="176">
        <f t="shared" si="122"/>
        <v>695386.58000000007</v>
      </c>
      <c r="K101" s="451">
        <f t="shared" si="123"/>
        <v>695410.58000000007</v>
      </c>
      <c r="L101" s="451"/>
      <c r="M101" s="221">
        <f t="shared" si="124"/>
        <v>0.99996548801428931</v>
      </c>
      <c r="N101" s="176">
        <f t="shared" ref="N101:N105" si="188">M101*I101*Isw_max*0.5*Efficiency</f>
        <v>8.0997204529157436</v>
      </c>
      <c r="O101" s="176">
        <f t="shared" si="173"/>
        <v>1.44</v>
      </c>
      <c r="P101" s="221">
        <f t="shared" ref="P101:P105" si="189">N101/Vout</f>
        <v>0.5399813635277162</v>
      </c>
      <c r="Q101" s="221">
        <f t="shared" si="127"/>
        <v>15</v>
      </c>
      <c r="R101" s="221">
        <f t="shared" ref="R101:R105" si="190">Isw_max/2*I101*Nps*(Q101+Vfwd1)/Q101/(I101+Nps*(Q101+Vfwd1))</f>
        <v>0.59997929280857354</v>
      </c>
      <c r="S101" s="176">
        <f t="shared" si="129"/>
        <v>84.374476075541665</v>
      </c>
      <c r="T101" s="542">
        <f t="shared" ref="T101:T105" si="191">MIN(Vout, S101)</f>
        <v>15</v>
      </c>
      <c r="U101" s="221">
        <f t="shared" si="131"/>
        <v>0.13333793509024386</v>
      </c>
      <c r="V101" s="221">
        <f t="shared" ref="V101:V105" si="192">L*U101/I101*1000000</f>
        <v>0.16667241886280484</v>
      </c>
      <c r="W101" s="221">
        <f t="shared" si="133"/>
        <v>5.7523946647163013E-6</v>
      </c>
      <c r="X101" s="201">
        <f t="shared" si="134"/>
        <v>350</v>
      </c>
      <c r="Y101" s="451">
        <f t="shared" si="174"/>
        <v>350</v>
      </c>
      <c r="AA101" s="221">
        <f t="shared" si="135"/>
        <v>2.2856354011755182</v>
      </c>
      <c r="AB101" s="177">
        <f t="shared" ref="AB101:AB105" si="193">L*AA101/J101*1000000</f>
        <v>9.8605673459021225E-5</v>
      </c>
      <c r="AC101" s="177">
        <f t="shared" ref="AC101:AC105" si="194">0.5*AB101*AA101*Nps*X101/1000</f>
        <v>1.8020156525828219</v>
      </c>
      <c r="AD101" s="177"/>
      <c r="AE101" s="177">
        <f t="shared" si="138"/>
        <v>6.4712206554230591E-6</v>
      </c>
      <c r="AF101" s="555">
        <f t="shared" ref="AF101:AF105" si="195">MAX(12, F101/(0.5*AE101/1000000*Isw_min*Nps)/1000)</f>
        <v>4329.2444444444463</v>
      </c>
      <c r="AG101" s="538">
        <f t="shared" si="140"/>
        <v>7.7611695137976321E-3</v>
      </c>
      <c r="AI101" s="177">
        <f t="shared" si="141"/>
        <v>0.5560860958806163</v>
      </c>
      <c r="AJ101" s="177">
        <f t="shared" ref="AJ101:AJ105" si="196">MAX(IF(F101&gt;AC101,U101,AI101),Isw_min)</f>
        <v>0.5560860958806163</v>
      </c>
      <c r="AK101" s="177">
        <f t="shared" ref="AK101:AK105" si="197">IF(F101&gt;AG101, (AJ101-Isw_min)/1.2*0.8+1.2, AF101*0.2/350+1)</f>
        <v>1.4707240639204109</v>
      </c>
      <c r="AM101" s="555">
        <f t="shared" si="144"/>
        <v>96</v>
      </c>
      <c r="AN101" s="469">
        <f t="shared" si="145"/>
        <v>350</v>
      </c>
      <c r="AP101">
        <f t="shared" si="146"/>
        <v>96</v>
      </c>
      <c r="AQ101">
        <f t="shared" si="147"/>
        <v>350</v>
      </c>
      <c r="AS101" s="5">
        <f t="shared" si="175"/>
        <v>2.8571428571428572</v>
      </c>
      <c r="AT101" s="5">
        <f t="shared" si="148"/>
        <v>0.6951076198507703</v>
      </c>
      <c r="AU101" s="5">
        <f t="shared" si="176"/>
        <v>2.1620352372920868</v>
      </c>
      <c r="AV101" s="5">
        <f t="shared" si="149"/>
        <v>2.3990372199041413E-5</v>
      </c>
      <c r="AW101" s="177">
        <f t="shared" si="177"/>
        <v>0.2432876669477696</v>
      </c>
      <c r="AX101" s="177">
        <f t="shared" si="150"/>
        <v>1.6234666666666666</v>
      </c>
      <c r="AY101" s="177">
        <f t="shared" si="151"/>
        <v>9612.9017951225178</v>
      </c>
      <c r="AZ101" s="177">
        <f t="shared" si="178"/>
        <v>1.6888414146604472E-4</v>
      </c>
      <c r="BA101" s="469">
        <f t="shared" si="152"/>
        <v>3.7498705811702195</v>
      </c>
      <c r="BB101" s="469">
        <f t="shared" si="153"/>
        <v>1.7706009279403214</v>
      </c>
      <c r="BC101" s="5">
        <f t="shared" si="154"/>
        <v>0.12011306873844925</v>
      </c>
      <c r="BD101" s="469">
        <f t="shared" si="155"/>
        <v>14.613568248613912</v>
      </c>
      <c r="BE101" s="5"/>
      <c r="BF101" s="177">
        <f t="shared" si="179"/>
        <v>0.15835852786030469</v>
      </c>
      <c r="BG101" s="177">
        <f t="shared" si="156"/>
        <v>12760.228979899901</v>
      </c>
      <c r="BH101" s="177"/>
      <c r="BI101" s="538">
        <f t="shared" si="157"/>
        <v>8.7770981711290125E-3</v>
      </c>
      <c r="BJ101" s="538">
        <f t="shared" si="158"/>
        <v>676.73927031598123</v>
      </c>
      <c r="BK101" s="538">
        <f t="shared" si="159"/>
        <v>4.3749999999999995E-3</v>
      </c>
      <c r="BL101" s="538">
        <f t="shared" si="160"/>
        <v>8462927.8085788898</v>
      </c>
      <c r="BM101">
        <f t="shared" si="161"/>
        <v>6.96E-3</v>
      </c>
      <c r="BN101">
        <f t="shared" si="162"/>
        <v>1.6625000000000001E-5</v>
      </c>
      <c r="BO101" s="538">
        <f t="shared" ref="BO101:BO105" si="198">(BJ101+BK101+BL101+BM101+BN101+BI101*(1+RdsonTC*(Ta-25)))/(1-BI101*RdsonTC*ThetaJA)</f>
        <v>8477332.5462706089</v>
      </c>
      <c r="BP101" s="469">
        <f t="shared" si="180"/>
        <v>8477332546.2706089</v>
      </c>
      <c r="BQ101" s="538">
        <f t="shared" si="164"/>
        <v>124397110.9527846</v>
      </c>
      <c r="BR101" s="538"/>
      <c r="BT101" s="469">
        <f t="shared" si="181"/>
        <v>124397110952.78459</v>
      </c>
      <c r="BU101" s="538">
        <f t="shared" si="165"/>
        <v>2.5077423346082897E-3</v>
      </c>
      <c r="BV101" s="538">
        <f t="shared" si="166"/>
        <v>4884703.3085843176</v>
      </c>
      <c r="BW101" s="538">
        <f t="shared" si="167"/>
        <v>0</v>
      </c>
      <c r="BX101" s="538">
        <f t="shared" ref="BX101:BX105" si="199">(BW101+(BU101+BV101)*(1+Ltc*(Ta-25)))/(1-(BU101+BV101)*Ltc*ThetaCa)</f>
        <v>-14.00003582621844</v>
      </c>
      <c r="BY101" s="538">
        <f t="shared" si="169"/>
        <v>5.411555555555554E-3</v>
      </c>
      <c r="BZ101" s="469">
        <f t="shared" si="182"/>
        <v>-13994.624270662884</v>
      </c>
      <c r="CA101" s="177">
        <f t="shared" si="183"/>
        <v>132874429.50443093</v>
      </c>
      <c r="CB101" s="5">
        <f t="shared" si="184"/>
        <v>1.44</v>
      </c>
      <c r="CC101" s="177">
        <f t="shared" si="185"/>
        <v>1.0837299469618941E-8</v>
      </c>
      <c r="CD101" s="5">
        <f t="shared" si="186"/>
        <v>1.0837299469618941E-6</v>
      </c>
      <c r="CG101" s="571">
        <f t="shared" si="170"/>
        <v>-50</v>
      </c>
      <c r="CH101">
        <f t="shared" si="171"/>
        <v>-50</v>
      </c>
    </row>
    <row r="102" spans="5:86" x14ac:dyDescent="0.25">
      <c r="E102" s="174">
        <v>97</v>
      </c>
      <c r="F102" s="221">
        <f t="shared" ref="F102:F105" si="200">IF(PLOT_TYPE=1, E102/100*Iout_max, min_I*EXP(N102*rr/100))</f>
        <v>9.7000000000000003E-2</v>
      </c>
      <c r="G102" s="221"/>
      <c r="H102" s="221">
        <f t="shared" si="187"/>
        <v>1.4550000000000001</v>
      </c>
      <c r="I102" s="551">
        <f t="shared" si="121"/>
        <v>24</v>
      </c>
      <c r="J102" s="176">
        <f t="shared" si="122"/>
        <v>695386.58000000007</v>
      </c>
      <c r="K102" s="451">
        <f t="shared" si="123"/>
        <v>695410.58000000007</v>
      </c>
      <c r="L102" s="451"/>
      <c r="M102" s="221">
        <f t="shared" si="124"/>
        <v>0.99996548801428931</v>
      </c>
      <c r="N102" s="176">
        <f t="shared" si="188"/>
        <v>8.0997204529157436</v>
      </c>
      <c r="O102" s="176">
        <f t="shared" si="173"/>
        <v>1.4550000000000001</v>
      </c>
      <c r="P102" s="221">
        <f t="shared" si="189"/>
        <v>0.5399813635277162</v>
      </c>
      <c r="Q102" s="221">
        <f t="shared" si="127"/>
        <v>15</v>
      </c>
      <c r="R102" s="221">
        <f t="shared" si="190"/>
        <v>0.59997929280857354</v>
      </c>
      <c r="S102" s="176">
        <f t="shared" si="129"/>
        <v>83.50463072890976</v>
      </c>
      <c r="T102" s="542">
        <f t="shared" si="191"/>
        <v>15</v>
      </c>
      <c r="U102" s="221">
        <f t="shared" si="131"/>
        <v>0.13472687191410057</v>
      </c>
      <c r="V102" s="221">
        <f t="shared" si="192"/>
        <v>0.16840858989262572</v>
      </c>
      <c r="W102" s="221">
        <f t="shared" si="133"/>
        <v>5.8123154424737626E-6</v>
      </c>
      <c r="X102" s="201">
        <f t="shared" si="134"/>
        <v>350</v>
      </c>
      <c r="Y102" s="451">
        <f t="shared" si="174"/>
        <v>350</v>
      </c>
      <c r="AA102" s="221">
        <f t="shared" si="135"/>
        <v>2.2856354011755182</v>
      </c>
      <c r="AB102" s="177">
        <f t="shared" si="193"/>
        <v>9.8605673459021225E-5</v>
      </c>
      <c r="AC102" s="177">
        <f t="shared" si="194"/>
        <v>1.8020156525828219</v>
      </c>
      <c r="AD102" s="177"/>
      <c r="AE102" s="177">
        <f t="shared" si="138"/>
        <v>6.4712206554230591E-6</v>
      </c>
      <c r="AF102" s="555">
        <f t="shared" si="195"/>
        <v>4374.3407407407412</v>
      </c>
      <c r="AG102" s="538">
        <f t="shared" si="140"/>
        <v>7.7611695137976321E-3</v>
      </c>
      <c r="AI102" s="177">
        <f t="shared" si="141"/>
        <v>0.55897487425904036</v>
      </c>
      <c r="AJ102" s="177">
        <f t="shared" si="196"/>
        <v>0.55897487425904036</v>
      </c>
      <c r="AK102" s="177">
        <f t="shared" si="197"/>
        <v>1.4726499161726936</v>
      </c>
      <c r="AM102" s="555">
        <f t="shared" si="144"/>
        <v>97</v>
      </c>
      <c r="AN102" s="469">
        <f t="shared" si="145"/>
        <v>350</v>
      </c>
      <c r="AP102">
        <f t="shared" si="146"/>
        <v>97</v>
      </c>
      <c r="AQ102">
        <f t="shared" si="147"/>
        <v>350</v>
      </c>
      <c r="AS102" s="5">
        <f t="shared" si="175"/>
        <v>2.8571428571428572</v>
      </c>
      <c r="AT102" s="5">
        <f t="shared" si="148"/>
        <v>0.69871859282380044</v>
      </c>
      <c r="AU102" s="5">
        <f t="shared" si="176"/>
        <v>2.1584242643190565</v>
      </c>
      <c r="AV102" s="5">
        <f t="shared" si="149"/>
        <v>2.4114998347784061E-5</v>
      </c>
      <c r="AW102" s="177">
        <f t="shared" si="177"/>
        <v>0.24455150748833016</v>
      </c>
      <c r="AX102" s="177">
        <f t="shared" si="150"/>
        <v>1.6403777777777775</v>
      </c>
      <c r="AY102" s="177">
        <f t="shared" si="151"/>
        <v>9646.7006696402786</v>
      </c>
      <c r="AZ102" s="177">
        <f t="shared" si="178"/>
        <v>1.7004547295017774E-4</v>
      </c>
      <c r="BA102" s="469">
        <f t="shared" si="152"/>
        <v>3.7498705811702195</v>
      </c>
      <c r="BB102" s="469">
        <f t="shared" si="153"/>
        <v>1.8046493197689331</v>
      </c>
      <c r="BC102" s="5">
        <f t="shared" si="154"/>
        <v>0.12116154724476183</v>
      </c>
      <c r="BD102" s="469">
        <f t="shared" si="155"/>
        <v>14.741469002704758</v>
      </c>
      <c r="BE102" s="5"/>
      <c r="BF102" s="177">
        <f t="shared" si="179"/>
        <v>0.15959409990405324</v>
      </c>
      <c r="BG102" s="177">
        <f t="shared" si="156"/>
        <v>12815.800602684472</v>
      </c>
      <c r="BH102" s="177"/>
      <c r="BI102" s="538">
        <f t="shared" si="157"/>
        <v>8.9145968534647246E-3</v>
      </c>
      <c r="BJ102" s="538">
        <f t="shared" si="158"/>
        <v>680.25482264933623</v>
      </c>
      <c r="BK102" s="538">
        <f t="shared" si="159"/>
        <v>4.3749999999999995E-3</v>
      </c>
      <c r="BL102" s="538">
        <f t="shared" si="160"/>
        <v>8462927.8085788898</v>
      </c>
      <c r="BM102">
        <f t="shared" si="161"/>
        <v>6.96E-3</v>
      </c>
      <c r="BN102">
        <f t="shared" si="162"/>
        <v>1.6625000000000001E-5</v>
      </c>
      <c r="BO102" s="538">
        <f t="shared" si="198"/>
        <v>8477551.479336774</v>
      </c>
      <c r="BP102" s="469">
        <f t="shared" si="180"/>
        <v>8477551479.3367739</v>
      </c>
      <c r="BQ102" s="538">
        <f t="shared" si="164"/>
        <v>125482985.27484499</v>
      </c>
      <c r="BR102" s="538"/>
      <c r="BT102" s="469">
        <f t="shared" si="181"/>
        <v>125482985274.84499</v>
      </c>
      <c r="BU102" s="538">
        <f t="shared" si="165"/>
        <v>2.5470276724184927E-3</v>
      </c>
      <c r="BV102" s="538">
        <f t="shared" si="166"/>
        <v>4927342.3526330302</v>
      </c>
      <c r="BW102" s="538">
        <f t="shared" si="167"/>
        <v>0</v>
      </c>
      <c r="BX102" s="538">
        <f t="shared" si="199"/>
        <v>-14.000035516193382</v>
      </c>
      <c r="BY102" s="538">
        <f t="shared" si="169"/>
        <v>5.4679259259259256E-3</v>
      </c>
      <c r="BZ102" s="469">
        <f t="shared" si="182"/>
        <v>-13994.567590267456</v>
      </c>
      <c r="CA102" s="177">
        <f t="shared" si="183"/>
        <v>133960522.75961417</v>
      </c>
      <c r="CB102" s="5">
        <f t="shared" si="184"/>
        <v>1.4550000000000001</v>
      </c>
      <c r="CC102" s="177">
        <f t="shared" si="185"/>
        <v>1.086140867640222E-8</v>
      </c>
      <c r="CD102" s="5">
        <f t="shared" si="186"/>
        <v>1.086140867640222E-6</v>
      </c>
      <c r="CG102" s="571">
        <f t="shared" si="170"/>
        <v>-50</v>
      </c>
      <c r="CH102">
        <f t="shared" si="171"/>
        <v>-50</v>
      </c>
    </row>
    <row r="103" spans="5:86" x14ac:dyDescent="0.25">
      <c r="E103" s="174">
        <v>98</v>
      </c>
      <c r="F103" s="221">
        <f t="shared" si="200"/>
        <v>9.8000000000000004E-2</v>
      </c>
      <c r="G103" s="221"/>
      <c r="H103" s="221">
        <f t="shared" si="187"/>
        <v>1.47</v>
      </c>
      <c r="I103" s="551">
        <f t="shared" si="121"/>
        <v>24</v>
      </c>
      <c r="J103" s="176">
        <f t="shared" si="122"/>
        <v>695386.58000000007</v>
      </c>
      <c r="K103" s="451">
        <f t="shared" si="123"/>
        <v>695410.58000000007</v>
      </c>
      <c r="L103" s="451"/>
      <c r="M103" s="221">
        <f t="shared" si="124"/>
        <v>0.99996548801428931</v>
      </c>
      <c r="N103" s="176">
        <f t="shared" si="188"/>
        <v>8.0997204529157436</v>
      </c>
      <c r="O103" s="176">
        <f t="shared" si="173"/>
        <v>1.47</v>
      </c>
      <c r="P103" s="221">
        <f t="shared" si="189"/>
        <v>0.5399813635277162</v>
      </c>
      <c r="Q103" s="221">
        <f t="shared" si="127"/>
        <v>15</v>
      </c>
      <c r="R103" s="221">
        <f t="shared" si="190"/>
        <v>0.59997929280857354</v>
      </c>
      <c r="S103" s="176">
        <f t="shared" si="129"/>
        <v>82.652537328416344</v>
      </c>
      <c r="T103" s="542">
        <f t="shared" si="191"/>
        <v>15</v>
      </c>
      <c r="U103" s="221">
        <f t="shared" si="131"/>
        <v>0.13611580873795726</v>
      </c>
      <c r="V103" s="221">
        <f t="shared" si="192"/>
        <v>0.17014476092244657</v>
      </c>
      <c r="W103" s="221">
        <f t="shared" si="133"/>
        <v>5.8722362202312239E-6</v>
      </c>
      <c r="X103" s="201">
        <f t="shared" si="134"/>
        <v>350</v>
      </c>
      <c r="Y103" s="451">
        <f t="shared" si="174"/>
        <v>350</v>
      </c>
      <c r="AA103" s="221">
        <f t="shared" si="135"/>
        <v>2.2856354011755182</v>
      </c>
      <c r="AB103" s="177">
        <f t="shared" si="193"/>
        <v>9.8605673459021225E-5</v>
      </c>
      <c r="AC103" s="177">
        <f t="shared" si="194"/>
        <v>1.8020156525828219</v>
      </c>
      <c r="AD103" s="177"/>
      <c r="AE103" s="177">
        <f t="shared" si="138"/>
        <v>6.4712206554230591E-6</v>
      </c>
      <c r="AF103" s="555">
        <f t="shared" si="195"/>
        <v>4419.437037037038</v>
      </c>
      <c r="AG103" s="538">
        <f t="shared" si="140"/>
        <v>7.7611695137976321E-3</v>
      </c>
      <c r="AI103" s="177">
        <f t="shared" si="141"/>
        <v>0.56184880001124338</v>
      </c>
      <c r="AJ103" s="177">
        <f t="shared" si="196"/>
        <v>0.56184880001124338</v>
      </c>
      <c r="AK103" s="177">
        <f t="shared" si="197"/>
        <v>1.4745658666741623</v>
      </c>
      <c r="AM103" s="555">
        <f t="shared" si="144"/>
        <v>98</v>
      </c>
      <c r="AN103" s="469">
        <f t="shared" si="145"/>
        <v>350</v>
      </c>
      <c r="AP103">
        <f t="shared" si="146"/>
        <v>98</v>
      </c>
      <c r="AQ103">
        <f t="shared" si="147"/>
        <v>350</v>
      </c>
      <c r="AS103" s="5">
        <f t="shared" si="175"/>
        <v>2.8571428571428572</v>
      </c>
      <c r="AT103" s="5">
        <f t="shared" si="148"/>
        <v>0.70231100001405422</v>
      </c>
      <c r="AU103" s="5">
        <f t="shared" si="176"/>
        <v>2.1548318571288032</v>
      </c>
      <c r="AV103" s="5">
        <f t="shared" si="149"/>
        <v>2.4238983732382782E-5</v>
      </c>
      <c r="AW103" s="177">
        <f t="shared" si="177"/>
        <v>0.24580885000491898</v>
      </c>
      <c r="AX103" s="177">
        <f t="shared" si="150"/>
        <v>1.6572888888888897</v>
      </c>
      <c r="AY103" s="177">
        <f t="shared" si="151"/>
        <v>9680.1602433383305</v>
      </c>
      <c r="AZ103" s="177">
        <f t="shared" si="178"/>
        <v>1.712046957104247E-4</v>
      </c>
      <c r="BA103" s="469">
        <f t="shared" si="152"/>
        <v>3.7498705811702195</v>
      </c>
      <c r="BB103" s="469">
        <f t="shared" si="153"/>
        <v>1.8390194565905871</v>
      </c>
      <c r="BC103" s="5">
        <f t="shared" si="154"/>
        <v>0.12220689930475849</v>
      </c>
      <c r="BD103" s="469">
        <f t="shared" si="155"/>
        <v>14.868994583237688</v>
      </c>
      <c r="BE103" s="5"/>
      <c r="BF103" s="177">
        <f t="shared" si="179"/>
        <v>0.1608264915206403</v>
      </c>
      <c r="BG103" s="177">
        <f t="shared" si="156"/>
        <v>12870.967655663157</v>
      </c>
      <c r="BH103" s="177"/>
      <c r="BI103" s="538">
        <f t="shared" si="157"/>
        <v>9.052806131193504E-3</v>
      </c>
      <c r="BJ103" s="538">
        <f t="shared" si="158"/>
        <v>683.752299804215</v>
      </c>
      <c r="BK103" s="538">
        <f t="shared" si="159"/>
        <v>4.3749999999999995E-3</v>
      </c>
      <c r="BL103" s="538">
        <f t="shared" si="160"/>
        <v>8462927.8085788898</v>
      </c>
      <c r="BM103">
        <f t="shared" si="161"/>
        <v>6.96E-3</v>
      </c>
      <c r="BN103">
        <f t="shared" si="162"/>
        <v>1.6625000000000001E-5</v>
      </c>
      <c r="BO103" s="538">
        <f t="shared" si="198"/>
        <v>8477771.5187612828</v>
      </c>
      <c r="BP103" s="469">
        <f t="shared" si="180"/>
        <v>8477771518.7612829</v>
      </c>
      <c r="BQ103" s="538">
        <f t="shared" si="164"/>
        <v>126565621.6404261</v>
      </c>
      <c r="BR103" s="538"/>
      <c r="BT103" s="469">
        <f t="shared" si="181"/>
        <v>126565621640.4261</v>
      </c>
      <c r="BU103" s="538">
        <f t="shared" si="165"/>
        <v>2.5865160374838585E-3</v>
      </c>
      <c r="BV103" s="538">
        <f t="shared" si="166"/>
        <v>4969854.2517938139</v>
      </c>
      <c r="BW103" s="538">
        <f t="shared" si="167"/>
        <v>0</v>
      </c>
      <c r="BX103" s="538">
        <f t="shared" si="199"/>
        <v>-14.000035212388774</v>
      </c>
      <c r="BY103" s="538">
        <f t="shared" si="169"/>
        <v>5.524296296296298E-3</v>
      </c>
      <c r="BZ103" s="469">
        <f t="shared" si="182"/>
        <v>-13994.510916092477</v>
      </c>
      <c r="CA103" s="177">
        <f t="shared" si="183"/>
        <v>135043379.16467646</v>
      </c>
      <c r="CB103" s="5">
        <f t="shared" si="184"/>
        <v>1.47</v>
      </c>
      <c r="CC103" s="177">
        <f t="shared" si="185"/>
        <v>1.0885390998739061E-8</v>
      </c>
      <c r="CD103" s="5">
        <f t="shared" si="186"/>
        <v>1.088539099873906E-6</v>
      </c>
      <c r="CG103" s="571">
        <f t="shared" si="170"/>
        <v>-50</v>
      </c>
      <c r="CH103">
        <f t="shared" si="171"/>
        <v>-50</v>
      </c>
    </row>
    <row r="104" spans="5:86" x14ac:dyDescent="0.25">
      <c r="E104" s="174">
        <v>99</v>
      </c>
      <c r="F104" s="221">
        <f t="shared" si="200"/>
        <v>9.9000000000000005E-2</v>
      </c>
      <c r="G104" s="221"/>
      <c r="H104" s="221">
        <f t="shared" si="187"/>
        <v>1.4850000000000001</v>
      </c>
      <c r="I104" s="551">
        <f t="shared" si="121"/>
        <v>24</v>
      </c>
      <c r="J104" s="176">
        <f t="shared" si="122"/>
        <v>695386.58000000007</v>
      </c>
      <c r="K104" s="451">
        <f t="shared" si="123"/>
        <v>695410.58000000007</v>
      </c>
      <c r="L104" s="451"/>
      <c r="M104" s="221">
        <f t="shared" si="124"/>
        <v>0.99996548801428931</v>
      </c>
      <c r="N104" s="176">
        <f t="shared" si="188"/>
        <v>8.0997204529157436</v>
      </c>
      <c r="O104" s="176">
        <f t="shared" si="173"/>
        <v>1.4850000000000001</v>
      </c>
      <c r="P104" s="221">
        <f t="shared" si="189"/>
        <v>0.5399813635277162</v>
      </c>
      <c r="Q104" s="221">
        <f t="shared" si="127"/>
        <v>15</v>
      </c>
      <c r="R104" s="221">
        <f t="shared" si="190"/>
        <v>0.59997929280857354</v>
      </c>
      <c r="S104" s="176">
        <f t="shared" si="129"/>
        <v>81.817657936299682</v>
      </c>
      <c r="T104" s="542">
        <f t="shared" si="191"/>
        <v>15</v>
      </c>
      <c r="U104" s="221">
        <f t="shared" si="131"/>
        <v>0.137504745561814</v>
      </c>
      <c r="V104" s="221">
        <f t="shared" si="192"/>
        <v>0.17188093195226753</v>
      </c>
      <c r="W104" s="221">
        <f t="shared" si="133"/>
        <v>5.9321569979886868E-6</v>
      </c>
      <c r="X104" s="201">
        <f t="shared" si="134"/>
        <v>350</v>
      </c>
      <c r="Y104" s="451">
        <f t="shared" si="174"/>
        <v>350</v>
      </c>
      <c r="AA104" s="221">
        <f t="shared" si="135"/>
        <v>2.2856354011755182</v>
      </c>
      <c r="AB104" s="177">
        <f t="shared" si="193"/>
        <v>9.8605673459021225E-5</v>
      </c>
      <c r="AC104" s="177">
        <f t="shared" si="194"/>
        <v>1.8020156525828219</v>
      </c>
      <c r="AD104" s="177"/>
      <c r="AE104" s="177">
        <f t="shared" si="138"/>
        <v>6.4712206554230591E-6</v>
      </c>
      <c r="AF104" s="555">
        <f t="shared" si="195"/>
        <v>4464.5333333333347</v>
      </c>
      <c r="AG104" s="538">
        <f t="shared" si="140"/>
        <v>7.7611695137976321E-3</v>
      </c>
      <c r="AI104" s="177">
        <f t="shared" si="141"/>
        <v>0.56470809990227533</v>
      </c>
      <c r="AJ104" s="177">
        <f t="shared" si="196"/>
        <v>0.56470809990227533</v>
      </c>
      <c r="AK104" s="177">
        <f t="shared" si="197"/>
        <v>1.476472066601517</v>
      </c>
      <c r="AM104" s="555">
        <f t="shared" si="144"/>
        <v>99</v>
      </c>
      <c r="AN104" s="469">
        <f t="shared" si="145"/>
        <v>350</v>
      </c>
      <c r="AP104">
        <f t="shared" si="146"/>
        <v>99</v>
      </c>
      <c r="AQ104">
        <f t="shared" si="147"/>
        <v>350</v>
      </c>
      <c r="AS104" s="5">
        <f t="shared" si="175"/>
        <v>2.8571428571428572</v>
      </c>
      <c r="AT104" s="5">
        <f t="shared" si="148"/>
        <v>0.70588512487784427</v>
      </c>
      <c r="AU104" s="5">
        <f t="shared" si="176"/>
        <v>2.1512577322650128</v>
      </c>
      <c r="AV104" s="5">
        <f t="shared" si="149"/>
        <v>2.4362338135815417E-5</v>
      </c>
      <c r="AW104" s="177">
        <f t="shared" si="177"/>
        <v>0.24705979370724548</v>
      </c>
      <c r="AX104" s="177">
        <f t="shared" si="150"/>
        <v>1.6742000000000006</v>
      </c>
      <c r="AY104" s="177">
        <f t="shared" si="151"/>
        <v>9713.2856965508618</v>
      </c>
      <c r="AZ104" s="177">
        <f t="shared" si="178"/>
        <v>1.7236186109449044E-4</v>
      </c>
      <c r="BA104" s="469">
        <f t="shared" si="152"/>
        <v>3.7498705811702195</v>
      </c>
      <c r="BB104" s="469">
        <f t="shared" si="153"/>
        <v>1.8737113384052835</v>
      </c>
      <c r="BC104" s="5">
        <f t="shared" si="154"/>
        <v>0.12324914091101635</v>
      </c>
      <c r="BD104" s="469">
        <f t="shared" si="155"/>
        <v>14.996146909321965</v>
      </c>
      <c r="BE104" s="5"/>
      <c r="BF104" s="177">
        <f t="shared" si="179"/>
        <v>0.16205574322645122</v>
      </c>
      <c r="BG104" s="177">
        <f t="shared" si="156"/>
        <v>12925.736157559817</v>
      </c>
      <c r="BH104" s="177"/>
      <c r="BI104" s="538">
        <f t="shared" si="157"/>
        <v>9.1917223694371209E-3</v>
      </c>
      <c r="BJ104" s="538">
        <f t="shared" si="158"/>
        <v>687.23197774654375</v>
      </c>
      <c r="BK104" s="538">
        <f t="shared" si="159"/>
        <v>4.3749999999999995E-3</v>
      </c>
      <c r="BL104" s="538">
        <f t="shared" si="160"/>
        <v>8462927.8085788898</v>
      </c>
      <c r="BM104">
        <f t="shared" si="161"/>
        <v>6.96E-3</v>
      </c>
      <c r="BN104">
        <f t="shared" si="162"/>
        <v>1.6625000000000001E-5</v>
      </c>
      <c r="BO104" s="538">
        <f t="shared" si="198"/>
        <v>8477992.6592967398</v>
      </c>
      <c r="BP104" s="469">
        <f t="shared" si="180"/>
        <v>8477992659.2967396</v>
      </c>
      <c r="BQ104" s="538">
        <f t="shared" si="164"/>
        <v>127645036.61250827</v>
      </c>
      <c r="BR104" s="538"/>
      <c r="BT104" s="469">
        <f t="shared" si="181"/>
        <v>127645036612.50827</v>
      </c>
      <c r="BU104" s="538">
        <f t="shared" si="165"/>
        <v>2.6262063912677494E-3</v>
      </c>
      <c r="BV104" s="538">
        <f t="shared" si="166"/>
        <v>5012239.6564454772</v>
      </c>
      <c r="BW104" s="538">
        <f t="shared" si="167"/>
        <v>0</v>
      </c>
      <c r="BX104" s="538">
        <f t="shared" si="199"/>
        <v>-14.000034914618681</v>
      </c>
      <c r="BY104" s="538">
        <f t="shared" si="169"/>
        <v>5.5806666666666687E-3</v>
      </c>
      <c r="BZ104" s="469">
        <f t="shared" si="182"/>
        <v>-13994.454247952013</v>
      </c>
      <c r="CA104" s="177">
        <f t="shared" si="183"/>
        <v>136123015.27735075</v>
      </c>
      <c r="CB104" s="5">
        <f t="shared" si="184"/>
        <v>1.4850000000000001</v>
      </c>
      <c r="CC104" s="177">
        <f t="shared" si="185"/>
        <v>1.0909249848558492E-8</v>
      </c>
      <c r="CD104" s="5">
        <f t="shared" si="186"/>
        <v>1.0909249848558493E-6</v>
      </c>
      <c r="CG104" s="571">
        <f t="shared" si="170"/>
        <v>-50</v>
      </c>
      <c r="CH104">
        <f t="shared" si="171"/>
        <v>-50</v>
      </c>
    </row>
    <row r="105" spans="5:86" x14ac:dyDescent="0.25">
      <c r="E105" s="174">
        <v>100</v>
      </c>
      <c r="F105" s="221">
        <f t="shared" si="200"/>
        <v>0.1</v>
      </c>
      <c r="G105" s="221"/>
      <c r="H105" s="221">
        <f t="shared" si="187"/>
        <v>1.5</v>
      </c>
      <c r="I105" s="551">
        <f t="shared" si="121"/>
        <v>24</v>
      </c>
      <c r="J105" s="176">
        <f t="shared" si="122"/>
        <v>695386.58000000007</v>
      </c>
      <c r="K105" s="451">
        <f t="shared" si="123"/>
        <v>695410.58000000007</v>
      </c>
      <c r="L105" s="451"/>
      <c r="M105" s="221">
        <f t="shared" si="124"/>
        <v>0.99996548801428931</v>
      </c>
      <c r="N105" s="176">
        <f t="shared" si="188"/>
        <v>8.0997204529157436</v>
      </c>
      <c r="O105" s="176">
        <f t="shared" si="173"/>
        <v>1.5</v>
      </c>
      <c r="P105" s="221">
        <f t="shared" si="189"/>
        <v>0.5399813635277162</v>
      </c>
      <c r="Q105" s="221">
        <f t="shared" si="127"/>
        <v>15</v>
      </c>
      <c r="R105" s="221">
        <f t="shared" si="190"/>
        <v>0.59997929280857354</v>
      </c>
      <c r="S105" s="176">
        <f t="shared" si="129"/>
        <v>80.999476132308374</v>
      </c>
      <c r="T105" s="542">
        <f t="shared" si="191"/>
        <v>15</v>
      </c>
      <c r="U105" s="221">
        <f t="shared" si="131"/>
        <v>0.13889368238567068</v>
      </c>
      <c r="V105" s="221">
        <f t="shared" si="192"/>
        <v>0.17361710298208835</v>
      </c>
      <c r="W105" s="221">
        <f t="shared" si="133"/>
        <v>5.9920777757461464E-6</v>
      </c>
      <c r="X105" s="201">
        <f t="shared" si="134"/>
        <v>350</v>
      </c>
      <c r="Y105" s="451">
        <f t="shared" si="174"/>
        <v>350</v>
      </c>
      <c r="AA105" s="221">
        <f t="shared" si="135"/>
        <v>2.2856354011755182</v>
      </c>
      <c r="AB105" s="177">
        <f t="shared" si="193"/>
        <v>9.8605673459021225E-5</v>
      </c>
      <c r="AC105" s="177">
        <f t="shared" si="194"/>
        <v>1.8020156525828219</v>
      </c>
      <c r="AD105" s="177"/>
      <c r="AE105" s="177">
        <f t="shared" si="138"/>
        <v>6.4712206554230591E-6</v>
      </c>
      <c r="AF105" s="555">
        <f t="shared" si="195"/>
        <v>4509.6296296296305</v>
      </c>
      <c r="AG105" s="538">
        <f t="shared" si="140"/>
        <v>7.7611695137976321E-3</v>
      </c>
      <c r="AI105" s="177">
        <f t="shared" si="141"/>
        <v>0.56755299498496359</v>
      </c>
      <c r="AJ105" s="177">
        <f t="shared" si="196"/>
        <v>0.56755299498496359</v>
      </c>
      <c r="AK105" s="177">
        <f t="shared" si="197"/>
        <v>1.4783686633233091</v>
      </c>
      <c r="AM105" s="555">
        <f t="shared" si="144"/>
        <v>100</v>
      </c>
      <c r="AN105" s="469">
        <f t="shared" si="145"/>
        <v>350</v>
      </c>
      <c r="AP105">
        <f t="shared" si="146"/>
        <v>100</v>
      </c>
      <c r="AQ105" s="3">
        <f t="shared" si="147"/>
        <v>350</v>
      </c>
      <c r="AS105" s="5">
        <f t="shared" si="175"/>
        <v>2.8571428571428572</v>
      </c>
      <c r="AT105" s="5">
        <f t="shared" si="148"/>
        <v>0.70944124373120443</v>
      </c>
      <c r="AU105" s="5">
        <f t="shared" si="176"/>
        <v>2.1477016134116527</v>
      </c>
      <c r="AV105" s="5">
        <f t="shared" si="149"/>
        <v>2.4485071094626107E-5</v>
      </c>
      <c r="AW105" s="177">
        <f t="shared" si="177"/>
        <v>0.24830443530592156</v>
      </c>
      <c r="AX105" s="177">
        <f t="shared" si="150"/>
        <v>1.691111111111111</v>
      </c>
      <c r="AY105" s="177">
        <f t="shared" si="151"/>
        <v>9746.0820791191854</v>
      </c>
      <c r="AZ105" s="177">
        <f t="shared" si="178"/>
        <v>1.7351701918602632E-4</v>
      </c>
      <c r="BA105" s="469">
        <f t="shared" si="152"/>
        <v>3.7498705811702195</v>
      </c>
      <c r="BB105" s="469">
        <f t="shared" si="153"/>
        <v>1.9087249652130232</v>
      </c>
      <c r="BC105" s="5">
        <f t="shared" si="154"/>
        <v>0.1242882878131743</v>
      </c>
      <c r="BD105" s="469">
        <f t="shared" si="155"/>
        <v>15.122927870914255</v>
      </c>
      <c r="BE105" s="5"/>
      <c r="BF105" s="177">
        <f t="shared" si="179"/>
        <v>0.16328189461816067</v>
      </c>
      <c r="BG105" s="177">
        <f t="shared" si="156"/>
        <v>12980.111975745973</v>
      </c>
      <c r="BH105" s="177"/>
      <c r="BI105" s="538">
        <f t="shared" si="157"/>
        <v>9.3313419885336438E-3</v>
      </c>
      <c r="BJ105" s="538">
        <f t="shared" si="158"/>
        <v>690.69412549065373</v>
      </c>
      <c r="BK105" s="538">
        <f t="shared" si="159"/>
        <v>4.3749999999999995E-3</v>
      </c>
      <c r="BL105" s="538">
        <f t="shared" si="160"/>
        <v>8462927.8085788898</v>
      </c>
      <c r="BM105">
        <f t="shared" si="161"/>
        <v>6.96E-3</v>
      </c>
      <c r="BN105">
        <f t="shared" si="162"/>
        <v>1.6625000000000001E-5</v>
      </c>
      <c r="BO105" s="538">
        <f t="shared" si="198"/>
        <v>8478214.895775035</v>
      </c>
      <c r="BP105" s="469">
        <f t="shared" si="180"/>
        <v>8478214895.7750349</v>
      </c>
      <c r="BQ105" s="538">
        <f t="shared" si="164"/>
        <v>128721246.50246865</v>
      </c>
      <c r="BR105" s="538"/>
      <c r="BT105" s="469">
        <f t="shared" si="181"/>
        <v>128721246502.46864</v>
      </c>
      <c r="BU105" s="538">
        <f t="shared" si="165"/>
        <v>2.6660977110096128E-3</v>
      </c>
      <c r="BV105" s="538">
        <f t="shared" si="166"/>
        <v>5054499.207087121</v>
      </c>
      <c r="BW105" s="538">
        <f t="shared" si="167"/>
        <v>0</v>
      </c>
      <c r="BX105" s="538">
        <f t="shared" si="199"/>
        <v>-14.000034622704549</v>
      </c>
      <c r="BY105" s="538">
        <f t="shared" si="169"/>
        <v>5.6370370370370368E-3</v>
      </c>
      <c r="BZ105" s="469">
        <f t="shared" si="182"/>
        <v>-13994.397585667512</v>
      </c>
      <c r="CA105" s="177">
        <f t="shared" si="183"/>
        <v>137199447.40384609</v>
      </c>
      <c r="CB105" s="5">
        <f t="shared" si="184"/>
        <v>1.5</v>
      </c>
      <c r="CC105" s="177">
        <f t="shared" si="185"/>
        <v>1.0932988521340561E-8</v>
      </c>
      <c r="CD105" s="5">
        <f t="shared" si="186"/>
        <v>1.0932988521340561E-6</v>
      </c>
      <c r="CG105" s="571">
        <f t="shared" si="170"/>
        <v>-50</v>
      </c>
      <c r="CH105">
        <f t="shared" si="171"/>
        <v>-50</v>
      </c>
    </row>
    <row r="106" spans="5:86" x14ac:dyDescent="0.25">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5">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x14ac:dyDescent="0.25">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0.4619867128090735</v>
      </c>
    </row>
    <row r="109" spans="5:86" ht="45" customHeight="1" thickBot="1" x14ac:dyDescent="0.3">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5">
      <c r="E110" s="174">
        <v>0.1</v>
      </c>
      <c r="F110" s="221">
        <v>1.0000000000000001E-9</v>
      </c>
      <c r="G110" s="221"/>
      <c r="H110" s="221">
        <f t="shared" ref="H110:H141" si="201">F110*Vout</f>
        <v>1.5000000000000002E-8</v>
      </c>
      <c r="I110" s="551">
        <f t="shared" ref="I110:I141" si="202">VIN_min</f>
        <v>20</v>
      </c>
      <c r="J110" s="451">
        <f t="shared" ref="J110:J141" si="203">(T110+Vfwd1)*Nps</f>
        <v>695386.58000000007</v>
      </c>
      <c r="K110" s="451">
        <f t="shared" ref="K110:K141" si="204">(Vout+Vfwd1)*Nps+I110</f>
        <v>695406.58000000007</v>
      </c>
      <c r="L110" s="451"/>
      <c r="M110" s="221">
        <f t="shared" ref="M110:M141" si="205">(Vout+Vfwd1)*Nps/((Vout+Vfwd1)*Nps+I110)</f>
        <v>0.9999712398464794</v>
      </c>
      <c r="N110" s="176">
        <f t="shared" ref="N110:N141" si="206">M110*I110*(Isw_max+VIN_min/Lmag*ILIM_delay)*0.5*Efficiency</f>
        <v>6.9298006921361024</v>
      </c>
      <c r="O110" s="176">
        <f t="shared" si="173"/>
        <v>1.5000000000000002E-8</v>
      </c>
      <c r="P110" s="221">
        <f t="shared" ref="P110:P141" si="207">N110/Vout</f>
        <v>0.4619867128090735</v>
      </c>
      <c r="Q110" s="221">
        <f t="shared" ref="Q110:Q141" si="208">MIN(Vout,N110/F110)</f>
        <v>15</v>
      </c>
      <c r="R110" s="221"/>
      <c r="S110" s="176">
        <f t="shared" ref="S110:S141" si="209">(SQRT(Isw_max^2*Nps^2*I110^2+4*Isw_max*F110/Efficiency*(Nps^2*Vfwd1*I110-Nps*I110^2)+4*(F110/Efficiency)^2*Nps^2*Vfwd1^2+8*(F110/Efficiency)^2*Nps*Vfwd1*I110+4*(F110/Efficiency)^2*I110^2)-2*F110/Efficiency*I110-2*F110/Efficiency*Nps*Vfwd1+Isw_max*Nps*I110)/(4*F110/Efficiency*Nps)</f>
        <v>6749999999.9995623</v>
      </c>
      <c r="T110" s="176">
        <f t="shared" ref="T110:T141" si="210">MIN(Vout, S110)</f>
        <v>15</v>
      </c>
      <c r="U110" s="221">
        <f t="shared" ref="U110:U141" si="211">MIN(2*Vout*F110/(Efficiency*I110*M110), Isw_max)</f>
        <v>1.6667146016344848E-9</v>
      </c>
      <c r="V110" s="221">
        <f t="shared" ref="V110:V141" si="212">L*U110/I110*1000000</f>
        <v>2.5000719024517272E-9</v>
      </c>
      <c r="W110" s="221">
        <f t="shared" ref="W110:W141" si="213">L*U110/J110*1000000</f>
        <v>7.1904519711948623E-14</v>
      </c>
      <c r="X110" s="201">
        <f t="shared" ref="X110:X141" si="214">IF(1/((350000*L)*(1/I110+1/J110))&gt;Isw_min, 350, 0.001/((Isw_min*L)*(1/I110+1/J110)))</f>
        <v>350</v>
      </c>
      <c r="Y110" s="451">
        <f t="shared" ref="Y110:Y169" si="215">MIN(1/(V110+W110)*1000, 350)</f>
        <v>350</v>
      </c>
      <c r="AA110" s="221">
        <f t="shared" ref="AA110:AA141" si="216">1/((X110*1000*L)*(1/I110+1/J110))</f>
        <v>1.9047071235171036</v>
      </c>
      <c r="AB110" s="177">
        <f t="shared" ref="AB110:AB141" si="217">L*AA110/J110*1000000</f>
        <v>8.2171867201568798E-5</v>
      </c>
      <c r="AC110" s="177">
        <f t="shared" ref="AC110:AC141" si="218">0.5*AB110*AA110*Nps*X110/1000</f>
        <v>1.2514141549591451</v>
      </c>
      <c r="AD110" s="177"/>
      <c r="AE110" s="177">
        <f t="shared" ref="AE110:AE141" si="219">L*Isw_min/J110*1000000</f>
        <v>6.4712206554230591E-6</v>
      </c>
      <c r="AF110" s="555">
        <f t="shared" ref="AF110:AF141" si="220">MAX(12000,F110/(0.5*AE110/1000000*Isw_min*Nps))/1000</f>
        <v>12</v>
      </c>
      <c r="AG110" s="538">
        <f t="shared" ref="AG110:AG141" si="221">0.5*AE110/1000000*Isw_min*Nps*X110*1000</f>
        <v>7.7611695137976321E-3</v>
      </c>
      <c r="AI110" s="177">
        <f t="shared" ref="AI110:AI141" si="222">SQRT(F110/(0.5*L/J110*Fsw_DCM*Nps))</f>
        <v>5.3842804710078199E-5</v>
      </c>
      <c r="AJ110" s="177">
        <f t="shared" ref="AJ110:AJ141" si="223">MAX(IF(F110&gt;AC110,U110,AI110),Isw_min)</f>
        <v>0.15</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0.22500000000000001</v>
      </c>
      <c r="AU110" s="5">
        <f t="shared" ref="AU110:AU169" si="230">AS110-AT110</f>
        <v>83.108333333333334</v>
      </c>
      <c r="AV110" s="5"/>
      <c r="AW110" s="177">
        <f t="shared" ref="AW110:AW169" si="231">AT110/AS110</f>
        <v>2.7000000000000001E-3</v>
      </c>
      <c r="AX110" s="177">
        <f t="shared" si="150"/>
        <v>4.0499999999999998E-3</v>
      </c>
      <c r="AY110" s="177">
        <f t="shared" si="151"/>
        <v>3417.4229774999994</v>
      </c>
      <c r="AZ110" s="177">
        <f t="shared" si="178"/>
        <v>1.1851035200104962E-6</v>
      </c>
      <c r="BA110" s="469">
        <f t="shared" ref="BA110:BA141" si="232">L*Isw_max^2/(2*Vout_ripple*Vout)*1000000000*((1+M110)/2)^2</f>
        <v>3.7498921501997473</v>
      </c>
      <c r="BB110" s="469">
        <f t="shared" ref="BB110:BB141" si="233">L*F110^2/(2*Cout*Vout*Nps^2)*1000000000*((1+M110)/(1-M110))^2+F110*RCoutEsr</f>
        <v>3.0000002316550631E-9</v>
      </c>
      <c r="BC110" s="5">
        <f t="shared" ref="BC110:BC116" si="234">H110/Efficiency/I110*AU110/Vinripple1</f>
        <v>5.7714120370370366E-8</v>
      </c>
      <c r="BD110" s="469">
        <f t="shared" ref="BD110:BD141" si="235">((CB110/I110/Efficiency)*AU110/Cin+(CB110/I110/Efficiency)*RCinEsr)*1000</f>
        <v>6.9281944444444456E-6</v>
      </c>
      <c r="BF110" s="177">
        <f t="shared" si="179"/>
        <v>4.5000000000000005E-3</v>
      </c>
      <c r="BG110" s="177">
        <f t="shared" si="156"/>
        <v>3951.4381991750479</v>
      </c>
      <c r="BI110" s="538">
        <f t="shared" ref="BI110:BI169" si="236">Rdson*BF110^2</f>
        <v>7.0875000000000012E-6</v>
      </c>
      <c r="BJ110" s="538">
        <f t="shared" ref="BJ110:BJ169" si="237">0.5*K110*AJ110*AN110*1000*Trise</f>
        <v>6.2586592200000002</v>
      </c>
      <c r="BK110" s="538">
        <f t="shared" ref="BK110:BK169" si="238">Qg*Vdd*AN110*1000</f>
        <v>1.4999999999999999E-4</v>
      </c>
      <c r="BL110" s="538">
        <f t="shared" ref="BL110:BL169" si="239">0.5*(Coss+Csw)*K110^2*AN110*1000</f>
        <v>290154.18690437794</v>
      </c>
      <c r="BM110">
        <f t="shared" ref="BM110:BM169" si="240">I110*IQ</f>
        <v>5.7999999999999996E-3</v>
      </c>
      <c r="BN110">
        <f t="shared" ref="BN110:BN141" si="241">(I110-Vdd)*Qg*AN110</f>
        <v>4.4999999999999998E-7</v>
      </c>
      <c r="BO110" s="538">
        <f t="shared" ref="BO110:BO141" si="242">(BJ110+BK110+BL110+BM110+BN110+BI110*(1+RdsonTC*(Ta-25)))/(1-BI110*RdsonTC*ThetaJA)</f>
        <v>290160.83094908932</v>
      </c>
      <c r="BP110" s="469">
        <f t="shared" ref="BP110:BP169" si="243">SUM(BI110:BM110)*1000</f>
        <v>290160451.52068543</v>
      </c>
      <c r="BQ110" s="538">
        <f t="shared" ref="BQ110:BQ141" si="244">(Vfwd2*F110+BG110^2*Rdiode)*(1+Diode_TC/1000*(Ta-25))</f>
        <v>11928991.975211402</v>
      </c>
      <c r="BT110" s="469">
        <f t="shared" ref="BT110:BT169" si="245">SUM(BQ110:BS110)*1000</f>
        <v>11928991975.211403</v>
      </c>
      <c r="BU110" s="538">
        <f t="shared" ref="BU110:BU169" si="246">Rdcr_pri*BF110^2</f>
        <v>2.0250000000000005E-6</v>
      </c>
      <c r="BV110" s="538">
        <f t="shared" ref="BV110:BV169" si="247">Rdcr_sec*BG110^2</f>
        <v>468415.91525699233</v>
      </c>
      <c r="BW110" s="538">
        <f t="shared" ref="BW110:BW169" si="248">AJ110^2.5*AN110^2.5*k_core</f>
        <v>0</v>
      </c>
      <c r="BX110" s="538"/>
      <c r="BY110" s="538">
        <f t="shared" ref="BY110:BY169" si="249">0.5*Lleak*0.000000001*AJ110^2*AN110*1000</f>
        <v>1.3500000000000001E-5</v>
      </c>
      <c r="BZ110" s="469">
        <f t="shared" ref="BZ110:BZ169" si="250">SUM(BU110:BY110)*1000</f>
        <v>468415915.27251732</v>
      </c>
      <c r="CA110" s="177">
        <f t="shared" ref="CA110:CA169" si="251">SUM(BI110:BM110,BQ110:BS110,BU110:BY110)</f>
        <v>12687568.342004605</v>
      </c>
      <c r="CB110" s="5">
        <f t="shared" ref="CB110:CB169" si="252">MIN(H110,O110)</f>
        <v>1.5000000000000002E-8</v>
      </c>
      <c r="CC110" s="177">
        <f t="shared" ref="CC110:CC169" si="253">CB110/(CB110+CA110)</f>
        <v>1.182259641537428E-15</v>
      </c>
      <c r="CD110" s="5">
        <f t="shared" ref="CD110:CD169" si="254">CC110*100</f>
        <v>1.1822596415374279E-13</v>
      </c>
      <c r="CG110" s="571">
        <f t="shared" ref="CG110:CG141" si="255">IF(ABS(F110-Ioutmax_Vinmin)&lt;Iout/200, AN110, -50)</f>
        <v>-50</v>
      </c>
      <c r="CH110">
        <f t="shared" ref="CH110:CH141" si="256">IF(ABS(F110-Ioutmax_Vinmin)&lt;Iout/200, N110*CC110, -50)</f>
        <v>-50</v>
      </c>
    </row>
    <row r="111" spans="5:86" x14ac:dyDescent="0.25">
      <c r="E111" s="174">
        <v>1</v>
      </c>
      <c r="F111" s="221">
        <f t="shared" ref="F111:F142" si="257">IF(PLOT_TYPE=1, E111/100*Iout_max, min_I*EXP(N111*rr/100))</f>
        <v>1E-3</v>
      </c>
      <c r="G111" s="221"/>
      <c r="H111" s="221">
        <f t="shared" si="201"/>
        <v>1.4999999999999999E-2</v>
      </c>
      <c r="I111" s="551">
        <f t="shared" si="202"/>
        <v>20</v>
      </c>
      <c r="J111" s="451">
        <f t="shared" si="203"/>
        <v>695386.58000000007</v>
      </c>
      <c r="K111" s="451">
        <f t="shared" si="204"/>
        <v>695406.58000000007</v>
      </c>
      <c r="L111" s="451"/>
      <c r="M111" s="221">
        <f t="shared" si="205"/>
        <v>0.9999712398464794</v>
      </c>
      <c r="N111" s="176">
        <f t="shared" si="206"/>
        <v>6.9298006921361024</v>
      </c>
      <c r="O111" s="176">
        <f t="shared" si="173"/>
        <v>1.4999999999999999E-2</v>
      </c>
      <c r="P111" s="221">
        <f t="shared" si="207"/>
        <v>0.4619867128090735</v>
      </c>
      <c r="Q111" s="221">
        <f t="shared" si="208"/>
        <v>15</v>
      </c>
      <c r="R111" s="221"/>
      <c r="S111" s="176">
        <f t="shared" si="209"/>
        <v>6749.9995622721408</v>
      </c>
      <c r="T111" s="176">
        <f t="shared" si="210"/>
        <v>15</v>
      </c>
      <c r="U111" s="221">
        <f t="shared" si="211"/>
        <v>1.6667146016344845E-3</v>
      </c>
      <c r="V111" s="221">
        <f t="shared" si="212"/>
        <v>2.5000719024517266E-3</v>
      </c>
      <c r="W111" s="221">
        <f t="shared" si="213"/>
        <v>7.1904519711948606E-8</v>
      </c>
      <c r="X111" s="201">
        <f t="shared" si="214"/>
        <v>350</v>
      </c>
      <c r="Y111" s="451">
        <f t="shared" si="215"/>
        <v>350</v>
      </c>
      <c r="AA111" s="221">
        <f t="shared" si="216"/>
        <v>1.9047071235171036</v>
      </c>
      <c r="AB111" s="177">
        <f t="shared" si="217"/>
        <v>8.2171867201568798E-5</v>
      </c>
      <c r="AC111" s="177">
        <f t="shared" si="218"/>
        <v>1.2514141549591451</v>
      </c>
      <c r="AD111" s="177"/>
      <c r="AE111" s="177">
        <f t="shared" si="219"/>
        <v>6.4712206554230591E-6</v>
      </c>
      <c r="AF111" s="555">
        <f t="shared" si="220"/>
        <v>45.096296296296309</v>
      </c>
      <c r="AG111" s="538">
        <f t="shared" si="221"/>
        <v>7.7611695137976321E-3</v>
      </c>
      <c r="AI111" s="177">
        <f t="shared" si="222"/>
        <v>5.3842804710078199E-2</v>
      </c>
      <c r="AJ111" s="177">
        <f t="shared" si="223"/>
        <v>0.15</v>
      </c>
      <c r="AK111" s="177">
        <f t="shared" si="224"/>
        <v>1.0257693121693121</v>
      </c>
      <c r="AM111" s="555">
        <f t="shared" si="225"/>
        <v>1</v>
      </c>
      <c r="AN111" s="469">
        <f t="shared" si="226"/>
        <v>45.096296296296309</v>
      </c>
      <c r="AP111" s="469">
        <f t="shared" si="227"/>
        <v>1</v>
      </c>
      <c r="AQ111" s="469">
        <f t="shared" si="228"/>
        <v>45.096296296296309</v>
      </c>
      <c r="AS111" s="5">
        <f t="shared" si="175"/>
        <v>22.174770039421805</v>
      </c>
      <c r="AT111" s="5">
        <f t="shared" si="229"/>
        <v>0.22500000000000001</v>
      </c>
      <c r="AU111" s="5">
        <f t="shared" si="230"/>
        <v>21.949770039421804</v>
      </c>
      <c r="AV111" s="5"/>
      <c r="AW111" s="177">
        <f t="shared" si="231"/>
        <v>1.014666666666667E-2</v>
      </c>
      <c r="AX111" s="177">
        <f t="shared" si="150"/>
        <v>1.5220000000000003E-2</v>
      </c>
      <c r="AY111" s="177">
        <f t="shared" si="151"/>
        <v>3391.905671</v>
      </c>
      <c r="AZ111" s="177">
        <f t="shared" si="178"/>
        <v>4.4871530862805063E-6</v>
      </c>
      <c r="BA111" s="469">
        <f t="shared" si="232"/>
        <v>3.7498921501997473</v>
      </c>
      <c r="BB111" s="469">
        <f t="shared" si="233"/>
        <v>3.2316550624822168E-3</v>
      </c>
      <c r="BC111" s="5">
        <f t="shared" si="234"/>
        <v>1.5242895860709581E-2</v>
      </c>
      <c r="BD111" s="469">
        <f t="shared" si="235"/>
        <v>1.83164750328515</v>
      </c>
      <c r="BF111" s="177">
        <f t="shared" si="179"/>
        <v>8.7235313950257565E-3</v>
      </c>
      <c r="BG111" s="177">
        <f t="shared" si="156"/>
        <v>3936.6582046492049</v>
      </c>
      <c r="BI111" s="538">
        <f t="shared" si="236"/>
        <v>2.6635000000000005E-5</v>
      </c>
      <c r="BJ111" s="538">
        <f t="shared" si="237"/>
        <v>23.520195883555566</v>
      </c>
      <c r="BK111" s="538">
        <f t="shared" si="238"/>
        <v>5.6370370370370385E-4</v>
      </c>
      <c r="BL111" s="538">
        <f t="shared" si="239"/>
        <v>1090406.5986875638</v>
      </c>
      <c r="BM111">
        <f t="shared" si="240"/>
        <v>5.7999999999999996E-3</v>
      </c>
      <c r="BN111">
        <f t="shared" si="241"/>
        <v>1.6911111111111114E-6</v>
      </c>
      <c r="BO111" s="538">
        <f t="shared" si="242"/>
        <v>1090435.4838507839</v>
      </c>
      <c r="BP111" s="469">
        <f t="shared" si="243"/>
        <v>1090430125.2737861</v>
      </c>
      <c r="BQ111" s="538">
        <f t="shared" si="244"/>
        <v>11839920.254943669</v>
      </c>
      <c r="BT111" s="469">
        <f t="shared" si="245"/>
        <v>11839920254.943668</v>
      </c>
      <c r="BU111" s="538">
        <f t="shared" si="246"/>
        <v>7.6100000000000025E-6</v>
      </c>
      <c r="BV111" s="538">
        <f t="shared" si="247"/>
        <v>464918.33460695704</v>
      </c>
      <c r="BW111" s="538">
        <f t="shared" si="248"/>
        <v>0</v>
      </c>
      <c r="BX111" s="538"/>
      <c r="BY111" s="538">
        <f t="shared" si="249"/>
        <v>5.0733333333333358E-5</v>
      </c>
      <c r="BZ111" s="469">
        <f t="shared" si="250"/>
        <v>464918334.66530037</v>
      </c>
      <c r="CA111" s="177">
        <f t="shared" si="251"/>
        <v>13395268.714882756</v>
      </c>
      <c r="CB111" s="5">
        <f t="shared" si="252"/>
        <v>1.4999999999999999E-2</v>
      </c>
      <c r="CC111" s="177">
        <f t="shared" si="253"/>
        <v>1.1197983633234127E-9</v>
      </c>
      <c r="CD111" s="5">
        <f t="shared" si="254"/>
        <v>1.1197983633234127E-7</v>
      </c>
      <c r="CG111" s="571">
        <f t="shared" si="255"/>
        <v>-50</v>
      </c>
      <c r="CH111">
        <f t="shared" si="256"/>
        <v>-50</v>
      </c>
    </row>
    <row r="112" spans="5:86" x14ac:dyDescent="0.25">
      <c r="E112" s="174">
        <v>2</v>
      </c>
      <c r="F112" s="221">
        <f t="shared" si="257"/>
        <v>2E-3</v>
      </c>
      <c r="G112" s="221"/>
      <c r="H112" s="221">
        <f t="shared" si="201"/>
        <v>0.03</v>
      </c>
      <c r="I112" s="551">
        <f t="shared" si="202"/>
        <v>20</v>
      </c>
      <c r="J112" s="451">
        <f t="shared" si="203"/>
        <v>695386.58000000007</v>
      </c>
      <c r="K112" s="451">
        <f t="shared" si="204"/>
        <v>695406.58000000007</v>
      </c>
      <c r="L112" s="451"/>
      <c r="M112" s="221">
        <f t="shared" si="205"/>
        <v>0.9999712398464794</v>
      </c>
      <c r="N112" s="176">
        <f t="shared" si="206"/>
        <v>6.9298006921361024</v>
      </c>
      <c r="O112" s="176">
        <f t="shared" si="173"/>
        <v>0.03</v>
      </c>
      <c r="P112" s="221">
        <f t="shared" si="207"/>
        <v>0.4619867128090735</v>
      </c>
      <c r="Q112" s="221">
        <f t="shared" si="208"/>
        <v>15</v>
      </c>
      <c r="R112" s="221"/>
      <c r="S112" s="176">
        <f t="shared" si="209"/>
        <v>3374.9995622864058</v>
      </c>
      <c r="T112" s="176">
        <f t="shared" si="210"/>
        <v>15</v>
      </c>
      <c r="U112" s="221">
        <f t="shared" si="211"/>
        <v>3.3334292032689691E-3</v>
      </c>
      <c r="V112" s="221">
        <f t="shared" si="212"/>
        <v>5.0001438049034532E-3</v>
      </c>
      <c r="W112" s="221">
        <f t="shared" si="213"/>
        <v>1.4380903942389721E-7</v>
      </c>
      <c r="X112" s="201">
        <f t="shared" si="214"/>
        <v>350</v>
      </c>
      <c r="Y112" s="451">
        <f t="shared" si="215"/>
        <v>350</v>
      </c>
      <c r="AA112" s="221">
        <f t="shared" si="216"/>
        <v>1.9047071235171036</v>
      </c>
      <c r="AB112" s="177">
        <f t="shared" si="217"/>
        <v>8.2171867201568798E-5</v>
      </c>
      <c r="AC112" s="177">
        <f t="shared" si="218"/>
        <v>1.2514141549591451</v>
      </c>
      <c r="AD112" s="177"/>
      <c r="AE112" s="177">
        <f t="shared" si="219"/>
        <v>6.4712206554230591E-6</v>
      </c>
      <c r="AF112" s="555">
        <f t="shared" si="220"/>
        <v>90.192592592592618</v>
      </c>
      <c r="AG112" s="538">
        <f t="shared" si="221"/>
        <v>7.7611695137976321E-3</v>
      </c>
      <c r="AI112" s="177">
        <f t="shared" si="222"/>
        <v>7.6145224657198557E-2</v>
      </c>
      <c r="AJ112" s="177">
        <f t="shared" si="223"/>
        <v>0.15</v>
      </c>
      <c r="AK112" s="177">
        <f t="shared" si="224"/>
        <v>1.0515386243386244</v>
      </c>
      <c r="AM112" s="555">
        <f t="shared" si="225"/>
        <v>2</v>
      </c>
      <c r="AN112" s="469">
        <f t="shared" si="226"/>
        <v>90.192592592592618</v>
      </c>
      <c r="AP112" s="469">
        <f t="shared" si="227"/>
        <v>2</v>
      </c>
      <c r="AQ112" s="469">
        <f t="shared" si="228"/>
        <v>90.192592592592618</v>
      </c>
      <c r="AS112" s="5">
        <f t="shared" si="175"/>
        <v>11.087385019710903</v>
      </c>
      <c r="AT112" s="5">
        <f t="shared" si="229"/>
        <v>0.22500000000000001</v>
      </c>
      <c r="AU112" s="5">
        <f t="shared" si="230"/>
        <v>10.862385019710903</v>
      </c>
      <c r="AV112" s="5"/>
      <c r="AW112" s="177">
        <f t="shared" si="231"/>
        <v>2.029333333333334E-2</v>
      </c>
      <c r="AX112" s="177">
        <f t="shared" si="150"/>
        <v>3.0440000000000005E-2</v>
      </c>
      <c r="AY112" s="177">
        <f t="shared" si="151"/>
        <v>3357.1363419999993</v>
      </c>
      <c r="AZ112" s="177">
        <f t="shared" si="178"/>
        <v>9.0672516391948227E-6</v>
      </c>
      <c r="BA112" s="469">
        <f t="shared" si="232"/>
        <v>3.7498921501997473</v>
      </c>
      <c r="BB112" s="469">
        <f t="shared" si="233"/>
        <v>6.9266202499288672E-3</v>
      </c>
      <c r="BC112" s="5">
        <f t="shared" si="234"/>
        <v>1.5086645860709584E-2</v>
      </c>
      <c r="BD112" s="469">
        <f t="shared" si="235"/>
        <v>1.8153975032851504</v>
      </c>
      <c r="BF112" s="177">
        <f t="shared" si="179"/>
        <v>1.2336936410632911E-2</v>
      </c>
      <c r="BG112" s="177">
        <f t="shared" si="156"/>
        <v>3916.4295261071402</v>
      </c>
      <c r="BI112" s="538">
        <f t="shared" si="236"/>
        <v>5.3270000000000024E-5</v>
      </c>
      <c r="BJ112" s="538">
        <f t="shared" si="237"/>
        <v>47.040391767111132</v>
      </c>
      <c r="BK112" s="538">
        <f t="shared" si="238"/>
        <v>1.1274074074074077E-3</v>
      </c>
      <c r="BL112" s="538">
        <f t="shared" si="239"/>
        <v>2180813.1973751276</v>
      </c>
      <c r="BM112">
        <f t="shared" si="240"/>
        <v>5.7999999999999996E-3</v>
      </c>
      <c r="BN112">
        <f t="shared" si="241"/>
        <v>3.3822222222222228E-6</v>
      </c>
      <c r="BO112" s="538">
        <f t="shared" si="242"/>
        <v>2180881.6791502656</v>
      </c>
      <c r="BP112" s="469">
        <f t="shared" si="243"/>
        <v>2180860244.7475719</v>
      </c>
      <c r="BQ112" s="538">
        <f t="shared" si="244"/>
        <v>11718553.058557339</v>
      </c>
      <c r="BT112" s="469">
        <f t="shared" si="245"/>
        <v>11718553058.557339</v>
      </c>
      <c r="BU112" s="538">
        <f t="shared" si="246"/>
        <v>1.5220000000000007E-5</v>
      </c>
      <c r="BV112" s="538">
        <f t="shared" si="247"/>
        <v>460152.60698891396</v>
      </c>
      <c r="BW112" s="538">
        <f t="shared" si="248"/>
        <v>0</v>
      </c>
      <c r="BX112" s="538"/>
      <c r="BY112" s="538">
        <f t="shared" si="249"/>
        <v>1.0146666666666672E-4</v>
      </c>
      <c r="BZ112" s="469">
        <f t="shared" si="250"/>
        <v>460152607.10560066</v>
      </c>
      <c r="CA112" s="177">
        <f t="shared" si="251"/>
        <v>14359565.910410512</v>
      </c>
      <c r="CB112" s="5">
        <f t="shared" si="252"/>
        <v>0.03</v>
      </c>
      <c r="CC112" s="177">
        <f t="shared" si="253"/>
        <v>2.0891996404692408E-9</v>
      </c>
      <c r="CD112" s="5">
        <f t="shared" si="254"/>
        <v>2.0891996404692409E-7</v>
      </c>
      <c r="CG112" s="571">
        <f t="shared" si="255"/>
        <v>-50</v>
      </c>
      <c r="CH112">
        <f t="shared" si="256"/>
        <v>-50</v>
      </c>
    </row>
    <row r="113" spans="5:86" x14ac:dyDescent="0.25">
      <c r="E113" s="174">
        <v>3</v>
      </c>
      <c r="F113" s="221">
        <f t="shared" si="257"/>
        <v>3.0000000000000001E-3</v>
      </c>
      <c r="G113" s="221"/>
      <c r="H113" s="221">
        <f t="shared" si="201"/>
        <v>4.4999999999999998E-2</v>
      </c>
      <c r="I113" s="551">
        <f t="shared" si="202"/>
        <v>20</v>
      </c>
      <c r="J113" s="451">
        <f t="shared" si="203"/>
        <v>695386.58000000007</v>
      </c>
      <c r="K113" s="451">
        <f t="shared" si="204"/>
        <v>695406.58000000007</v>
      </c>
      <c r="L113" s="451"/>
      <c r="M113" s="221">
        <f t="shared" si="205"/>
        <v>0.9999712398464794</v>
      </c>
      <c r="N113" s="176">
        <f t="shared" si="206"/>
        <v>6.9298006921361024</v>
      </c>
      <c r="O113" s="176">
        <f t="shared" si="173"/>
        <v>4.4999999999999998E-2</v>
      </c>
      <c r="P113" s="221">
        <f t="shared" si="207"/>
        <v>0.4619867128090735</v>
      </c>
      <c r="Q113" s="221">
        <f t="shared" si="208"/>
        <v>15</v>
      </c>
      <c r="R113" s="221"/>
      <c r="S113" s="176">
        <f t="shared" si="209"/>
        <v>2249.9995623006712</v>
      </c>
      <c r="T113" s="176">
        <f t="shared" si="210"/>
        <v>15</v>
      </c>
      <c r="U113" s="221">
        <f t="shared" si="211"/>
        <v>5.0001438049034532E-3</v>
      </c>
      <c r="V113" s="221">
        <f t="shared" si="212"/>
        <v>7.5002157073551798E-3</v>
      </c>
      <c r="W113" s="221">
        <f t="shared" si="213"/>
        <v>2.1571355913584583E-7</v>
      </c>
      <c r="X113" s="201">
        <f t="shared" si="214"/>
        <v>350</v>
      </c>
      <c r="Y113" s="451">
        <f t="shared" si="215"/>
        <v>350</v>
      </c>
      <c r="AA113" s="221">
        <f t="shared" si="216"/>
        <v>1.9047071235171036</v>
      </c>
      <c r="AB113" s="177">
        <f t="shared" si="217"/>
        <v>8.2171867201568798E-5</v>
      </c>
      <c r="AC113" s="177">
        <f t="shared" si="218"/>
        <v>1.2514141549591451</v>
      </c>
      <c r="AD113" s="177"/>
      <c r="AE113" s="177">
        <f t="shared" si="219"/>
        <v>6.4712206554230591E-6</v>
      </c>
      <c r="AF113" s="555">
        <f t="shared" si="220"/>
        <v>135.28888888888895</v>
      </c>
      <c r="AG113" s="538">
        <f t="shared" si="221"/>
        <v>7.7611695137976321E-3</v>
      </c>
      <c r="AI113" s="177">
        <f t="shared" si="222"/>
        <v>9.3258473379864301E-2</v>
      </c>
      <c r="AJ113" s="177">
        <f t="shared" si="223"/>
        <v>0.15</v>
      </c>
      <c r="AK113" s="177">
        <f t="shared" si="224"/>
        <v>1.0773079365079365</v>
      </c>
      <c r="AM113" s="555">
        <f t="shared" si="225"/>
        <v>3</v>
      </c>
      <c r="AN113" s="469">
        <f t="shared" si="226"/>
        <v>135.28888888888895</v>
      </c>
      <c r="AP113" s="469">
        <f t="shared" si="227"/>
        <v>3</v>
      </c>
      <c r="AQ113" s="469">
        <f t="shared" si="228"/>
        <v>135.28888888888895</v>
      </c>
      <c r="AS113" s="5">
        <f t="shared" si="175"/>
        <v>7.3915900131406014</v>
      </c>
      <c r="AT113" s="5">
        <f t="shared" si="229"/>
        <v>0.22500000000000001</v>
      </c>
      <c r="AU113" s="5">
        <f t="shared" si="230"/>
        <v>7.1665900131406017</v>
      </c>
      <c r="AV113" s="5"/>
      <c r="AW113" s="177">
        <f t="shared" si="231"/>
        <v>3.0440000000000012E-2</v>
      </c>
      <c r="AX113" s="177">
        <f t="shared" si="150"/>
        <v>4.566000000000002E-2</v>
      </c>
      <c r="AY113" s="177">
        <f t="shared" si="151"/>
        <v>3322.3670129999996</v>
      </c>
      <c r="AZ113" s="177">
        <f t="shared" si="178"/>
        <v>1.3743213745302144E-5</v>
      </c>
      <c r="BA113" s="469">
        <f t="shared" si="232"/>
        <v>3.7498921501997473</v>
      </c>
      <c r="BB113" s="469">
        <f t="shared" si="233"/>
        <v>1.1084895562339952E-2</v>
      </c>
      <c r="BC113" s="5">
        <f t="shared" si="234"/>
        <v>1.4930395860709581E-2</v>
      </c>
      <c r="BD113" s="469">
        <f t="shared" si="235"/>
        <v>1.7991475032851501</v>
      </c>
      <c r="BF113" s="177">
        <f t="shared" si="179"/>
        <v>1.5109599597606816E-2</v>
      </c>
      <c r="BG113" s="177">
        <f t="shared" si="156"/>
        <v>3896.0958209078613</v>
      </c>
      <c r="BI113" s="538">
        <f t="shared" si="236"/>
        <v>7.9905000000000015E-5</v>
      </c>
      <c r="BJ113" s="538">
        <f t="shared" si="237"/>
        <v>70.560587650666704</v>
      </c>
      <c r="BK113" s="538">
        <f t="shared" si="238"/>
        <v>1.6911111111111118E-3</v>
      </c>
      <c r="BL113" s="538">
        <f t="shared" si="239"/>
        <v>3271219.7960626916</v>
      </c>
      <c r="BM113">
        <f t="shared" si="240"/>
        <v>5.7999999999999996E-3</v>
      </c>
      <c r="BN113">
        <f t="shared" si="241"/>
        <v>5.0733333333333353E-6</v>
      </c>
      <c r="BO113" s="538">
        <f t="shared" si="242"/>
        <v>3271338.5918564475</v>
      </c>
      <c r="BP113" s="469">
        <f t="shared" si="243"/>
        <v>3271290364.2213583</v>
      </c>
      <c r="BQ113" s="538">
        <f t="shared" si="244"/>
        <v>11597185.862171013</v>
      </c>
      <c r="BT113" s="469">
        <f t="shared" si="245"/>
        <v>11597185862.171013</v>
      </c>
      <c r="BU113" s="538">
        <f t="shared" si="246"/>
        <v>2.2830000000000007E-5</v>
      </c>
      <c r="BV113" s="538">
        <f t="shared" si="247"/>
        <v>455386.879370871</v>
      </c>
      <c r="BW113" s="538">
        <f t="shared" si="248"/>
        <v>0</v>
      </c>
      <c r="BX113" s="538"/>
      <c r="BY113" s="538">
        <f t="shared" si="249"/>
        <v>1.5220000000000007E-4</v>
      </c>
      <c r="BZ113" s="469">
        <f t="shared" si="250"/>
        <v>455386879.54590094</v>
      </c>
      <c r="CA113" s="177">
        <f t="shared" si="251"/>
        <v>15323863.105938274</v>
      </c>
      <c r="CB113" s="5">
        <f t="shared" si="252"/>
        <v>4.4999999999999998E-2</v>
      </c>
      <c r="CC113" s="177">
        <f t="shared" si="253"/>
        <v>2.9365963110447555E-9</v>
      </c>
      <c r="CD113" s="5">
        <f t="shared" si="254"/>
        <v>2.9365963110447557E-7</v>
      </c>
      <c r="CG113" s="571">
        <f t="shared" si="255"/>
        <v>-50</v>
      </c>
      <c r="CH113">
        <f t="shared" si="256"/>
        <v>-50</v>
      </c>
    </row>
    <row r="114" spans="5:86" x14ac:dyDescent="0.25">
      <c r="E114" s="174">
        <v>4</v>
      </c>
      <c r="F114" s="221">
        <f t="shared" si="257"/>
        <v>4.0000000000000001E-3</v>
      </c>
      <c r="G114" s="221"/>
      <c r="H114" s="221">
        <f t="shared" si="201"/>
        <v>0.06</v>
      </c>
      <c r="I114" s="551">
        <f t="shared" si="202"/>
        <v>20</v>
      </c>
      <c r="J114" s="451">
        <f t="shared" si="203"/>
        <v>695386.58000000007</v>
      </c>
      <c r="K114" s="451">
        <f t="shared" si="204"/>
        <v>695406.58000000007</v>
      </c>
      <c r="L114" s="451"/>
      <c r="M114" s="221">
        <f t="shared" si="205"/>
        <v>0.9999712398464794</v>
      </c>
      <c r="N114" s="176">
        <f t="shared" si="206"/>
        <v>6.9298006921361024</v>
      </c>
      <c r="O114" s="176">
        <f t="shared" si="173"/>
        <v>0.06</v>
      </c>
      <c r="P114" s="221">
        <f t="shared" si="207"/>
        <v>0.4619867128090735</v>
      </c>
      <c r="Q114" s="221">
        <f t="shared" si="208"/>
        <v>15</v>
      </c>
      <c r="R114" s="221"/>
      <c r="S114" s="176">
        <f t="shared" si="209"/>
        <v>1687.499562314935</v>
      </c>
      <c r="T114" s="176">
        <f t="shared" si="210"/>
        <v>15</v>
      </c>
      <c r="U114" s="221">
        <f t="shared" si="211"/>
        <v>6.6668584065379382E-3</v>
      </c>
      <c r="V114" s="221">
        <f t="shared" si="212"/>
        <v>1.0000287609806906E-2</v>
      </c>
      <c r="W114" s="221">
        <f t="shared" si="213"/>
        <v>2.8761807884779442E-7</v>
      </c>
      <c r="X114" s="201">
        <f t="shared" si="214"/>
        <v>350</v>
      </c>
      <c r="Y114" s="451">
        <f t="shared" si="215"/>
        <v>350</v>
      </c>
      <c r="AA114" s="221">
        <f t="shared" si="216"/>
        <v>1.9047071235171036</v>
      </c>
      <c r="AB114" s="177">
        <f t="shared" si="217"/>
        <v>8.2171867201568798E-5</v>
      </c>
      <c r="AC114" s="177">
        <f t="shared" si="218"/>
        <v>1.2514141549591451</v>
      </c>
      <c r="AD114" s="177"/>
      <c r="AE114" s="177">
        <f t="shared" si="219"/>
        <v>6.4712206554230591E-6</v>
      </c>
      <c r="AF114" s="555">
        <f t="shared" si="220"/>
        <v>180.38518518518524</v>
      </c>
      <c r="AG114" s="538">
        <f t="shared" si="221"/>
        <v>7.7611695137976321E-3</v>
      </c>
      <c r="AI114" s="177">
        <f t="shared" si="222"/>
        <v>0.1076856094201564</v>
      </c>
      <c r="AJ114" s="177">
        <f t="shared" si="223"/>
        <v>0.15</v>
      </c>
      <c r="AK114" s="177">
        <f t="shared" si="224"/>
        <v>1.1030772486772487</v>
      </c>
      <c r="AM114" s="555">
        <f t="shared" si="225"/>
        <v>4</v>
      </c>
      <c r="AN114" s="469">
        <f t="shared" si="226"/>
        <v>180.38518518518524</v>
      </c>
      <c r="AP114" s="469">
        <f t="shared" si="227"/>
        <v>4</v>
      </c>
      <c r="AQ114" s="469">
        <f t="shared" si="228"/>
        <v>180.38518518518524</v>
      </c>
      <c r="AS114" s="5">
        <f t="shared" si="175"/>
        <v>5.5436925098554513</v>
      </c>
      <c r="AT114" s="5">
        <f t="shared" si="229"/>
        <v>0.22500000000000001</v>
      </c>
      <c r="AU114" s="5">
        <f t="shared" si="230"/>
        <v>5.3186925098554516</v>
      </c>
      <c r="AV114" s="5"/>
      <c r="AW114" s="177">
        <f t="shared" si="231"/>
        <v>4.0586666666666681E-2</v>
      </c>
      <c r="AX114" s="177">
        <f t="shared" si="150"/>
        <v>6.088000000000001E-2</v>
      </c>
      <c r="AY114" s="177">
        <f t="shared" si="151"/>
        <v>3287.5976839999998</v>
      </c>
      <c r="AZ114" s="177">
        <f t="shared" si="178"/>
        <v>1.851808093681575E-5</v>
      </c>
      <c r="BA114" s="469">
        <f t="shared" si="232"/>
        <v>3.7498921501997473</v>
      </c>
      <c r="BB114" s="469">
        <f t="shared" si="233"/>
        <v>1.5706480999715468E-2</v>
      </c>
      <c r="BC114" s="5">
        <f t="shared" si="234"/>
        <v>1.4774145860709584E-2</v>
      </c>
      <c r="BD114" s="469">
        <f t="shared" si="235"/>
        <v>1.7828975032851504</v>
      </c>
      <c r="BF114" s="177">
        <f t="shared" si="179"/>
        <v>1.7447062790051513E-2</v>
      </c>
      <c r="BG114" s="177">
        <f t="shared" si="156"/>
        <v>3875.655435978229</v>
      </c>
      <c r="BI114" s="538">
        <f t="shared" si="236"/>
        <v>1.0654000000000002E-4</v>
      </c>
      <c r="BJ114" s="538">
        <f t="shared" si="237"/>
        <v>94.080783534222263</v>
      </c>
      <c r="BK114" s="538">
        <f t="shared" si="238"/>
        <v>2.2548148148148154E-3</v>
      </c>
      <c r="BL114" s="538">
        <f t="shared" si="239"/>
        <v>4361626.3947502552</v>
      </c>
      <c r="BM114">
        <f t="shared" si="240"/>
        <v>5.7999999999999996E-3</v>
      </c>
      <c r="BN114">
        <f t="shared" si="241"/>
        <v>6.7644444444444457E-6</v>
      </c>
      <c r="BO114" s="538">
        <f t="shared" si="242"/>
        <v>4361806.2221273314</v>
      </c>
      <c r="BP114" s="469">
        <f t="shared" si="243"/>
        <v>4361720483.6951447</v>
      </c>
      <c r="BQ114" s="538">
        <f t="shared" si="244"/>
        <v>11475818.665784679</v>
      </c>
      <c r="BT114" s="469">
        <f t="shared" si="245"/>
        <v>11475818665.784679</v>
      </c>
      <c r="BU114" s="538">
        <f t="shared" si="246"/>
        <v>3.044000000000001E-5</v>
      </c>
      <c r="BV114" s="538">
        <f t="shared" si="247"/>
        <v>450621.15175282786</v>
      </c>
      <c r="BW114" s="538">
        <f t="shared" si="248"/>
        <v>0</v>
      </c>
      <c r="BX114" s="538"/>
      <c r="BY114" s="538">
        <f t="shared" si="249"/>
        <v>2.0293333333333343E-4</v>
      </c>
      <c r="BZ114" s="469">
        <f t="shared" si="250"/>
        <v>450621151.98620117</v>
      </c>
      <c r="CA114" s="177">
        <f t="shared" si="251"/>
        <v>16288160.301466025</v>
      </c>
      <c r="CB114" s="5">
        <f t="shared" si="252"/>
        <v>0.06</v>
      </c>
      <c r="CC114" s="177">
        <f t="shared" si="253"/>
        <v>3.6836572497128621E-9</v>
      </c>
      <c r="CD114" s="5">
        <f t="shared" si="254"/>
        <v>3.6836572497128623E-7</v>
      </c>
      <c r="CG114" s="571">
        <f t="shared" si="255"/>
        <v>-50</v>
      </c>
      <c r="CH114">
        <f t="shared" si="256"/>
        <v>-50</v>
      </c>
    </row>
    <row r="115" spans="5:86" x14ac:dyDescent="0.25">
      <c r="E115" s="174">
        <v>5</v>
      </c>
      <c r="F115" s="221">
        <f t="shared" si="257"/>
        <v>5.000000000000001E-3</v>
      </c>
      <c r="G115" s="221"/>
      <c r="H115" s="221">
        <f t="shared" si="201"/>
        <v>7.5000000000000011E-2</v>
      </c>
      <c r="I115" s="551">
        <f t="shared" si="202"/>
        <v>20</v>
      </c>
      <c r="J115" s="451">
        <f t="shared" si="203"/>
        <v>695386.58000000007</v>
      </c>
      <c r="K115" s="451">
        <f t="shared" si="204"/>
        <v>695406.58000000007</v>
      </c>
      <c r="L115" s="451"/>
      <c r="M115" s="221">
        <f t="shared" si="205"/>
        <v>0.9999712398464794</v>
      </c>
      <c r="N115" s="176">
        <f t="shared" si="206"/>
        <v>6.9298006921361024</v>
      </c>
      <c r="O115" s="176">
        <f t="shared" si="173"/>
        <v>7.5000000000000011E-2</v>
      </c>
      <c r="P115" s="221">
        <f t="shared" si="207"/>
        <v>0.4619867128090735</v>
      </c>
      <c r="Q115" s="221">
        <f t="shared" si="208"/>
        <v>15</v>
      </c>
      <c r="R115" s="221"/>
      <c r="S115" s="176">
        <f t="shared" si="209"/>
        <v>1349.9995623291979</v>
      </c>
      <c r="T115" s="176">
        <f t="shared" si="210"/>
        <v>15</v>
      </c>
      <c r="U115" s="221">
        <f t="shared" si="211"/>
        <v>8.3335730081724249E-3</v>
      </c>
      <c r="V115" s="221">
        <f t="shared" si="212"/>
        <v>1.2500359512258637E-2</v>
      </c>
      <c r="W115" s="221">
        <f t="shared" si="213"/>
        <v>3.5952259855974317E-7</v>
      </c>
      <c r="X115" s="201">
        <f t="shared" si="214"/>
        <v>350</v>
      </c>
      <c r="Y115" s="451">
        <f t="shared" si="215"/>
        <v>350</v>
      </c>
      <c r="AA115" s="221">
        <f t="shared" si="216"/>
        <v>1.9047071235171036</v>
      </c>
      <c r="AB115" s="177">
        <f t="shared" si="217"/>
        <v>8.2171867201568798E-5</v>
      </c>
      <c r="AC115" s="177">
        <f t="shared" si="218"/>
        <v>1.2514141549591451</v>
      </c>
      <c r="AD115" s="177"/>
      <c r="AE115" s="177">
        <f t="shared" si="219"/>
        <v>6.4712206554230591E-6</v>
      </c>
      <c r="AF115" s="555">
        <f t="shared" si="220"/>
        <v>225.48148148148158</v>
      </c>
      <c r="AG115" s="538">
        <f t="shared" si="221"/>
        <v>7.7611695137976321E-3</v>
      </c>
      <c r="AI115" s="177">
        <f t="shared" si="222"/>
        <v>0.12039617143098072</v>
      </c>
      <c r="AJ115" s="177">
        <f t="shared" si="223"/>
        <v>0.15</v>
      </c>
      <c r="AK115" s="177">
        <f t="shared" si="224"/>
        <v>1.128846560846561</v>
      </c>
      <c r="AM115" s="555">
        <f t="shared" si="225"/>
        <v>5.0000000000000009</v>
      </c>
      <c r="AN115" s="469">
        <f t="shared" si="226"/>
        <v>225.48148148148158</v>
      </c>
      <c r="AP115" s="469">
        <f t="shared" si="227"/>
        <v>5.0000000000000009</v>
      </c>
      <c r="AQ115" s="469">
        <f t="shared" si="228"/>
        <v>225.48148148148158</v>
      </c>
      <c r="AS115" s="5">
        <f t="shared" si="175"/>
        <v>4.4349540078843601</v>
      </c>
      <c r="AT115" s="5">
        <f t="shared" si="229"/>
        <v>0.22500000000000001</v>
      </c>
      <c r="AU115" s="5">
        <f t="shared" si="230"/>
        <v>4.2099540078843605</v>
      </c>
      <c r="AV115" s="5"/>
      <c r="AW115" s="177">
        <f t="shared" si="231"/>
        <v>5.0733333333333366E-2</v>
      </c>
      <c r="AX115" s="177">
        <f t="shared" si="150"/>
        <v>7.6100000000000029E-2</v>
      </c>
      <c r="AY115" s="177">
        <f t="shared" si="151"/>
        <v>3252.8283549999996</v>
      </c>
      <c r="AZ115" s="177">
        <f t="shared" si="178"/>
        <v>2.339502478912695E-5</v>
      </c>
      <c r="BA115" s="469">
        <f t="shared" si="232"/>
        <v>3.7498921501997473</v>
      </c>
      <c r="BB115" s="469">
        <f t="shared" si="233"/>
        <v>2.0791376562055423E-2</v>
      </c>
      <c r="BC115" s="5">
        <f t="shared" si="234"/>
        <v>1.4617895860709587E-2</v>
      </c>
      <c r="BD115" s="469">
        <f t="shared" si="235"/>
        <v>1.7666475032851505</v>
      </c>
      <c r="BF115" s="177">
        <f t="shared" si="179"/>
        <v>1.9506409203131164E-2</v>
      </c>
      <c r="BG115" s="177">
        <f t="shared" si="156"/>
        <v>3855.1066744202421</v>
      </c>
      <c r="BI115" s="538">
        <f t="shared" si="236"/>
        <v>1.3317500000000005E-4</v>
      </c>
      <c r="BJ115" s="538">
        <f t="shared" si="237"/>
        <v>117.60097941777785</v>
      </c>
      <c r="BK115" s="538">
        <f t="shared" si="238"/>
        <v>2.8185185185185197E-3</v>
      </c>
      <c r="BL115" s="538">
        <f t="shared" si="239"/>
        <v>5452032.9934378192</v>
      </c>
      <c r="BM115">
        <f t="shared" si="240"/>
        <v>5.7999999999999996E-3</v>
      </c>
      <c r="BN115">
        <f t="shared" si="241"/>
        <v>8.4555555555555585E-6</v>
      </c>
      <c r="BO115" s="538">
        <f t="shared" si="242"/>
        <v>5452284.570120926</v>
      </c>
      <c r="BP115" s="469">
        <f t="shared" si="243"/>
        <v>5452150603.168931</v>
      </c>
      <c r="BQ115" s="538">
        <f t="shared" si="244"/>
        <v>11354451.469398353</v>
      </c>
      <c r="BT115" s="469">
        <f t="shared" si="245"/>
        <v>11354451469.398354</v>
      </c>
      <c r="BU115" s="538">
        <f t="shared" si="246"/>
        <v>3.8050000000000017E-5</v>
      </c>
      <c r="BV115" s="538">
        <f t="shared" si="247"/>
        <v>445855.42413478496</v>
      </c>
      <c r="BW115" s="538">
        <f t="shared" si="248"/>
        <v>0</v>
      </c>
      <c r="BX115" s="538"/>
      <c r="BY115" s="538">
        <f t="shared" si="249"/>
        <v>2.536666666666668E-4</v>
      </c>
      <c r="BZ115" s="469">
        <f t="shared" si="250"/>
        <v>445855424.42650163</v>
      </c>
      <c r="CA115" s="177">
        <f t="shared" si="251"/>
        <v>17252457.496993784</v>
      </c>
      <c r="CB115" s="5">
        <f t="shared" si="252"/>
        <v>7.5000000000000011E-2</v>
      </c>
      <c r="CC115" s="177">
        <f t="shared" si="253"/>
        <v>4.3472067493589331E-9</v>
      </c>
      <c r="CD115" s="5">
        <f t="shared" si="254"/>
        <v>4.347206749358933E-7</v>
      </c>
      <c r="CG115" s="571">
        <f t="shared" si="255"/>
        <v>-50</v>
      </c>
      <c r="CH115">
        <f t="shared" si="256"/>
        <v>-50</v>
      </c>
    </row>
    <row r="116" spans="5:86" x14ac:dyDescent="0.25">
      <c r="E116" s="174">
        <v>6</v>
      </c>
      <c r="F116" s="221">
        <f t="shared" si="257"/>
        <v>6.0000000000000001E-3</v>
      </c>
      <c r="G116" s="221"/>
      <c r="H116" s="221">
        <f t="shared" si="201"/>
        <v>0.09</v>
      </c>
      <c r="I116" s="551">
        <f t="shared" si="202"/>
        <v>20</v>
      </c>
      <c r="J116" s="451">
        <f t="shared" si="203"/>
        <v>695386.58000000007</v>
      </c>
      <c r="K116" s="451">
        <f t="shared" si="204"/>
        <v>695406.58000000007</v>
      </c>
      <c r="L116" s="451"/>
      <c r="M116" s="221">
        <f t="shared" si="205"/>
        <v>0.9999712398464794</v>
      </c>
      <c r="N116" s="176">
        <f t="shared" si="206"/>
        <v>6.9298006921361024</v>
      </c>
      <c r="O116" s="176">
        <f t="shared" si="173"/>
        <v>0.09</v>
      </c>
      <c r="P116" s="221">
        <f t="shared" si="207"/>
        <v>0.4619867128090735</v>
      </c>
      <c r="Q116" s="221">
        <f t="shared" si="208"/>
        <v>15</v>
      </c>
      <c r="R116" s="221"/>
      <c r="S116" s="176">
        <f t="shared" si="209"/>
        <v>1124.9995623434602</v>
      </c>
      <c r="T116" s="176">
        <f t="shared" si="210"/>
        <v>15</v>
      </c>
      <c r="U116" s="221">
        <f t="shared" si="211"/>
        <v>1.0000287609806906E-2</v>
      </c>
      <c r="V116" s="221">
        <f t="shared" si="212"/>
        <v>1.500043141471036E-2</v>
      </c>
      <c r="W116" s="221">
        <f t="shared" si="213"/>
        <v>4.3142711827169166E-7</v>
      </c>
      <c r="X116" s="201">
        <f t="shared" si="214"/>
        <v>350</v>
      </c>
      <c r="Y116" s="451">
        <f t="shared" si="215"/>
        <v>350</v>
      </c>
      <c r="AA116" s="221">
        <f t="shared" si="216"/>
        <v>1.9047071235171036</v>
      </c>
      <c r="AB116" s="177">
        <f t="shared" si="217"/>
        <v>8.2171867201568798E-5</v>
      </c>
      <c r="AC116" s="177">
        <f t="shared" si="218"/>
        <v>1.2514141549591451</v>
      </c>
      <c r="AD116" s="177"/>
      <c r="AE116" s="177">
        <f t="shared" si="219"/>
        <v>6.4712206554230591E-6</v>
      </c>
      <c r="AF116" s="555">
        <f t="shared" si="220"/>
        <v>270.5777777777779</v>
      </c>
      <c r="AG116" s="538">
        <f t="shared" si="221"/>
        <v>7.7611695137976321E-3</v>
      </c>
      <c r="AI116" s="177">
        <f t="shared" si="222"/>
        <v>0.13188739786001435</v>
      </c>
      <c r="AJ116" s="177">
        <f t="shared" si="223"/>
        <v>0.15</v>
      </c>
      <c r="AK116" s="177">
        <f t="shared" si="224"/>
        <v>1.1546158730158731</v>
      </c>
      <c r="AM116" s="555">
        <f t="shared" si="225"/>
        <v>6</v>
      </c>
      <c r="AN116" s="469">
        <f t="shared" si="226"/>
        <v>270.5777777777779</v>
      </c>
      <c r="AP116" s="469">
        <f t="shared" si="227"/>
        <v>6</v>
      </c>
      <c r="AQ116" s="469">
        <f t="shared" si="228"/>
        <v>270.5777777777779</v>
      </c>
      <c r="AS116" s="5">
        <f t="shared" si="175"/>
        <v>3.6957950065703007</v>
      </c>
      <c r="AT116" s="5">
        <f t="shared" si="229"/>
        <v>0.22500000000000001</v>
      </c>
      <c r="AU116" s="5">
        <f t="shared" si="230"/>
        <v>3.4707950065703006</v>
      </c>
      <c r="AV116" s="5"/>
      <c r="AW116" s="177">
        <f t="shared" si="231"/>
        <v>6.0880000000000024E-2</v>
      </c>
      <c r="AX116" s="177">
        <f t="shared" si="150"/>
        <v>9.132000000000004E-2</v>
      </c>
      <c r="AY116" s="177">
        <f t="shared" si="151"/>
        <v>3218.0590259999994</v>
      </c>
      <c r="AZ116" s="177">
        <f t="shared" si="178"/>
        <v>2.837735394602425E-5</v>
      </c>
      <c r="BA116" s="469">
        <f t="shared" si="232"/>
        <v>3.7498921501997473</v>
      </c>
      <c r="BB116" s="469">
        <f t="shared" si="233"/>
        <v>2.6339582249359804E-2</v>
      </c>
      <c r="BC116" s="5">
        <f t="shared" si="234"/>
        <v>1.446164586070958E-2</v>
      </c>
      <c r="BD116" s="469">
        <f t="shared" si="235"/>
        <v>1.75039750328515</v>
      </c>
      <c r="BF116" s="177">
        <f t="shared" si="179"/>
        <v>2.136820067296262E-2</v>
      </c>
      <c r="BG116" s="177">
        <f t="shared" si="156"/>
        <v>3834.4477938669861</v>
      </c>
      <c r="BI116" s="538">
        <f t="shared" si="236"/>
        <v>1.5981000000000003E-4</v>
      </c>
      <c r="BJ116" s="538">
        <f t="shared" si="237"/>
        <v>141.12117530133341</v>
      </c>
      <c r="BK116" s="538">
        <f t="shared" si="238"/>
        <v>3.3822222222222235E-3</v>
      </c>
      <c r="BL116" s="538">
        <f t="shared" si="239"/>
        <v>6542439.5921253832</v>
      </c>
      <c r="BM116">
        <f t="shared" si="240"/>
        <v>5.7999999999999996E-3</v>
      </c>
      <c r="BN116">
        <f t="shared" si="241"/>
        <v>1.0146666666666671E-5</v>
      </c>
      <c r="BO116" s="538">
        <f t="shared" si="242"/>
        <v>6542773.6359952437</v>
      </c>
      <c r="BP116" s="469">
        <f t="shared" si="243"/>
        <v>6542580722.6427174</v>
      </c>
      <c r="BQ116" s="538">
        <f t="shared" si="244"/>
        <v>11233084.273012025</v>
      </c>
      <c r="BT116" s="469">
        <f t="shared" si="245"/>
        <v>11233084273.012026</v>
      </c>
      <c r="BU116" s="538">
        <f t="shared" si="246"/>
        <v>4.566000000000002E-5</v>
      </c>
      <c r="BV116" s="538">
        <f t="shared" si="247"/>
        <v>441089.69651674188</v>
      </c>
      <c r="BW116" s="538">
        <f t="shared" si="248"/>
        <v>0</v>
      </c>
      <c r="BX116" s="538"/>
      <c r="BY116" s="538">
        <f t="shared" si="249"/>
        <v>3.0440000000000013E-4</v>
      </c>
      <c r="BZ116" s="469">
        <f t="shared" si="250"/>
        <v>441089696.86680186</v>
      </c>
      <c r="CA116" s="177">
        <f t="shared" si="251"/>
        <v>18216754.692521546</v>
      </c>
      <c r="CB116" s="5">
        <f t="shared" si="252"/>
        <v>0.09</v>
      </c>
      <c r="CC116" s="177">
        <f t="shared" si="253"/>
        <v>4.9405067518585923E-9</v>
      </c>
      <c r="CD116" s="5">
        <f t="shared" si="254"/>
        <v>4.9405067518585922E-7</v>
      </c>
      <c r="CG116" s="571">
        <f t="shared" si="255"/>
        <v>-50</v>
      </c>
      <c r="CH116">
        <f t="shared" si="256"/>
        <v>-50</v>
      </c>
    </row>
    <row r="117" spans="5:86" x14ac:dyDescent="0.25">
      <c r="E117" s="174">
        <v>7</v>
      </c>
      <c r="F117" s="221">
        <f t="shared" si="257"/>
        <v>7.000000000000001E-3</v>
      </c>
      <c r="G117" s="221"/>
      <c r="H117" s="221">
        <f t="shared" si="201"/>
        <v>0.10500000000000001</v>
      </c>
      <c r="I117" s="551">
        <f t="shared" si="202"/>
        <v>20</v>
      </c>
      <c r="J117" s="451">
        <f t="shared" si="203"/>
        <v>695386.58000000007</v>
      </c>
      <c r="K117" s="451">
        <f t="shared" si="204"/>
        <v>695406.58000000007</v>
      </c>
      <c r="L117" s="451"/>
      <c r="M117" s="221">
        <f t="shared" si="205"/>
        <v>0.9999712398464794</v>
      </c>
      <c r="N117" s="176">
        <f t="shared" si="206"/>
        <v>6.9298006921361024</v>
      </c>
      <c r="O117" s="176">
        <f t="shared" si="173"/>
        <v>0.10500000000000001</v>
      </c>
      <c r="P117" s="221">
        <f t="shared" si="207"/>
        <v>0.4619867128090735</v>
      </c>
      <c r="Q117" s="221">
        <f t="shared" si="208"/>
        <v>15</v>
      </c>
      <c r="R117" s="221"/>
      <c r="S117" s="176">
        <f t="shared" si="209"/>
        <v>964.2852766434354</v>
      </c>
      <c r="T117" s="176">
        <f t="shared" si="210"/>
        <v>15</v>
      </c>
      <c r="U117" s="221">
        <f t="shared" si="211"/>
        <v>1.1667002211441393E-2</v>
      </c>
      <c r="V117" s="221">
        <f t="shared" si="212"/>
        <v>1.7500503317162089E-2</v>
      </c>
      <c r="W117" s="221">
        <f t="shared" si="213"/>
        <v>5.0333163798364031E-7</v>
      </c>
      <c r="X117" s="201">
        <f t="shared" si="214"/>
        <v>350</v>
      </c>
      <c r="Y117" s="451">
        <f t="shared" si="215"/>
        <v>350</v>
      </c>
      <c r="AA117" s="221">
        <f t="shared" si="216"/>
        <v>1.9047071235171036</v>
      </c>
      <c r="AB117" s="177">
        <f t="shared" si="217"/>
        <v>8.2171867201568798E-5</v>
      </c>
      <c r="AC117" s="177">
        <f t="shared" si="218"/>
        <v>1.2514141549591451</v>
      </c>
      <c r="AD117" s="177"/>
      <c r="AE117" s="177">
        <f t="shared" si="219"/>
        <v>6.4712206554230591E-6</v>
      </c>
      <c r="AF117" s="555">
        <f t="shared" si="220"/>
        <v>315.67407407407421</v>
      </c>
      <c r="AG117" s="538">
        <f t="shared" si="221"/>
        <v>7.7611695137976321E-3</v>
      </c>
      <c r="AI117" s="177">
        <f t="shared" si="222"/>
        <v>0.14245467115308411</v>
      </c>
      <c r="AJ117" s="177">
        <f t="shared" si="223"/>
        <v>0.15</v>
      </c>
      <c r="AK117" s="177">
        <f t="shared" si="224"/>
        <v>1.1803851851851852</v>
      </c>
      <c r="AM117" s="555">
        <f t="shared" si="225"/>
        <v>7.0000000000000009</v>
      </c>
      <c r="AN117" s="469">
        <f t="shared" si="226"/>
        <v>315.67407407407421</v>
      </c>
      <c r="AP117" s="469">
        <f t="shared" si="227"/>
        <v>7.0000000000000009</v>
      </c>
      <c r="AQ117" s="469">
        <f t="shared" si="228"/>
        <v>315.67407407407421</v>
      </c>
      <c r="AS117" s="5">
        <f t="shared" si="175"/>
        <v>3.1678242913459722</v>
      </c>
      <c r="AT117" s="5">
        <f t="shared" si="229"/>
        <v>0.22500000000000001</v>
      </c>
      <c r="AU117" s="5">
        <f t="shared" si="230"/>
        <v>2.9428242913459721</v>
      </c>
      <c r="AV117" s="5"/>
      <c r="AW117" s="177">
        <f t="shared" si="231"/>
        <v>7.1026666666666696E-2</v>
      </c>
      <c r="AX117" s="177">
        <f t="shared" si="150"/>
        <v>0.10654000000000005</v>
      </c>
      <c r="AY117" s="177">
        <f t="shared" si="151"/>
        <v>3183.2896969999997</v>
      </c>
      <c r="AZ117" s="177">
        <f t="shared" si="178"/>
        <v>3.3468521605308376E-5</v>
      </c>
      <c r="BA117" s="469">
        <f t="shared" si="232"/>
        <v>3.7498921501997473</v>
      </c>
      <c r="BB117" s="469">
        <f t="shared" si="233"/>
        <v>3.2351098061628628E-2</v>
      </c>
      <c r="BC117" s="5">
        <f t="shared" ref="BC117:BC180" si="258">H117/Efficiency/I117*AU117/Vinripple1</f>
        <v>1.4305395860709584E-2</v>
      </c>
      <c r="BD117" s="469">
        <f t="shared" si="235"/>
        <v>1.7341475032851503</v>
      </c>
      <c r="BF117" s="177">
        <f t="shared" si="179"/>
        <v>2.3080294625502512E-2</v>
      </c>
      <c r="BG117" s="177">
        <f t="shared" si="156"/>
        <v>3813.6770047584387</v>
      </c>
      <c r="BI117" s="538">
        <f t="shared" si="236"/>
        <v>1.8644500000000004E-4</v>
      </c>
      <c r="BJ117" s="538">
        <f t="shared" si="237"/>
        <v>164.64137118488898</v>
      </c>
      <c r="BK117" s="538">
        <f t="shared" si="238"/>
        <v>3.9459259259259282E-3</v>
      </c>
      <c r="BL117" s="538">
        <f t="shared" si="239"/>
        <v>7632846.1908129472</v>
      </c>
      <c r="BM117">
        <f t="shared" si="240"/>
        <v>5.7999999999999996E-3</v>
      </c>
      <c r="BN117">
        <f t="shared" si="241"/>
        <v>1.1837777777777783E-5</v>
      </c>
      <c r="BO117" s="538">
        <f t="shared" si="242"/>
        <v>7633273.4199082945</v>
      </c>
      <c r="BP117" s="469">
        <f t="shared" si="243"/>
        <v>7633010842.1165028</v>
      </c>
      <c r="BQ117" s="538">
        <f t="shared" si="244"/>
        <v>11111717.076625697</v>
      </c>
      <c r="BT117" s="469">
        <f t="shared" si="245"/>
        <v>11111717076.625698</v>
      </c>
      <c r="BU117" s="538">
        <f t="shared" si="246"/>
        <v>5.327000000000001E-5</v>
      </c>
      <c r="BV117" s="538">
        <f t="shared" si="247"/>
        <v>436323.96889869892</v>
      </c>
      <c r="BW117" s="538">
        <f t="shared" si="248"/>
        <v>0</v>
      </c>
      <c r="BX117" s="538"/>
      <c r="BY117" s="538">
        <f t="shared" si="249"/>
        <v>3.5513333333333358E-4</v>
      </c>
      <c r="BZ117" s="469">
        <f t="shared" si="250"/>
        <v>436323969.30710226</v>
      </c>
      <c r="CA117" s="177">
        <f t="shared" si="251"/>
        <v>19181051.888049304</v>
      </c>
      <c r="CB117" s="5">
        <f t="shared" si="252"/>
        <v>0.10500000000000001</v>
      </c>
      <c r="CC117" s="177">
        <f t="shared" si="253"/>
        <v>5.4741523060387498E-9</v>
      </c>
      <c r="CD117" s="5">
        <f t="shared" si="254"/>
        <v>5.4741523060387501E-7</v>
      </c>
      <c r="CG117" s="571">
        <f t="shared" si="255"/>
        <v>-50</v>
      </c>
      <c r="CH117">
        <f t="shared" si="256"/>
        <v>-50</v>
      </c>
    </row>
    <row r="118" spans="5:86" x14ac:dyDescent="0.25">
      <c r="E118" s="174">
        <v>8</v>
      </c>
      <c r="F118" s="221">
        <f t="shared" si="257"/>
        <v>8.0000000000000002E-3</v>
      </c>
      <c r="G118" s="221"/>
      <c r="H118" s="221">
        <f t="shared" si="201"/>
        <v>0.12</v>
      </c>
      <c r="I118" s="551">
        <f t="shared" si="202"/>
        <v>20</v>
      </c>
      <c r="J118" s="451">
        <f t="shared" si="203"/>
        <v>695386.58000000007</v>
      </c>
      <c r="K118" s="451">
        <f t="shared" si="204"/>
        <v>695406.58000000007</v>
      </c>
      <c r="L118" s="451"/>
      <c r="M118" s="221">
        <f t="shared" si="205"/>
        <v>0.9999712398464794</v>
      </c>
      <c r="N118" s="176">
        <f t="shared" si="206"/>
        <v>6.9298006921361024</v>
      </c>
      <c r="O118" s="176">
        <f t="shared" si="173"/>
        <v>0.12</v>
      </c>
      <c r="P118" s="221">
        <f t="shared" si="207"/>
        <v>0.4619867128090735</v>
      </c>
      <c r="Q118" s="221">
        <f t="shared" si="208"/>
        <v>15</v>
      </c>
      <c r="R118" s="221"/>
      <c r="S118" s="176">
        <f t="shared" si="209"/>
        <v>843.74956237198126</v>
      </c>
      <c r="T118" s="176">
        <f t="shared" si="210"/>
        <v>15</v>
      </c>
      <c r="U118" s="221">
        <f t="shared" si="211"/>
        <v>1.3333716813075876E-2</v>
      </c>
      <c r="V118" s="221">
        <f t="shared" si="212"/>
        <v>2.0000575219613813E-2</v>
      </c>
      <c r="W118" s="221">
        <f t="shared" si="213"/>
        <v>5.7523615769558885E-7</v>
      </c>
      <c r="X118" s="201">
        <f t="shared" si="214"/>
        <v>350</v>
      </c>
      <c r="Y118" s="451">
        <f t="shared" si="215"/>
        <v>350</v>
      </c>
      <c r="AA118" s="221">
        <f t="shared" si="216"/>
        <v>1.9047071235171036</v>
      </c>
      <c r="AB118" s="177">
        <f t="shared" si="217"/>
        <v>8.2171867201568798E-5</v>
      </c>
      <c r="AC118" s="177">
        <f t="shared" si="218"/>
        <v>1.2514141549591451</v>
      </c>
      <c r="AD118" s="177"/>
      <c r="AE118" s="177">
        <f t="shared" si="219"/>
        <v>6.4712206554230591E-6</v>
      </c>
      <c r="AF118" s="555">
        <f t="shared" si="220"/>
        <v>360.77037037037047</v>
      </c>
      <c r="AG118" s="538">
        <f t="shared" si="221"/>
        <v>7.7611695137976321E-3</v>
      </c>
      <c r="AI118" s="177">
        <f t="shared" si="222"/>
        <v>0.15229044931439711</v>
      </c>
      <c r="AJ118" s="177">
        <f t="shared" si="223"/>
        <v>0.15229044931439711</v>
      </c>
      <c r="AK118" s="177">
        <f t="shared" si="224"/>
        <v>1.201526966209598</v>
      </c>
      <c r="AM118" s="555">
        <f t="shared" si="225"/>
        <v>8</v>
      </c>
      <c r="AN118" s="469">
        <f t="shared" si="226"/>
        <v>350</v>
      </c>
      <c r="AP118" s="469">
        <f t="shared" si="227"/>
        <v>8</v>
      </c>
      <c r="AQ118" s="469">
        <f t="shared" si="228"/>
        <v>350</v>
      </c>
      <c r="AS118" s="5">
        <f t="shared" si="175"/>
        <v>2.8571428571428572</v>
      </c>
      <c r="AT118" s="5">
        <f t="shared" si="229"/>
        <v>0.22843567397159567</v>
      </c>
      <c r="AU118" s="5">
        <f t="shared" si="230"/>
        <v>2.6287071831712616</v>
      </c>
      <c r="AV118" s="5"/>
      <c r="AW118" s="177">
        <f t="shared" si="231"/>
        <v>7.9952485890058489E-2</v>
      </c>
      <c r="AX118" s="177">
        <f t="shared" si="150"/>
        <v>0.12176000000000002</v>
      </c>
      <c r="AY118" s="177">
        <f t="shared" si="151"/>
        <v>3200.8445373627451</v>
      </c>
      <c r="AZ118" s="177">
        <f t="shared" si="178"/>
        <v>3.8039960572505997E-5</v>
      </c>
      <c r="BA118" s="469">
        <f t="shared" si="232"/>
        <v>3.7498921501997473</v>
      </c>
      <c r="BB118" s="469">
        <f t="shared" si="233"/>
        <v>3.8825923998861867E-2</v>
      </c>
      <c r="BC118" s="5">
        <f t="shared" si="258"/>
        <v>1.4603928795395895E-2</v>
      </c>
      <c r="BD118" s="469">
        <f t="shared" si="235"/>
        <v>1.7724714554475076</v>
      </c>
      <c r="BF118" s="177">
        <f t="shared" si="179"/>
        <v>2.4861539982149801E-2</v>
      </c>
      <c r="BG118" s="177">
        <f t="shared" si="156"/>
        <v>3853.2645011287541</v>
      </c>
      <c r="BI118" s="538">
        <f t="shared" si="236"/>
        <v>2.1633365959941158E-4</v>
      </c>
      <c r="BJ118" s="538">
        <f t="shared" si="237"/>
        <v>185.33161591767944</v>
      </c>
      <c r="BK118" s="538">
        <f t="shared" si="238"/>
        <v>4.3749999999999995E-3</v>
      </c>
      <c r="BL118" s="538">
        <f t="shared" si="239"/>
        <v>8462830.4513776898</v>
      </c>
      <c r="BM118">
        <f t="shared" si="240"/>
        <v>5.7999999999999996E-3</v>
      </c>
      <c r="BN118">
        <f t="shared" si="241"/>
        <v>1.3124999999999999E-5</v>
      </c>
      <c r="BO118" s="538">
        <f t="shared" si="242"/>
        <v>8463353.5960004851</v>
      </c>
      <c r="BP118" s="469">
        <f t="shared" si="243"/>
        <v>8463015793.3849411</v>
      </c>
      <c r="BQ118" s="538">
        <f t="shared" si="244"/>
        <v>11343602.551455492</v>
      </c>
      <c r="BT118" s="469">
        <f t="shared" si="245"/>
        <v>11343602551.455492</v>
      </c>
      <c r="BU118" s="538">
        <f t="shared" si="246"/>
        <v>6.180961702840331E-5</v>
      </c>
      <c r="BV118" s="538">
        <f t="shared" si="247"/>
        <v>445429.41946977074</v>
      </c>
      <c r="BW118" s="538">
        <f t="shared" si="248"/>
        <v>0</v>
      </c>
      <c r="BX118" s="538"/>
      <c r="BY118" s="538">
        <f t="shared" si="249"/>
        <v>4.0586666666666681E-4</v>
      </c>
      <c r="BZ118" s="469">
        <f t="shared" si="250"/>
        <v>445429419.93744701</v>
      </c>
      <c r="CA118" s="177">
        <f t="shared" si="251"/>
        <v>20252047.76477788</v>
      </c>
      <c r="CB118" s="5">
        <f t="shared" si="252"/>
        <v>0.12</v>
      </c>
      <c r="CC118" s="177">
        <f t="shared" si="253"/>
        <v>5.9253266969705329E-9</v>
      </c>
      <c r="CD118" s="5">
        <f t="shared" si="254"/>
        <v>5.9253266969705334E-7</v>
      </c>
      <c r="CG118" s="571">
        <f t="shared" si="255"/>
        <v>-50</v>
      </c>
      <c r="CH118">
        <f t="shared" si="256"/>
        <v>-50</v>
      </c>
    </row>
    <row r="119" spans="5:86" x14ac:dyDescent="0.25">
      <c r="E119" s="174">
        <v>9</v>
      </c>
      <c r="F119" s="221">
        <f t="shared" si="257"/>
        <v>8.9999999999999993E-3</v>
      </c>
      <c r="G119" s="221"/>
      <c r="H119" s="221">
        <f t="shared" si="201"/>
        <v>0.13499999999999998</v>
      </c>
      <c r="I119" s="551">
        <f t="shared" si="202"/>
        <v>20</v>
      </c>
      <c r="J119" s="451">
        <f t="shared" si="203"/>
        <v>695386.58000000007</v>
      </c>
      <c r="K119" s="451">
        <f t="shared" si="204"/>
        <v>695406.58000000007</v>
      </c>
      <c r="L119" s="451"/>
      <c r="M119" s="221">
        <f t="shared" si="205"/>
        <v>0.9999712398464794</v>
      </c>
      <c r="N119" s="176">
        <f t="shared" si="206"/>
        <v>6.9298006921361024</v>
      </c>
      <c r="O119" s="176">
        <f t="shared" si="173"/>
        <v>0.13499999999999998</v>
      </c>
      <c r="P119" s="221">
        <f t="shared" si="207"/>
        <v>0.4619867128090735</v>
      </c>
      <c r="Q119" s="221">
        <f t="shared" si="208"/>
        <v>15</v>
      </c>
      <c r="R119" s="221"/>
      <c r="S119" s="176">
        <f t="shared" si="209"/>
        <v>749.99956238624077</v>
      </c>
      <c r="T119" s="176">
        <f t="shared" si="210"/>
        <v>15</v>
      </c>
      <c r="U119" s="221">
        <f t="shared" si="211"/>
        <v>1.500043141471036E-2</v>
      </c>
      <c r="V119" s="221">
        <f t="shared" si="212"/>
        <v>2.250064712206554E-2</v>
      </c>
      <c r="W119" s="221">
        <f t="shared" si="213"/>
        <v>6.4714067740753739E-7</v>
      </c>
      <c r="X119" s="201">
        <f t="shared" si="214"/>
        <v>350</v>
      </c>
      <c r="Y119" s="451">
        <f t="shared" si="215"/>
        <v>350</v>
      </c>
      <c r="AA119" s="221">
        <f t="shared" si="216"/>
        <v>1.9047071235171036</v>
      </c>
      <c r="AB119" s="177">
        <f t="shared" si="217"/>
        <v>8.2171867201568798E-5</v>
      </c>
      <c r="AC119" s="177">
        <f t="shared" si="218"/>
        <v>1.2514141549591451</v>
      </c>
      <c r="AD119" s="177"/>
      <c r="AE119" s="177">
        <f t="shared" si="219"/>
        <v>6.4712206554230591E-6</v>
      </c>
      <c r="AF119" s="555">
        <f t="shared" si="220"/>
        <v>405.86666666666673</v>
      </c>
      <c r="AG119" s="538">
        <f t="shared" si="221"/>
        <v>7.7611695137976321E-3</v>
      </c>
      <c r="AI119" s="177">
        <f t="shared" si="222"/>
        <v>0.16152841413023458</v>
      </c>
      <c r="AJ119" s="177">
        <f t="shared" si="223"/>
        <v>0.16152841413023458</v>
      </c>
      <c r="AK119" s="177">
        <f t="shared" si="224"/>
        <v>1.2076856094201562</v>
      </c>
      <c r="AM119" s="555">
        <f t="shared" si="225"/>
        <v>9</v>
      </c>
      <c r="AN119" s="469">
        <f t="shared" si="226"/>
        <v>350</v>
      </c>
      <c r="AP119" s="469">
        <f t="shared" si="227"/>
        <v>9</v>
      </c>
      <c r="AQ119" s="469">
        <f t="shared" si="228"/>
        <v>350</v>
      </c>
      <c r="AS119" s="5">
        <f t="shared" si="175"/>
        <v>2.8571428571428572</v>
      </c>
      <c r="AT119" s="5">
        <f t="shared" si="229"/>
        <v>0.24229262119535191</v>
      </c>
      <c r="AU119" s="5">
        <f t="shared" si="230"/>
        <v>2.6148502359475052</v>
      </c>
      <c r="AV119" s="5"/>
      <c r="AW119" s="177">
        <f t="shared" si="231"/>
        <v>8.4802417418373174E-2</v>
      </c>
      <c r="AX119" s="177">
        <f t="shared" si="150"/>
        <v>0.13697999999999999</v>
      </c>
      <c r="AY119" s="177">
        <f t="shared" si="151"/>
        <v>3377.1118955981437</v>
      </c>
      <c r="AZ119" s="177">
        <f t="shared" si="178"/>
        <v>4.056128557023679E-5</v>
      </c>
      <c r="BA119" s="469">
        <f t="shared" si="232"/>
        <v>3.7498921501997473</v>
      </c>
      <c r="BB119" s="469">
        <f t="shared" si="233"/>
        <v>4.5764060061059549E-2</v>
      </c>
      <c r="BC119" s="5">
        <f t="shared" si="258"/>
        <v>1.63428139746719E-2</v>
      </c>
      <c r="BD119" s="469">
        <f t="shared" si="235"/>
        <v>1.9836376769606285</v>
      </c>
      <c r="BF119" s="177">
        <f t="shared" si="179"/>
        <v>2.7157664459939317E-2</v>
      </c>
      <c r="BG119" s="177">
        <f t="shared" si="156"/>
        <v>4076.2178526180005</v>
      </c>
      <c r="BI119" s="538">
        <f t="shared" si="236"/>
        <v>2.5813855862152787E-4</v>
      </c>
      <c r="BJ119" s="538">
        <f t="shared" si="237"/>
        <v>196.57386357547773</v>
      </c>
      <c r="BK119" s="538">
        <f t="shared" si="238"/>
        <v>4.3749999999999995E-3</v>
      </c>
      <c r="BL119" s="538">
        <f t="shared" si="239"/>
        <v>8462830.4513776898</v>
      </c>
      <c r="BM119">
        <f t="shared" si="240"/>
        <v>5.7999999999999996E-3</v>
      </c>
      <c r="BN119">
        <f t="shared" si="241"/>
        <v>1.3124999999999999E-5</v>
      </c>
      <c r="BO119" s="538">
        <f t="shared" si="242"/>
        <v>8463430.1198191922</v>
      </c>
      <c r="BP119" s="469">
        <f t="shared" si="243"/>
        <v>8463027035.6744022</v>
      </c>
      <c r="BQ119" s="538">
        <f t="shared" si="244"/>
        <v>12694281.716827797</v>
      </c>
      <c r="BT119" s="469">
        <f t="shared" si="245"/>
        <v>12694281716.827797</v>
      </c>
      <c r="BU119" s="538">
        <f t="shared" si="246"/>
        <v>7.3753873891865119E-5</v>
      </c>
      <c r="BV119" s="538">
        <f t="shared" si="247"/>
        <v>498466.55946005107</v>
      </c>
      <c r="BW119" s="538">
        <f t="shared" si="248"/>
        <v>0</v>
      </c>
      <c r="BX119" s="538"/>
      <c r="BY119" s="538">
        <f t="shared" si="249"/>
        <v>4.5659999999999993E-4</v>
      </c>
      <c r="BZ119" s="469">
        <f t="shared" si="250"/>
        <v>498466559.9904049</v>
      </c>
      <c r="CA119" s="177">
        <f t="shared" si="251"/>
        <v>21655775.312492605</v>
      </c>
      <c r="CB119" s="5">
        <f t="shared" si="252"/>
        <v>0.13499999999999998</v>
      </c>
      <c r="CC119" s="177">
        <f t="shared" si="253"/>
        <v>6.2339028370203585E-9</v>
      </c>
      <c r="CD119" s="5">
        <f t="shared" si="254"/>
        <v>6.2339028370203588E-7</v>
      </c>
      <c r="CG119" s="571">
        <f t="shared" si="255"/>
        <v>-50</v>
      </c>
      <c r="CH119">
        <f t="shared" si="256"/>
        <v>-50</v>
      </c>
    </row>
    <row r="120" spans="5:86" x14ac:dyDescent="0.25">
      <c r="E120" s="174">
        <v>10</v>
      </c>
      <c r="F120" s="221">
        <f t="shared" si="257"/>
        <v>1.0000000000000002E-2</v>
      </c>
      <c r="G120" s="221"/>
      <c r="H120" s="221">
        <f t="shared" si="201"/>
        <v>0.15000000000000002</v>
      </c>
      <c r="I120" s="551">
        <f t="shared" si="202"/>
        <v>20</v>
      </c>
      <c r="J120" s="451">
        <f t="shared" si="203"/>
        <v>695386.58000000007</v>
      </c>
      <c r="K120" s="451">
        <f t="shared" si="204"/>
        <v>695406.58000000007</v>
      </c>
      <c r="L120" s="451"/>
      <c r="M120" s="221">
        <f t="shared" si="205"/>
        <v>0.9999712398464794</v>
      </c>
      <c r="N120" s="176">
        <f t="shared" si="206"/>
        <v>6.9298006921361024</v>
      </c>
      <c r="O120" s="176">
        <f t="shared" si="173"/>
        <v>0.15000000000000002</v>
      </c>
      <c r="P120" s="221">
        <f t="shared" si="207"/>
        <v>0.4619867128090735</v>
      </c>
      <c r="Q120" s="221">
        <f t="shared" si="208"/>
        <v>15</v>
      </c>
      <c r="R120" s="221"/>
      <c r="S120" s="176">
        <f t="shared" si="209"/>
        <v>674.99956240049869</v>
      </c>
      <c r="T120" s="176">
        <f t="shared" si="210"/>
        <v>15</v>
      </c>
      <c r="U120" s="221">
        <f t="shared" si="211"/>
        <v>1.666714601634485E-2</v>
      </c>
      <c r="V120" s="221">
        <f t="shared" si="212"/>
        <v>2.5000719024517275E-2</v>
      </c>
      <c r="W120" s="221">
        <f t="shared" si="213"/>
        <v>7.1904519711948635E-7</v>
      </c>
      <c r="X120" s="201">
        <f t="shared" si="214"/>
        <v>350</v>
      </c>
      <c r="Y120" s="451">
        <f t="shared" si="215"/>
        <v>350</v>
      </c>
      <c r="AA120" s="221">
        <f t="shared" si="216"/>
        <v>1.9047071235171036</v>
      </c>
      <c r="AB120" s="177">
        <f t="shared" si="217"/>
        <v>8.2171867201568798E-5</v>
      </c>
      <c r="AC120" s="177">
        <f t="shared" si="218"/>
        <v>1.2514141549591451</v>
      </c>
      <c r="AD120" s="177"/>
      <c r="AE120" s="177">
        <f t="shared" si="219"/>
        <v>6.4712206554230591E-6</v>
      </c>
      <c r="AF120" s="555">
        <f t="shared" si="220"/>
        <v>450.96296296296316</v>
      </c>
      <c r="AG120" s="538">
        <f t="shared" si="221"/>
        <v>7.7611695137976321E-3</v>
      </c>
      <c r="AI120" s="177">
        <f t="shared" si="222"/>
        <v>0.17026589849548909</v>
      </c>
      <c r="AJ120" s="177">
        <f t="shared" si="223"/>
        <v>0.17026589849548909</v>
      </c>
      <c r="AK120" s="177">
        <f t="shared" si="224"/>
        <v>1.2135105989969928</v>
      </c>
      <c r="AM120" s="555">
        <f t="shared" si="225"/>
        <v>10.000000000000002</v>
      </c>
      <c r="AN120" s="469">
        <f t="shared" si="226"/>
        <v>350</v>
      </c>
      <c r="AP120" s="469">
        <f t="shared" si="227"/>
        <v>10.000000000000002</v>
      </c>
      <c r="AQ120" s="469">
        <f t="shared" si="228"/>
        <v>350</v>
      </c>
      <c r="AS120" s="5">
        <f t="shared" si="175"/>
        <v>2.8571428571428572</v>
      </c>
      <c r="AT120" s="5">
        <f t="shared" si="229"/>
        <v>0.25539884774323363</v>
      </c>
      <c r="AU120" s="5">
        <f t="shared" si="230"/>
        <v>2.6017440093996234</v>
      </c>
      <c r="AV120" s="5"/>
      <c r="AW120" s="177">
        <f t="shared" si="231"/>
        <v>8.9389596710131761E-2</v>
      </c>
      <c r="AX120" s="177">
        <f t="shared" si="150"/>
        <v>0.15220000000000003</v>
      </c>
      <c r="AY120" s="177">
        <f t="shared" si="151"/>
        <v>3541.9460281802003</v>
      </c>
      <c r="AZ120" s="177">
        <f t="shared" si="178"/>
        <v>4.2970728178542614E-5</v>
      </c>
      <c r="BA120" s="469">
        <f t="shared" si="232"/>
        <v>3.7498921501997473</v>
      </c>
      <c r="BB120" s="469">
        <f t="shared" si="233"/>
        <v>5.3165506248221688E-2</v>
      </c>
      <c r="BC120" s="5">
        <f t="shared" si="258"/>
        <v>1.806766673194183E-2</v>
      </c>
      <c r="BD120" s="469">
        <f t="shared" si="235"/>
        <v>2.1931200078330195</v>
      </c>
      <c r="BF120" s="177">
        <f t="shared" si="179"/>
        <v>2.9390741031268923E-2</v>
      </c>
      <c r="BG120" s="177">
        <f t="shared" si="156"/>
        <v>4285.9293094313325</v>
      </c>
      <c r="BI120" s="538">
        <f t="shared" si="236"/>
        <v>3.0233548042849011E-4</v>
      </c>
      <c r="BJ120" s="538">
        <f t="shared" si="237"/>
        <v>207.20704578590664</v>
      </c>
      <c r="BK120" s="538">
        <f t="shared" si="238"/>
        <v>4.3749999999999995E-3</v>
      </c>
      <c r="BL120" s="538">
        <f t="shared" si="239"/>
        <v>8462830.4513776898</v>
      </c>
      <c r="BM120">
        <f t="shared" si="240"/>
        <v>5.7999999999999996E-3</v>
      </c>
      <c r="BN120">
        <f t="shared" si="241"/>
        <v>1.3124999999999999E-5</v>
      </c>
      <c r="BO120" s="538">
        <f t="shared" si="242"/>
        <v>8463509.7711142637</v>
      </c>
      <c r="BP120" s="469">
        <f t="shared" si="243"/>
        <v>8463037668.9008102</v>
      </c>
      <c r="BQ120" s="538">
        <f t="shared" si="244"/>
        <v>14034061.197583098</v>
      </c>
      <c r="BT120" s="469">
        <f t="shared" si="245"/>
        <v>14034061197.583097</v>
      </c>
      <c r="BU120" s="538">
        <f t="shared" si="246"/>
        <v>8.6381565836711469E-5</v>
      </c>
      <c r="BV120" s="538">
        <f t="shared" si="247"/>
        <v>551075.70136327622</v>
      </c>
      <c r="BW120" s="538">
        <f t="shared" si="248"/>
        <v>0</v>
      </c>
      <c r="BX120" s="538"/>
      <c r="BY120" s="538">
        <f t="shared" si="249"/>
        <v>5.0733333333333349E-4</v>
      </c>
      <c r="BZ120" s="469">
        <f t="shared" si="250"/>
        <v>551075701.95699108</v>
      </c>
      <c r="CA120" s="177">
        <f t="shared" si="251"/>
        <v>23048174.568440899</v>
      </c>
      <c r="CB120" s="5">
        <f t="shared" si="252"/>
        <v>0.15000000000000002</v>
      </c>
      <c r="CC120" s="177">
        <f t="shared" si="253"/>
        <v>6.5081075543906166E-9</v>
      </c>
      <c r="CD120" s="5">
        <f t="shared" si="254"/>
        <v>6.5081075543906167E-7</v>
      </c>
      <c r="CG120" s="571">
        <f t="shared" si="255"/>
        <v>-50</v>
      </c>
      <c r="CH120">
        <f t="shared" si="256"/>
        <v>-50</v>
      </c>
    </row>
    <row r="121" spans="5:86" x14ac:dyDescent="0.25">
      <c r="E121" s="174">
        <v>11</v>
      </c>
      <c r="F121" s="221">
        <f t="shared" si="257"/>
        <v>1.1000000000000001E-2</v>
      </c>
      <c r="G121" s="221"/>
      <c r="H121" s="221">
        <f t="shared" si="201"/>
        <v>0.16500000000000001</v>
      </c>
      <c r="I121" s="551">
        <f t="shared" si="202"/>
        <v>20</v>
      </c>
      <c r="J121" s="451">
        <f t="shared" si="203"/>
        <v>695386.58000000007</v>
      </c>
      <c r="K121" s="451">
        <f t="shared" si="204"/>
        <v>695406.58000000007</v>
      </c>
      <c r="L121" s="451"/>
      <c r="M121" s="221">
        <f t="shared" si="205"/>
        <v>0.9999712398464794</v>
      </c>
      <c r="N121" s="176">
        <f t="shared" si="206"/>
        <v>6.9298006921361024</v>
      </c>
      <c r="O121" s="176">
        <f t="shared" si="173"/>
        <v>0.16500000000000001</v>
      </c>
      <c r="P121" s="221">
        <f t="shared" si="207"/>
        <v>0.4619867128090735</v>
      </c>
      <c r="Q121" s="221">
        <f t="shared" si="208"/>
        <v>15</v>
      </c>
      <c r="R121" s="221"/>
      <c r="S121" s="176">
        <f t="shared" si="209"/>
        <v>613.63592605112001</v>
      </c>
      <c r="T121" s="176">
        <f t="shared" si="210"/>
        <v>15</v>
      </c>
      <c r="U121" s="221">
        <f t="shared" si="211"/>
        <v>1.8333860617979331E-2</v>
      </c>
      <c r="V121" s="221">
        <f t="shared" si="212"/>
        <v>2.7500790926968995E-2</v>
      </c>
      <c r="W121" s="221">
        <f t="shared" si="213"/>
        <v>7.9094971683143478E-7</v>
      </c>
      <c r="X121" s="201">
        <f t="shared" si="214"/>
        <v>350</v>
      </c>
      <c r="Y121" s="451">
        <f t="shared" si="215"/>
        <v>350</v>
      </c>
      <c r="AA121" s="221">
        <f t="shared" si="216"/>
        <v>1.9047071235171036</v>
      </c>
      <c r="AB121" s="177">
        <f t="shared" si="217"/>
        <v>8.2171867201568798E-5</v>
      </c>
      <c r="AC121" s="177">
        <f t="shared" si="218"/>
        <v>1.2514141549591451</v>
      </c>
      <c r="AD121" s="177"/>
      <c r="AE121" s="177">
        <f t="shared" si="219"/>
        <v>6.4712206554230591E-6</v>
      </c>
      <c r="AF121" s="555">
        <f t="shared" si="220"/>
        <v>496.05925925925942</v>
      </c>
      <c r="AG121" s="538">
        <f t="shared" si="221"/>
        <v>7.7611695137976321E-3</v>
      </c>
      <c r="AI121" s="177">
        <f t="shared" si="222"/>
        <v>0.17857638088370983</v>
      </c>
      <c r="AJ121" s="177">
        <f t="shared" si="223"/>
        <v>0.17857638088370983</v>
      </c>
      <c r="AK121" s="177">
        <f t="shared" si="224"/>
        <v>1.2190509205891398</v>
      </c>
      <c r="AM121" s="555">
        <f t="shared" si="225"/>
        <v>11.000000000000002</v>
      </c>
      <c r="AN121" s="469">
        <f t="shared" si="226"/>
        <v>350</v>
      </c>
      <c r="AP121" s="469">
        <f t="shared" si="227"/>
        <v>11.000000000000002</v>
      </c>
      <c r="AQ121" s="469">
        <f t="shared" si="228"/>
        <v>350</v>
      </c>
      <c r="AS121" s="5">
        <f t="shared" si="175"/>
        <v>2.8571428571428572</v>
      </c>
      <c r="AT121" s="5">
        <f t="shared" si="229"/>
        <v>0.26786457132556474</v>
      </c>
      <c r="AU121" s="5">
        <f t="shared" si="230"/>
        <v>2.5892782858172927</v>
      </c>
      <c r="AV121" s="5"/>
      <c r="AW121" s="177">
        <f t="shared" si="231"/>
        <v>9.375259996394765E-2</v>
      </c>
      <c r="AX121" s="177">
        <f t="shared" si="150"/>
        <v>0.16741999999999996</v>
      </c>
      <c r="AY121" s="177">
        <f t="shared" si="151"/>
        <v>3697.0255140979093</v>
      </c>
      <c r="AZ121" s="177">
        <f t="shared" si="178"/>
        <v>4.5285053987746468E-5</v>
      </c>
      <c r="BA121" s="469">
        <f t="shared" si="232"/>
        <v>3.7498921501997473</v>
      </c>
      <c r="BB121" s="469">
        <f t="shared" si="233"/>
        <v>6.1030262560348228E-2</v>
      </c>
      <c r="BC121" s="5">
        <f t="shared" si="258"/>
        <v>1.9779209127770984E-2</v>
      </c>
      <c r="BD121" s="469">
        <f t="shared" si="235"/>
        <v>2.4010050953325188</v>
      </c>
      <c r="BF121" s="177">
        <f t="shared" si="179"/>
        <v>3.1568580206459869E-2</v>
      </c>
      <c r="BG121" s="177">
        <f t="shared" si="156"/>
        <v>4484.3389275005547</v>
      </c>
      <c r="BI121" s="538">
        <f t="shared" si="236"/>
        <v>3.4880133968809139E-4</v>
      </c>
      <c r="BJ121" s="538">
        <f t="shared" si="237"/>
        <v>217.32058302345661</v>
      </c>
      <c r="BK121" s="538">
        <f t="shared" si="238"/>
        <v>4.3749999999999995E-3</v>
      </c>
      <c r="BL121" s="538">
        <f t="shared" si="239"/>
        <v>8462830.4513776898</v>
      </c>
      <c r="BM121">
        <f t="shared" si="240"/>
        <v>5.7999999999999996E-3</v>
      </c>
      <c r="BN121">
        <f t="shared" si="241"/>
        <v>1.3124999999999999E-5</v>
      </c>
      <c r="BO121" s="538">
        <f t="shared" si="242"/>
        <v>8463592.4472796079</v>
      </c>
      <c r="BP121" s="469">
        <f t="shared" si="243"/>
        <v>8463047782.4845142</v>
      </c>
      <c r="BQ121" s="538">
        <f t="shared" si="244"/>
        <v>15363501.854307871</v>
      </c>
      <c r="BT121" s="469">
        <f t="shared" si="245"/>
        <v>15363501854.307871</v>
      </c>
      <c r="BU121" s="538">
        <f t="shared" si="246"/>
        <v>9.9657525625168985E-5</v>
      </c>
      <c r="BV121" s="538">
        <f t="shared" si="247"/>
        <v>603278.86850090476</v>
      </c>
      <c r="BW121" s="538">
        <f t="shared" si="248"/>
        <v>0</v>
      </c>
      <c r="BX121" s="538"/>
      <c r="BY121" s="538">
        <f t="shared" si="249"/>
        <v>5.5806666666666661E-4</v>
      </c>
      <c r="BZ121" s="469">
        <f t="shared" si="250"/>
        <v>603278869.15862894</v>
      </c>
      <c r="CA121" s="177">
        <f t="shared" si="251"/>
        <v>24429828.505951013</v>
      </c>
      <c r="CB121" s="5">
        <f t="shared" si="252"/>
        <v>0.16500000000000001</v>
      </c>
      <c r="CC121" s="177">
        <f t="shared" si="253"/>
        <v>6.7540383611530601E-9</v>
      </c>
      <c r="CD121" s="5">
        <f t="shared" si="254"/>
        <v>6.7540383611530603E-7</v>
      </c>
      <c r="CG121" s="571">
        <f t="shared" si="255"/>
        <v>-50</v>
      </c>
      <c r="CH121">
        <f t="shared" si="256"/>
        <v>-50</v>
      </c>
    </row>
    <row r="122" spans="5:86" x14ac:dyDescent="0.25">
      <c r="E122" s="174">
        <v>12</v>
      </c>
      <c r="F122" s="221">
        <f t="shared" si="257"/>
        <v>1.2E-2</v>
      </c>
      <c r="G122" s="221"/>
      <c r="H122" s="221">
        <f t="shared" si="201"/>
        <v>0.18</v>
      </c>
      <c r="I122" s="551">
        <f t="shared" si="202"/>
        <v>20</v>
      </c>
      <c r="J122" s="451">
        <f t="shared" si="203"/>
        <v>695386.58000000007</v>
      </c>
      <c r="K122" s="451">
        <f t="shared" si="204"/>
        <v>695406.58000000007</v>
      </c>
      <c r="L122" s="451"/>
      <c r="M122" s="221">
        <f t="shared" si="205"/>
        <v>0.9999712398464794</v>
      </c>
      <c r="N122" s="176">
        <f t="shared" si="206"/>
        <v>6.9298006921361024</v>
      </c>
      <c r="O122" s="176">
        <f t="shared" si="173"/>
        <v>0.18</v>
      </c>
      <c r="P122" s="221">
        <f t="shared" si="207"/>
        <v>0.4619867128090735</v>
      </c>
      <c r="Q122" s="221">
        <f t="shared" si="208"/>
        <v>15</v>
      </c>
      <c r="R122" s="221"/>
      <c r="S122" s="176">
        <f t="shared" si="209"/>
        <v>562.49956242901294</v>
      </c>
      <c r="T122" s="176">
        <f t="shared" si="210"/>
        <v>15</v>
      </c>
      <c r="U122" s="221">
        <f t="shared" si="211"/>
        <v>2.0000575219613813E-2</v>
      </c>
      <c r="V122" s="221">
        <f t="shared" si="212"/>
        <v>3.0000862829420719E-2</v>
      </c>
      <c r="W122" s="221">
        <f t="shared" si="213"/>
        <v>8.6285423654338332E-7</v>
      </c>
      <c r="X122" s="201">
        <f t="shared" si="214"/>
        <v>350</v>
      </c>
      <c r="Y122" s="451">
        <f t="shared" si="215"/>
        <v>350</v>
      </c>
      <c r="AA122" s="221">
        <f t="shared" si="216"/>
        <v>1.9047071235171036</v>
      </c>
      <c r="AB122" s="177">
        <f t="shared" si="217"/>
        <v>8.2171867201568798E-5</v>
      </c>
      <c r="AC122" s="177">
        <f t="shared" si="218"/>
        <v>1.2514141549591451</v>
      </c>
      <c r="AD122" s="177"/>
      <c r="AE122" s="177">
        <f t="shared" si="219"/>
        <v>6.4712206554230591E-6</v>
      </c>
      <c r="AF122" s="555">
        <f t="shared" si="220"/>
        <v>541.15555555555579</v>
      </c>
      <c r="AG122" s="538">
        <f t="shared" si="221"/>
        <v>7.7611695137976321E-3</v>
      </c>
      <c r="AI122" s="177">
        <f t="shared" si="222"/>
        <v>0.1865169467597286</v>
      </c>
      <c r="AJ122" s="177">
        <f t="shared" si="223"/>
        <v>0.1865169467597286</v>
      </c>
      <c r="AK122" s="177">
        <f t="shared" si="224"/>
        <v>1.2243446311731523</v>
      </c>
      <c r="AM122" s="555">
        <f t="shared" si="225"/>
        <v>12</v>
      </c>
      <c r="AN122" s="469">
        <f t="shared" si="226"/>
        <v>350</v>
      </c>
      <c r="AP122" s="469">
        <f t="shared" si="227"/>
        <v>12</v>
      </c>
      <c r="AQ122" s="469">
        <f t="shared" si="228"/>
        <v>350</v>
      </c>
      <c r="AS122" s="5">
        <f t="shared" si="175"/>
        <v>2.8571428571428572</v>
      </c>
      <c r="AT122" s="5">
        <f t="shared" si="229"/>
        <v>0.27977542013959289</v>
      </c>
      <c r="AU122" s="5">
        <f t="shared" si="230"/>
        <v>2.5773674370032644</v>
      </c>
      <c r="AV122" s="5"/>
      <c r="AW122" s="177">
        <f t="shared" si="231"/>
        <v>9.7921397048857509E-2</v>
      </c>
      <c r="AX122" s="177">
        <f t="shared" si="150"/>
        <v>0.18264000000000002</v>
      </c>
      <c r="AY122" s="177">
        <f t="shared" si="151"/>
        <v>3843.6544422526199</v>
      </c>
      <c r="AZ122" s="177">
        <f t="shared" si="178"/>
        <v>4.7517278866765569E-5</v>
      </c>
      <c r="BA122" s="469">
        <f t="shared" si="232"/>
        <v>3.7498921501997473</v>
      </c>
      <c r="BB122" s="469">
        <f t="shared" si="233"/>
        <v>6.9358328997439211E-2</v>
      </c>
      <c r="BC122" s="5">
        <f t="shared" si="258"/>
        <v>2.1478061975027198E-2</v>
      </c>
      <c r="BD122" s="469">
        <f t="shared" si="235"/>
        <v>2.6073674370032642</v>
      </c>
      <c r="BF122" s="177">
        <f t="shared" si="179"/>
        <v>3.369740601104524E-2</v>
      </c>
      <c r="BG122" s="177">
        <f t="shared" si="156"/>
        <v>4672.9540837787272</v>
      </c>
      <c r="BI122" s="538">
        <f t="shared" si="236"/>
        <v>3.9743031015562969E-4</v>
      </c>
      <c r="BJ122" s="538">
        <f t="shared" si="237"/>
        <v>226.98394610189365</v>
      </c>
      <c r="BK122" s="538">
        <f t="shared" si="238"/>
        <v>4.3749999999999995E-3</v>
      </c>
      <c r="BL122" s="538">
        <f t="shared" si="239"/>
        <v>8462830.4513776898</v>
      </c>
      <c r="BM122">
        <f t="shared" si="240"/>
        <v>5.7999999999999996E-3</v>
      </c>
      <c r="BN122">
        <f t="shared" si="241"/>
        <v>1.3124999999999999E-5</v>
      </c>
      <c r="BO122" s="538">
        <f t="shared" si="242"/>
        <v>8463678.0527077075</v>
      </c>
      <c r="BP122" s="469">
        <f t="shared" si="243"/>
        <v>8463057445.8962212</v>
      </c>
      <c r="BQ122" s="538">
        <f t="shared" si="244"/>
        <v>16683085.903433669</v>
      </c>
      <c r="BT122" s="469">
        <f t="shared" si="245"/>
        <v>16683085903.43367</v>
      </c>
      <c r="BU122" s="538">
        <f t="shared" si="246"/>
        <v>1.1355151718732279E-4</v>
      </c>
      <c r="BV122" s="538">
        <f t="shared" si="247"/>
        <v>655094.99607312854</v>
      </c>
      <c r="BW122" s="538">
        <f t="shared" si="248"/>
        <v>0</v>
      </c>
      <c r="BX122" s="538"/>
      <c r="BY122" s="538">
        <f t="shared" si="249"/>
        <v>6.0880000000000005E-4</v>
      </c>
      <c r="BZ122" s="469">
        <f t="shared" si="250"/>
        <v>655094996.79548001</v>
      </c>
      <c r="CA122" s="177">
        <f t="shared" si="251"/>
        <v>25801238.346125368</v>
      </c>
      <c r="CB122" s="5">
        <f t="shared" si="252"/>
        <v>0.18</v>
      </c>
      <c r="CC122" s="177">
        <f t="shared" si="253"/>
        <v>6.9764092842961296E-9</v>
      </c>
      <c r="CD122" s="5">
        <f t="shared" si="254"/>
        <v>6.9764092842961291E-7</v>
      </c>
      <c r="CG122" s="571">
        <f t="shared" si="255"/>
        <v>-50</v>
      </c>
      <c r="CH122">
        <f t="shared" si="256"/>
        <v>-50</v>
      </c>
    </row>
    <row r="123" spans="5:86" x14ac:dyDescent="0.25">
      <c r="E123" s="174">
        <v>13</v>
      </c>
      <c r="F123" s="221">
        <f t="shared" si="257"/>
        <v>1.3000000000000001E-2</v>
      </c>
      <c r="G123" s="221"/>
      <c r="H123" s="221">
        <f t="shared" si="201"/>
        <v>0.19500000000000001</v>
      </c>
      <c r="I123" s="551">
        <f t="shared" si="202"/>
        <v>20</v>
      </c>
      <c r="J123" s="451">
        <f t="shared" si="203"/>
        <v>695386.58000000007</v>
      </c>
      <c r="K123" s="451">
        <f t="shared" si="204"/>
        <v>695406.58000000007</v>
      </c>
      <c r="L123" s="451"/>
      <c r="M123" s="221">
        <f t="shared" si="205"/>
        <v>0.9999712398464794</v>
      </c>
      <c r="N123" s="176">
        <f t="shared" si="206"/>
        <v>6.9298006921361024</v>
      </c>
      <c r="O123" s="176">
        <f t="shared" si="173"/>
        <v>0.19500000000000001</v>
      </c>
      <c r="P123" s="221">
        <f t="shared" si="207"/>
        <v>0.4619867128090735</v>
      </c>
      <c r="Q123" s="221">
        <f t="shared" si="208"/>
        <v>15</v>
      </c>
      <c r="R123" s="221"/>
      <c r="S123" s="176">
        <f t="shared" si="209"/>
        <v>519.23033167403764</v>
      </c>
      <c r="T123" s="176">
        <f t="shared" si="210"/>
        <v>15</v>
      </c>
      <c r="U123" s="221">
        <f t="shared" si="211"/>
        <v>2.1667289821248301E-2</v>
      </c>
      <c r="V123" s="221">
        <f t="shared" si="212"/>
        <v>3.2500934731872454E-2</v>
      </c>
      <c r="W123" s="221">
        <f t="shared" si="213"/>
        <v>9.3475875625533207E-7</v>
      </c>
      <c r="X123" s="201">
        <f t="shared" si="214"/>
        <v>350</v>
      </c>
      <c r="Y123" s="451">
        <f t="shared" si="215"/>
        <v>350</v>
      </c>
      <c r="AA123" s="221">
        <f t="shared" si="216"/>
        <v>1.9047071235171036</v>
      </c>
      <c r="AB123" s="177">
        <f t="shared" si="217"/>
        <v>8.2171867201568798E-5</v>
      </c>
      <c r="AC123" s="177">
        <f t="shared" si="218"/>
        <v>1.2514141549591451</v>
      </c>
      <c r="AD123" s="177"/>
      <c r="AE123" s="177">
        <f t="shared" si="219"/>
        <v>6.4712206554230591E-6</v>
      </c>
      <c r="AF123" s="555">
        <f t="shared" si="220"/>
        <v>586.25185185185205</v>
      </c>
      <c r="AG123" s="538">
        <f t="shared" si="221"/>
        <v>7.7611695137976321E-3</v>
      </c>
      <c r="AI123" s="177">
        <f t="shared" si="222"/>
        <v>0.19413299319698096</v>
      </c>
      <c r="AJ123" s="177">
        <f t="shared" si="223"/>
        <v>0.19413299319698096</v>
      </c>
      <c r="AK123" s="177">
        <f t="shared" si="224"/>
        <v>1.2294219954646539</v>
      </c>
      <c r="AM123" s="555">
        <f t="shared" si="225"/>
        <v>13.000000000000002</v>
      </c>
      <c r="AN123" s="469">
        <f t="shared" si="226"/>
        <v>350</v>
      </c>
      <c r="AP123" s="469">
        <f t="shared" si="227"/>
        <v>13.000000000000002</v>
      </c>
      <c r="AQ123" s="469">
        <f t="shared" si="228"/>
        <v>350</v>
      </c>
      <c r="AS123" s="5">
        <f t="shared" si="175"/>
        <v>2.8571428571428572</v>
      </c>
      <c r="AT123" s="5">
        <f t="shared" si="229"/>
        <v>0.29119948979547144</v>
      </c>
      <c r="AU123" s="5">
        <f t="shared" si="230"/>
        <v>2.5659433673473857</v>
      </c>
      <c r="AV123" s="5"/>
      <c r="AW123" s="177">
        <f t="shared" si="231"/>
        <v>0.10191982142841501</v>
      </c>
      <c r="AX123" s="177">
        <f t="shared" si="150"/>
        <v>0.19786000000000006</v>
      </c>
      <c r="AY123" s="177">
        <f t="shared" si="151"/>
        <v>3982.8698860884315</v>
      </c>
      <c r="AZ123" s="177">
        <f t="shared" si="178"/>
        <v>4.9677746363519286E-5</v>
      </c>
      <c r="BA123" s="469">
        <f t="shared" si="232"/>
        <v>3.7498921501997473</v>
      </c>
      <c r="BB123" s="469">
        <f t="shared" si="233"/>
        <v>7.8149705559494631E-2</v>
      </c>
      <c r="BC123" s="5">
        <f t="shared" si="258"/>
        <v>2.3164766510775009E-2</v>
      </c>
      <c r="BD123" s="469">
        <f t="shared" si="235"/>
        <v>2.812271981293001</v>
      </c>
      <c r="BF123" s="177">
        <f t="shared" si="179"/>
        <v>3.5782283341506058E-2</v>
      </c>
      <c r="BG123" s="177">
        <f t="shared" si="156"/>
        <v>4852.973631928764</v>
      </c>
      <c r="BI123" s="538">
        <f t="shared" si="236"/>
        <v>4.4813013039613761E-4</v>
      </c>
      <c r="BJ123" s="538">
        <f t="shared" si="237"/>
        <v>236.25238151248266</v>
      </c>
      <c r="BK123" s="538">
        <f t="shared" si="238"/>
        <v>4.3749999999999995E-3</v>
      </c>
      <c r="BL123" s="538">
        <f t="shared" si="239"/>
        <v>8462830.4513776898</v>
      </c>
      <c r="BM123">
        <f t="shared" si="240"/>
        <v>5.7999999999999996E-3</v>
      </c>
      <c r="BN123">
        <f t="shared" si="241"/>
        <v>1.3124999999999999E-5</v>
      </c>
      <c r="BO123" s="538">
        <f t="shared" si="242"/>
        <v>8463766.4987467341</v>
      </c>
      <c r="BP123" s="469">
        <f t="shared" si="243"/>
        <v>8463066714.3823318</v>
      </c>
      <c r="BQ123" s="538">
        <f t="shared" si="244"/>
        <v>17993233.75088213</v>
      </c>
      <c r="BT123" s="469">
        <f t="shared" si="245"/>
        <v>17993233750.88213</v>
      </c>
      <c r="BU123" s="538">
        <f t="shared" si="246"/>
        <v>1.2803718011318219E-4</v>
      </c>
      <c r="BV123" s="538">
        <f t="shared" si="247"/>
        <v>706540.59216587571</v>
      </c>
      <c r="BW123" s="538">
        <f t="shared" si="248"/>
        <v>0</v>
      </c>
      <c r="BX123" s="538"/>
      <c r="BY123" s="538">
        <f t="shared" si="249"/>
        <v>6.5953333333333361E-4</v>
      </c>
      <c r="BZ123" s="469">
        <f t="shared" si="250"/>
        <v>706540592.95344615</v>
      </c>
      <c r="CA123" s="177">
        <f t="shared" si="251"/>
        <v>27162841.058217909</v>
      </c>
      <c r="CB123" s="5">
        <f t="shared" si="252"/>
        <v>0.19500000000000001</v>
      </c>
      <c r="CC123" s="177">
        <f t="shared" si="253"/>
        <v>7.1789249947075721E-9</v>
      </c>
      <c r="CD123" s="5">
        <f t="shared" si="254"/>
        <v>7.1789249947075724E-7</v>
      </c>
      <c r="CG123" s="571">
        <f t="shared" si="255"/>
        <v>-50</v>
      </c>
      <c r="CH123">
        <f t="shared" si="256"/>
        <v>-50</v>
      </c>
    </row>
    <row r="124" spans="5:86" x14ac:dyDescent="0.25">
      <c r="E124" s="174">
        <v>14</v>
      </c>
      <c r="F124" s="221">
        <f t="shared" si="257"/>
        <v>1.4000000000000002E-2</v>
      </c>
      <c r="G124" s="221"/>
      <c r="H124" s="221">
        <f t="shared" si="201"/>
        <v>0.21000000000000002</v>
      </c>
      <c r="I124" s="551">
        <f t="shared" si="202"/>
        <v>20</v>
      </c>
      <c r="J124" s="451">
        <f t="shared" si="203"/>
        <v>695386.58000000007</v>
      </c>
      <c r="K124" s="451">
        <f t="shared" si="204"/>
        <v>695406.58000000007</v>
      </c>
      <c r="L124" s="451"/>
      <c r="M124" s="221">
        <f t="shared" si="205"/>
        <v>0.9999712398464794</v>
      </c>
      <c r="N124" s="176">
        <f t="shared" si="206"/>
        <v>6.9298006921361024</v>
      </c>
      <c r="O124" s="176">
        <f t="shared" si="173"/>
        <v>0.21000000000000002</v>
      </c>
      <c r="P124" s="221">
        <f t="shared" si="207"/>
        <v>0.4619867128090735</v>
      </c>
      <c r="Q124" s="221">
        <f t="shared" si="208"/>
        <v>15</v>
      </c>
      <c r="R124" s="221"/>
      <c r="S124" s="176">
        <f t="shared" si="209"/>
        <v>482.14241960038015</v>
      </c>
      <c r="T124" s="176">
        <f t="shared" si="210"/>
        <v>15</v>
      </c>
      <c r="U124" s="221">
        <f t="shared" si="211"/>
        <v>2.3334004422882786E-2</v>
      </c>
      <c r="V124" s="221">
        <f t="shared" si="212"/>
        <v>3.5001006634324178E-2</v>
      </c>
      <c r="W124" s="221">
        <f t="shared" si="213"/>
        <v>1.0066632759672806E-6</v>
      </c>
      <c r="X124" s="201">
        <f t="shared" si="214"/>
        <v>350</v>
      </c>
      <c r="Y124" s="451">
        <f t="shared" si="215"/>
        <v>350</v>
      </c>
      <c r="AA124" s="221">
        <f t="shared" si="216"/>
        <v>1.9047071235171036</v>
      </c>
      <c r="AB124" s="177">
        <f t="shared" si="217"/>
        <v>8.2171867201568798E-5</v>
      </c>
      <c r="AC124" s="177">
        <f t="shared" si="218"/>
        <v>1.2514141549591451</v>
      </c>
      <c r="AD124" s="177"/>
      <c r="AE124" s="177">
        <f t="shared" si="219"/>
        <v>6.4712206554230591E-6</v>
      </c>
      <c r="AF124" s="555">
        <f t="shared" si="220"/>
        <v>631.34814814814843</v>
      </c>
      <c r="AG124" s="538">
        <f t="shared" si="221"/>
        <v>7.7611695137976321E-3</v>
      </c>
      <c r="AI124" s="177">
        <f t="shared" si="222"/>
        <v>0.20146132796809088</v>
      </c>
      <c r="AJ124" s="177">
        <f t="shared" si="223"/>
        <v>0.20146132796809088</v>
      </c>
      <c r="AK124" s="177">
        <f t="shared" si="224"/>
        <v>1.2343075519787272</v>
      </c>
      <c r="AM124" s="555">
        <f t="shared" si="225"/>
        <v>14.000000000000002</v>
      </c>
      <c r="AN124" s="469">
        <f t="shared" si="226"/>
        <v>350</v>
      </c>
      <c r="AP124" s="469">
        <f t="shared" si="227"/>
        <v>14.000000000000002</v>
      </c>
      <c r="AQ124" s="469">
        <f t="shared" si="228"/>
        <v>350</v>
      </c>
      <c r="AS124" s="5">
        <f t="shared" si="175"/>
        <v>2.8571428571428572</v>
      </c>
      <c r="AT124" s="5">
        <f t="shared" si="229"/>
        <v>0.30219199195213636</v>
      </c>
      <c r="AU124" s="5">
        <f t="shared" si="230"/>
        <v>2.5549508651907207</v>
      </c>
      <c r="AV124" s="5"/>
      <c r="AW124" s="177">
        <f t="shared" si="231"/>
        <v>0.10576719718324773</v>
      </c>
      <c r="AX124" s="177">
        <f t="shared" si="150"/>
        <v>0.21308000000000005</v>
      </c>
      <c r="AY124" s="177">
        <f t="shared" si="151"/>
        <v>4115.5127007670517</v>
      </c>
      <c r="AZ124" s="177">
        <f t="shared" si="178"/>
        <v>5.1774837181351928E-5</v>
      </c>
      <c r="BA124" s="469">
        <f t="shared" si="232"/>
        <v>3.7498921501997473</v>
      </c>
      <c r="BB124" s="469">
        <f t="shared" si="233"/>
        <v>8.7404392246514501E-2</v>
      </c>
      <c r="BC124" s="5">
        <f t="shared" si="258"/>
        <v>2.4839800078243116E-2</v>
      </c>
      <c r="BD124" s="469">
        <f t="shared" si="235"/>
        <v>3.0157760093891741</v>
      </c>
      <c r="BF124" s="177">
        <f t="shared" si="179"/>
        <v>3.7827406186274004E-2</v>
      </c>
      <c r="BG124" s="177">
        <f t="shared" si="156"/>
        <v>5025.3696914128268</v>
      </c>
      <c r="BI124" s="538">
        <f t="shared" si="236"/>
        <v>5.0081943057347618E-4</v>
      </c>
      <c r="BJ124" s="538">
        <f t="shared" si="237"/>
        <v>245.17068289795978</v>
      </c>
      <c r="BK124" s="538">
        <f t="shared" si="238"/>
        <v>4.3749999999999995E-3</v>
      </c>
      <c r="BL124" s="538">
        <f t="shared" si="239"/>
        <v>8462830.4513776898</v>
      </c>
      <c r="BM124">
        <f t="shared" si="240"/>
        <v>5.7999999999999996E-3</v>
      </c>
      <c r="BN124">
        <f t="shared" si="241"/>
        <v>1.3124999999999999E-5</v>
      </c>
      <c r="BO124" s="538">
        <f t="shared" si="242"/>
        <v>8463857.7032980975</v>
      </c>
      <c r="BP124" s="469">
        <f t="shared" si="243"/>
        <v>8463075632.7364073</v>
      </c>
      <c r="BQ124" s="538">
        <f t="shared" si="244"/>
        <v>19294316.173034173</v>
      </c>
      <c r="BT124" s="469">
        <f t="shared" si="245"/>
        <v>19294316173.034172</v>
      </c>
      <c r="BU124" s="538">
        <f t="shared" si="246"/>
        <v>1.4309126587813608E-4</v>
      </c>
      <c r="BV124" s="538">
        <f t="shared" si="247"/>
        <v>757630.21606111957</v>
      </c>
      <c r="BW124" s="538">
        <f t="shared" si="248"/>
        <v>0</v>
      </c>
      <c r="BX124" s="538"/>
      <c r="BY124" s="538">
        <f t="shared" si="249"/>
        <v>7.1026666666666684E-4</v>
      </c>
      <c r="BZ124" s="469">
        <f t="shared" si="250"/>
        <v>757630216.91447747</v>
      </c>
      <c r="CA124" s="177">
        <f t="shared" si="251"/>
        <v>28515022.022685058</v>
      </c>
      <c r="CB124" s="5">
        <f t="shared" si="252"/>
        <v>0.21000000000000002</v>
      </c>
      <c r="CC124" s="177">
        <f t="shared" si="253"/>
        <v>7.3645392343159257E-9</v>
      </c>
      <c r="CD124" s="5">
        <f t="shared" si="254"/>
        <v>7.3645392343159261E-7</v>
      </c>
      <c r="CG124" s="571">
        <f t="shared" si="255"/>
        <v>-50</v>
      </c>
      <c r="CH124">
        <f t="shared" si="256"/>
        <v>-50</v>
      </c>
    </row>
    <row r="125" spans="5:86" x14ac:dyDescent="0.25">
      <c r="E125" s="174">
        <v>15</v>
      </c>
      <c r="F125" s="221">
        <f t="shared" si="257"/>
        <v>1.4999999999999999E-2</v>
      </c>
      <c r="G125" s="221"/>
      <c r="H125" s="221">
        <f t="shared" si="201"/>
        <v>0.22499999999999998</v>
      </c>
      <c r="I125" s="551">
        <f t="shared" si="202"/>
        <v>20</v>
      </c>
      <c r="J125" s="451">
        <f t="shared" si="203"/>
        <v>695386.58000000007</v>
      </c>
      <c r="K125" s="451">
        <f t="shared" si="204"/>
        <v>695406.58000000007</v>
      </c>
      <c r="L125" s="451"/>
      <c r="M125" s="221">
        <f t="shared" si="205"/>
        <v>0.9999712398464794</v>
      </c>
      <c r="N125" s="176">
        <f t="shared" si="206"/>
        <v>6.9298006921361024</v>
      </c>
      <c r="O125" s="176">
        <f t="shared" si="173"/>
        <v>0.22499999999999998</v>
      </c>
      <c r="P125" s="221">
        <f t="shared" si="207"/>
        <v>0.4619867128090735</v>
      </c>
      <c r="Q125" s="221">
        <f t="shared" si="208"/>
        <v>15</v>
      </c>
      <c r="R125" s="221"/>
      <c r="S125" s="176">
        <f t="shared" si="209"/>
        <v>449.99956247177681</v>
      </c>
      <c r="T125" s="176">
        <f t="shared" si="210"/>
        <v>15</v>
      </c>
      <c r="U125" s="221">
        <f t="shared" si="211"/>
        <v>2.5000719024517268E-2</v>
      </c>
      <c r="V125" s="221">
        <f t="shared" si="212"/>
        <v>3.7501078536775902E-2</v>
      </c>
      <c r="W125" s="221">
        <f t="shared" si="213"/>
        <v>1.0785677956792293E-6</v>
      </c>
      <c r="X125" s="201">
        <f t="shared" si="214"/>
        <v>350</v>
      </c>
      <c r="Y125" s="451">
        <f t="shared" si="215"/>
        <v>350</v>
      </c>
      <c r="AA125" s="221">
        <f t="shared" si="216"/>
        <v>1.9047071235171036</v>
      </c>
      <c r="AB125" s="177">
        <f t="shared" si="217"/>
        <v>8.2171867201568798E-5</v>
      </c>
      <c r="AC125" s="177">
        <f t="shared" si="218"/>
        <v>1.2514141549591451</v>
      </c>
      <c r="AD125" s="177"/>
      <c r="AE125" s="177">
        <f t="shared" si="219"/>
        <v>6.4712206554230591E-6</v>
      </c>
      <c r="AF125" s="555">
        <f t="shared" si="220"/>
        <v>676.44444444444457</v>
      </c>
      <c r="AG125" s="538">
        <f t="shared" si="221"/>
        <v>7.7611695137976321E-3</v>
      </c>
      <c r="AI125" s="177">
        <f t="shared" si="222"/>
        <v>0.20853228595523113</v>
      </c>
      <c r="AJ125" s="177">
        <f t="shared" si="223"/>
        <v>0.20853228595523113</v>
      </c>
      <c r="AK125" s="177">
        <f t="shared" si="224"/>
        <v>1.2390215239701541</v>
      </c>
      <c r="AM125" s="555">
        <f t="shared" si="225"/>
        <v>15</v>
      </c>
      <c r="AN125" s="469">
        <f t="shared" si="226"/>
        <v>350</v>
      </c>
      <c r="AP125" s="469">
        <f t="shared" si="227"/>
        <v>15</v>
      </c>
      <c r="AQ125" s="469">
        <f t="shared" si="228"/>
        <v>350</v>
      </c>
      <c r="AS125" s="5">
        <f t="shared" si="175"/>
        <v>2.8571428571428572</v>
      </c>
      <c r="AT125" s="5">
        <f t="shared" si="229"/>
        <v>0.31279842893284671</v>
      </c>
      <c r="AU125" s="5">
        <f t="shared" si="230"/>
        <v>2.5443444282100103</v>
      </c>
      <c r="AV125" s="5"/>
      <c r="AW125" s="177">
        <f t="shared" si="231"/>
        <v>0.10947945012649635</v>
      </c>
      <c r="AX125" s="177">
        <f t="shared" si="150"/>
        <v>0.22830000000000003</v>
      </c>
      <c r="AY125" s="177">
        <f t="shared" si="151"/>
        <v>4242.2758715042764</v>
      </c>
      <c r="AZ125" s="177">
        <f t="shared" si="178"/>
        <v>5.3815453524253416E-5</v>
      </c>
      <c r="BA125" s="469">
        <f t="shared" si="232"/>
        <v>3.7498921501997473</v>
      </c>
      <c r="BB125" s="469">
        <f t="shared" si="233"/>
        <v>9.7122389058498765E-2</v>
      </c>
      <c r="BC125" s="5">
        <f t="shared" si="258"/>
        <v>2.6503587793854269E-2</v>
      </c>
      <c r="BD125" s="469">
        <f t="shared" si="235"/>
        <v>3.2179305352625129</v>
      </c>
      <c r="BF125" s="177">
        <f t="shared" si="179"/>
        <v>3.9836298725149016E-2</v>
      </c>
      <c r="BG125" s="177">
        <f t="shared" si="156"/>
        <v>5190.9435047620882</v>
      </c>
      <c r="BI125" s="538">
        <f t="shared" si="236"/>
        <v>5.5542574364175821E-4</v>
      </c>
      <c r="BJ125" s="538">
        <f t="shared" si="237"/>
        <v>253.77576664249131</v>
      </c>
      <c r="BK125" s="538">
        <f t="shared" si="238"/>
        <v>4.3749999999999995E-3</v>
      </c>
      <c r="BL125" s="538">
        <f t="shared" si="239"/>
        <v>8462830.4513776898</v>
      </c>
      <c r="BM125">
        <f t="shared" si="240"/>
        <v>5.7999999999999996E-3</v>
      </c>
      <c r="BN125">
        <f t="shared" si="241"/>
        <v>1.3124999999999999E-5</v>
      </c>
      <c r="BO125" s="538">
        <f t="shared" si="242"/>
        <v>8463951.5902867056</v>
      </c>
      <c r="BP125" s="469">
        <f t="shared" si="243"/>
        <v>8463084237.8747578</v>
      </c>
      <c r="BQ125" s="538">
        <f t="shared" si="244"/>
        <v>20586663.379096124</v>
      </c>
      <c r="BT125" s="469">
        <f t="shared" si="245"/>
        <v>20586663379.096123</v>
      </c>
      <c r="BU125" s="538">
        <f t="shared" si="246"/>
        <v>1.5869306961193092E-4</v>
      </c>
      <c r="BV125" s="538">
        <f t="shared" si="247"/>
        <v>808376.83408895135</v>
      </c>
      <c r="BW125" s="538">
        <f t="shared" si="248"/>
        <v>0</v>
      </c>
      <c r="BX125" s="538"/>
      <c r="BY125" s="538">
        <f t="shared" si="249"/>
        <v>7.6100000000000007E-4</v>
      </c>
      <c r="BZ125" s="469">
        <f t="shared" si="250"/>
        <v>808376835.00864434</v>
      </c>
      <c r="CA125" s="177">
        <f t="shared" si="251"/>
        <v>29858124.451979525</v>
      </c>
      <c r="CB125" s="5">
        <f t="shared" si="252"/>
        <v>0.22499999999999998</v>
      </c>
      <c r="CC125" s="177">
        <f t="shared" si="253"/>
        <v>7.5356373661830788E-9</v>
      </c>
      <c r="CD125" s="5">
        <f t="shared" si="254"/>
        <v>7.5356373661830783E-7</v>
      </c>
      <c r="CG125" s="571">
        <f t="shared" si="255"/>
        <v>-50</v>
      </c>
      <c r="CH125">
        <f t="shared" si="256"/>
        <v>-50</v>
      </c>
    </row>
    <row r="126" spans="5:86" x14ac:dyDescent="0.25">
      <c r="E126" s="174">
        <v>16</v>
      </c>
      <c r="F126" s="221">
        <f t="shared" si="257"/>
        <v>1.6E-2</v>
      </c>
      <c r="G126" s="221"/>
      <c r="H126" s="221">
        <f t="shared" si="201"/>
        <v>0.24</v>
      </c>
      <c r="I126" s="551">
        <f t="shared" si="202"/>
        <v>20</v>
      </c>
      <c r="J126" s="451">
        <f t="shared" si="203"/>
        <v>695386.58000000007</v>
      </c>
      <c r="K126" s="451">
        <f t="shared" si="204"/>
        <v>695406.58000000007</v>
      </c>
      <c r="L126" s="451"/>
      <c r="M126" s="221">
        <f t="shared" si="205"/>
        <v>0.9999712398464794</v>
      </c>
      <c r="N126" s="176">
        <f t="shared" si="206"/>
        <v>6.9298006921361024</v>
      </c>
      <c r="O126" s="176">
        <f t="shared" si="173"/>
        <v>0.24</v>
      </c>
      <c r="P126" s="221">
        <f t="shared" si="207"/>
        <v>0.4619867128090735</v>
      </c>
      <c r="Q126" s="221">
        <f t="shared" si="208"/>
        <v>15</v>
      </c>
      <c r="R126" s="221"/>
      <c r="S126" s="176">
        <f t="shared" si="209"/>
        <v>421.87456248602956</v>
      </c>
      <c r="T126" s="176">
        <f t="shared" si="210"/>
        <v>15</v>
      </c>
      <c r="U126" s="221">
        <f t="shared" si="211"/>
        <v>2.6667433626151753E-2</v>
      </c>
      <c r="V126" s="221">
        <f t="shared" si="212"/>
        <v>4.0001150439227626E-2</v>
      </c>
      <c r="W126" s="221">
        <f t="shared" si="213"/>
        <v>1.1504723153911777E-6</v>
      </c>
      <c r="X126" s="201">
        <f t="shared" si="214"/>
        <v>350</v>
      </c>
      <c r="Y126" s="451">
        <f t="shared" si="215"/>
        <v>350</v>
      </c>
      <c r="AA126" s="221">
        <f t="shared" si="216"/>
        <v>1.9047071235171036</v>
      </c>
      <c r="AB126" s="177">
        <f t="shared" si="217"/>
        <v>8.2171867201568798E-5</v>
      </c>
      <c r="AC126" s="177">
        <f t="shared" si="218"/>
        <v>1.2514141549591451</v>
      </c>
      <c r="AD126" s="177"/>
      <c r="AE126" s="177">
        <f t="shared" si="219"/>
        <v>6.4712206554230591E-6</v>
      </c>
      <c r="AF126" s="555">
        <f t="shared" si="220"/>
        <v>721.54074074074094</v>
      </c>
      <c r="AG126" s="538">
        <f t="shared" si="221"/>
        <v>7.7611695137976321E-3</v>
      </c>
      <c r="AI126" s="177">
        <f t="shared" si="222"/>
        <v>0.21537121884031279</v>
      </c>
      <c r="AJ126" s="177">
        <f t="shared" si="223"/>
        <v>0.21537121884031279</v>
      </c>
      <c r="AK126" s="177">
        <f t="shared" si="224"/>
        <v>1.2435808125602086</v>
      </c>
      <c r="AM126" s="555">
        <f t="shared" si="225"/>
        <v>16</v>
      </c>
      <c r="AN126" s="469">
        <f t="shared" si="226"/>
        <v>350</v>
      </c>
      <c r="AP126" s="469">
        <f t="shared" si="227"/>
        <v>16</v>
      </c>
      <c r="AQ126" s="469">
        <f t="shared" si="228"/>
        <v>350</v>
      </c>
      <c r="AS126" s="5">
        <f t="shared" si="175"/>
        <v>2.8571428571428572</v>
      </c>
      <c r="AT126" s="5">
        <f t="shared" si="229"/>
        <v>0.32305682826046922</v>
      </c>
      <c r="AU126" s="5">
        <f t="shared" si="230"/>
        <v>2.5340860288823879</v>
      </c>
      <c r="AV126" s="5"/>
      <c r="AW126" s="177">
        <f t="shared" si="231"/>
        <v>0.11306988989116422</v>
      </c>
      <c r="AX126" s="177">
        <f t="shared" si="150"/>
        <v>0.24352000000000001</v>
      </c>
      <c r="AY126" s="177">
        <f t="shared" si="151"/>
        <v>4363.7385447975257</v>
      </c>
      <c r="AZ126" s="177">
        <f t="shared" si="178"/>
        <v>5.5805359899558139E-5</v>
      </c>
      <c r="BA126" s="469">
        <f t="shared" si="232"/>
        <v>3.7498921501997473</v>
      </c>
      <c r="BB126" s="469">
        <f t="shared" si="233"/>
        <v>0.10730369599544748</v>
      </c>
      <c r="BC126" s="5">
        <f t="shared" si="258"/>
        <v>2.8156511432026524E-2</v>
      </c>
      <c r="BD126" s="469">
        <f t="shared" si="235"/>
        <v>3.4187813718431834</v>
      </c>
      <c r="BF126" s="177">
        <f t="shared" si="179"/>
        <v>4.1811959697353331E-2</v>
      </c>
      <c r="BG126" s="177">
        <f t="shared" si="156"/>
        <v>5350.3647558518687</v>
      </c>
      <c r="BI126" s="538">
        <f t="shared" si="236"/>
        <v>6.118839908065847E-4</v>
      </c>
      <c r="BJ126" s="538">
        <f t="shared" si="237"/>
        <v>262.09848476730366</v>
      </c>
      <c r="BK126" s="538">
        <f t="shared" si="238"/>
        <v>4.3749999999999995E-3</v>
      </c>
      <c r="BL126" s="538">
        <f t="shared" si="239"/>
        <v>8462830.4513776898</v>
      </c>
      <c r="BM126">
        <f t="shared" si="240"/>
        <v>5.7999999999999996E-3</v>
      </c>
      <c r="BN126">
        <f t="shared" si="241"/>
        <v>1.3124999999999999E-5</v>
      </c>
      <c r="BO126" s="538">
        <f t="shared" si="242"/>
        <v>8464048.0891090892</v>
      </c>
      <c r="BP126" s="469">
        <f t="shared" si="243"/>
        <v>8463092560.6493406</v>
      </c>
      <c r="BQ126" s="538">
        <f t="shared" si="244"/>
        <v>21870571.912369631</v>
      </c>
      <c r="BT126" s="469">
        <f t="shared" si="245"/>
        <v>21870571912.369633</v>
      </c>
      <c r="BU126" s="538">
        <f t="shared" si="246"/>
        <v>1.7482399737330995E-4</v>
      </c>
      <c r="BV126" s="538">
        <f t="shared" si="247"/>
        <v>858792.09061985475</v>
      </c>
      <c r="BW126" s="538">
        <f t="shared" si="248"/>
        <v>0</v>
      </c>
      <c r="BX126" s="538"/>
      <c r="BY126" s="538">
        <f t="shared" si="249"/>
        <v>8.117333333333334E-4</v>
      </c>
      <c r="BZ126" s="469">
        <f t="shared" si="250"/>
        <v>858792091.60641205</v>
      </c>
      <c r="CA126" s="177">
        <f t="shared" si="251"/>
        <v>31192456.564625386</v>
      </c>
      <c r="CB126" s="5">
        <f t="shared" si="252"/>
        <v>0.24</v>
      </c>
      <c r="CC126" s="177">
        <f t="shared" si="253"/>
        <v>7.6941679042226494E-9</v>
      </c>
      <c r="CD126" s="5">
        <f t="shared" si="254"/>
        <v>7.694167904222649E-7</v>
      </c>
      <c r="CG126" s="571">
        <f t="shared" si="255"/>
        <v>-50</v>
      </c>
      <c r="CH126">
        <f t="shared" si="256"/>
        <v>-50</v>
      </c>
    </row>
    <row r="127" spans="5:86" x14ac:dyDescent="0.25">
      <c r="E127" s="174">
        <v>17</v>
      </c>
      <c r="F127" s="221">
        <f t="shared" si="257"/>
        <v>1.7000000000000001E-2</v>
      </c>
      <c r="G127" s="221"/>
      <c r="H127" s="221">
        <f t="shared" si="201"/>
        <v>0.255</v>
      </c>
      <c r="I127" s="551">
        <f t="shared" si="202"/>
        <v>20</v>
      </c>
      <c r="J127" s="451">
        <f t="shared" si="203"/>
        <v>695386.58000000007</v>
      </c>
      <c r="K127" s="451">
        <f t="shared" si="204"/>
        <v>695406.58000000007</v>
      </c>
      <c r="L127" s="451"/>
      <c r="M127" s="221">
        <f t="shared" si="205"/>
        <v>0.9999712398464794</v>
      </c>
      <c r="N127" s="176">
        <f t="shared" si="206"/>
        <v>6.9298006921361024</v>
      </c>
      <c r="O127" s="176">
        <f t="shared" si="173"/>
        <v>0.255</v>
      </c>
      <c r="P127" s="221">
        <f t="shared" si="207"/>
        <v>0.4619867128090735</v>
      </c>
      <c r="Q127" s="221">
        <f t="shared" si="208"/>
        <v>15</v>
      </c>
      <c r="R127" s="221"/>
      <c r="S127" s="176">
        <f t="shared" si="209"/>
        <v>397.05838602969311</v>
      </c>
      <c r="T127" s="176">
        <f t="shared" si="210"/>
        <v>15</v>
      </c>
      <c r="U127" s="221">
        <f t="shared" si="211"/>
        <v>2.8334148227786238E-2</v>
      </c>
      <c r="V127" s="221">
        <f t="shared" si="212"/>
        <v>4.2501222341679357E-2</v>
      </c>
      <c r="W127" s="221">
        <f t="shared" si="213"/>
        <v>1.2223768351031263E-6</v>
      </c>
      <c r="X127" s="201">
        <f t="shared" si="214"/>
        <v>350</v>
      </c>
      <c r="Y127" s="451">
        <f t="shared" si="215"/>
        <v>350</v>
      </c>
      <c r="AA127" s="221">
        <f t="shared" si="216"/>
        <v>1.9047071235171036</v>
      </c>
      <c r="AB127" s="177">
        <f t="shared" si="217"/>
        <v>8.2171867201568798E-5</v>
      </c>
      <c r="AC127" s="177">
        <f t="shared" si="218"/>
        <v>1.2514141549591451</v>
      </c>
      <c r="AD127" s="177"/>
      <c r="AE127" s="177">
        <f t="shared" si="219"/>
        <v>6.4712206554230591E-6</v>
      </c>
      <c r="AF127" s="555">
        <f t="shared" si="220"/>
        <v>766.63703703703732</v>
      </c>
      <c r="AG127" s="538">
        <f t="shared" si="221"/>
        <v>7.7611695137976321E-3</v>
      </c>
      <c r="AI127" s="177">
        <f t="shared" si="222"/>
        <v>0.22199957099915651</v>
      </c>
      <c r="AJ127" s="177">
        <f t="shared" si="223"/>
        <v>0.22199957099915651</v>
      </c>
      <c r="AK127" s="177">
        <f t="shared" si="224"/>
        <v>1.2479997139994377</v>
      </c>
      <c r="AM127" s="555">
        <f t="shared" si="225"/>
        <v>17</v>
      </c>
      <c r="AN127" s="469">
        <f t="shared" si="226"/>
        <v>350</v>
      </c>
      <c r="AP127" s="469">
        <f t="shared" si="227"/>
        <v>17</v>
      </c>
      <c r="AQ127" s="469">
        <f t="shared" si="228"/>
        <v>350</v>
      </c>
      <c r="AS127" s="5">
        <f t="shared" si="175"/>
        <v>2.8571428571428572</v>
      </c>
      <c r="AT127" s="5">
        <f t="shared" si="229"/>
        <v>0.33299935649873474</v>
      </c>
      <c r="AU127" s="5">
        <f t="shared" si="230"/>
        <v>2.5241435006441226</v>
      </c>
      <c r="AV127" s="5"/>
      <c r="AW127" s="177">
        <f t="shared" si="231"/>
        <v>0.11654977477455716</v>
      </c>
      <c r="AX127" s="177">
        <f t="shared" si="150"/>
        <v>0.25874000000000008</v>
      </c>
      <c r="AY127" s="177">
        <f t="shared" si="151"/>
        <v>4480.3906066902309</v>
      </c>
      <c r="AZ127" s="177">
        <f t="shared" si="178"/>
        <v>5.7749429171118042E-5</v>
      </c>
      <c r="BA127" s="469">
        <f t="shared" si="232"/>
        <v>3.7498921501997473</v>
      </c>
      <c r="BB127" s="469">
        <f t="shared" si="233"/>
        <v>0.11794831305736063</v>
      </c>
      <c r="BC127" s="5">
        <f t="shared" si="258"/>
        <v>2.9798916327048661E-2</v>
      </c>
      <c r="BD127" s="469">
        <f t="shared" si="235"/>
        <v>3.6183699592458405</v>
      </c>
      <c r="BF127" s="177">
        <f t="shared" si="179"/>
        <v>4.3756968587994362E-2</v>
      </c>
      <c r="BG127" s="177">
        <f t="shared" si="156"/>
        <v>5504.1999678319498</v>
      </c>
      <c r="BI127" s="538">
        <f t="shared" si="236"/>
        <v>6.7013530500375379E-4</v>
      </c>
      <c r="BJ127" s="538">
        <f t="shared" si="237"/>
        <v>270.16493425248365</v>
      </c>
      <c r="BK127" s="538">
        <f t="shared" si="238"/>
        <v>4.3749999999999995E-3</v>
      </c>
      <c r="BL127" s="538">
        <f t="shared" si="239"/>
        <v>8462830.4513776898</v>
      </c>
      <c r="BM127">
        <f t="shared" si="240"/>
        <v>5.7999999999999996E-3</v>
      </c>
      <c r="BN127">
        <f t="shared" si="241"/>
        <v>1.3124999999999999E-5</v>
      </c>
      <c r="BO127" s="538">
        <f t="shared" si="242"/>
        <v>8464147.134105701</v>
      </c>
      <c r="BP127" s="469">
        <f t="shared" si="243"/>
        <v>8463100627.1570768</v>
      </c>
      <c r="BQ127" s="538">
        <f t="shared" si="244"/>
        <v>23146310.011283759</v>
      </c>
      <c r="BT127" s="469">
        <f t="shared" si="245"/>
        <v>23146310011.28376</v>
      </c>
      <c r="BU127" s="538">
        <f t="shared" si="246"/>
        <v>1.9146723000107254E-4</v>
      </c>
      <c r="BV127" s="538">
        <f t="shared" si="247"/>
        <v>908886.51857643703</v>
      </c>
      <c r="BW127" s="538">
        <f t="shared" si="248"/>
        <v>0</v>
      </c>
      <c r="BX127" s="538"/>
      <c r="BY127" s="538">
        <f t="shared" si="249"/>
        <v>8.6246666666666696E-4</v>
      </c>
      <c r="BZ127" s="469">
        <f t="shared" si="250"/>
        <v>908886519.63037086</v>
      </c>
      <c r="CA127" s="177">
        <f t="shared" si="251"/>
        <v>32518297.158071209</v>
      </c>
      <c r="CB127" s="5">
        <f t="shared" si="252"/>
        <v>0.255</v>
      </c>
      <c r="CC127" s="177">
        <f t="shared" si="253"/>
        <v>7.8417389680893633E-9</v>
      </c>
      <c r="CD127" s="5">
        <f t="shared" si="254"/>
        <v>7.8417389680893638E-7</v>
      </c>
      <c r="CG127" s="571">
        <f t="shared" si="255"/>
        <v>-50</v>
      </c>
      <c r="CH127">
        <f t="shared" si="256"/>
        <v>-50</v>
      </c>
    </row>
    <row r="128" spans="5:86" x14ac:dyDescent="0.25">
      <c r="E128" s="174">
        <v>18</v>
      </c>
      <c r="F128" s="221">
        <f t="shared" si="257"/>
        <v>1.7999999999999999E-2</v>
      </c>
      <c r="G128" s="221"/>
      <c r="H128" s="221">
        <f t="shared" si="201"/>
        <v>0.26999999999999996</v>
      </c>
      <c r="I128" s="551">
        <f t="shared" si="202"/>
        <v>20</v>
      </c>
      <c r="J128" s="451">
        <f t="shared" si="203"/>
        <v>695386.58000000007</v>
      </c>
      <c r="K128" s="451">
        <f t="shared" si="204"/>
        <v>695406.58000000007</v>
      </c>
      <c r="L128" s="451"/>
      <c r="M128" s="221">
        <f t="shared" si="205"/>
        <v>0.9999712398464794</v>
      </c>
      <c r="N128" s="176">
        <f t="shared" si="206"/>
        <v>6.9298006921361024</v>
      </c>
      <c r="O128" s="176">
        <f t="shared" si="173"/>
        <v>0.26999999999999996</v>
      </c>
      <c r="P128" s="221">
        <f t="shared" si="207"/>
        <v>0.4619867128090735</v>
      </c>
      <c r="Q128" s="221">
        <f t="shared" si="208"/>
        <v>15</v>
      </c>
      <c r="R128" s="221"/>
      <c r="S128" s="176">
        <f t="shared" si="209"/>
        <v>374.99956251453239</v>
      </c>
      <c r="T128" s="176">
        <f t="shared" si="210"/>
        <v>15</v>
      </c>
      <c r="U128" s="221">
        <f t="shared" si="211"/>
        <v>3.0000862829420719E-2</v>
      </c>
      <c r="V128" s="221">
        <f t="shared" si="212"/>
        <v>4.5001294244131081E-2</v>
      </c>
      <c r="W128" s="221">
        <f t="shared" si="213"/>
        <v>1.2942813548150748E-6</v>
      </c>
      <c r="X128" s="201">
        <f t="shared" si="214"/>
        <v>350</v>
      </c>
      <c r="Y128" s="451">
        <f t="shared" si="215"/>
        <v>350</v>
      </c>
      <c r="AA128" s="221">
        <f t="shared" si="216"/>
        <v>1.9047071235171036</v>
      </c>
      <c r="AB128" s="177">
        <f t="shared" si="217"/>
        <v>8.2171867201568798E-5</v>
      </c>
      <c r="AC128" s="177">
        <f t="shared" si="218"/>
        <v>1.2514141549591451</v>
      </c>
      <c r="AD128" s="177"/>
      <c r="AE128" s="177">
        <f t="shared" si="219"/>
        <v>6.4712206554230591E-6</v>
      </c>
      <c r="AF128" s="555">
        <f t="shared" si="220"/>
        <v>811.73333333333346</v>
      </c>
      <c r="AG128" s="538">
        <f t="shared" si="221"/>
        <v>7.7611695137976321E-3</v>
      </c>
      <c r="AI128" s="177">
        <f t="shared" si="222"/>
        <v>0.22843567397159564</v>
      </c>
      <c r="AJ128" s="177">
        <f t="shared" si="223"/>
        <v>0.22843567397159564</v>
      </c>
      <c r="AK128" s="177">
        <f t="shared" si="224"/>
        <v>1.2522904493143971</v>
      </c>
      <c r="AM128" s="555">
        <f t="shared" si="225"/>
        <v>18</v>
      </c>
      <c r="AN128" s="469">
        <f t="shared" si="226"/>
        <v>350</v>
      </c>
      <c r="AP128" s="469">
        <f t="shared" si="227"/>
        <v>18</v>
      </c>
      <c r="AQ128" s="469">
        <f t="shared" si="228"/>
        <v>350</v>
      </c>
      <c r="AS128" s="5">
        <f t="shared" si="175"/>
        <v>2.8571428571428572</v>
      </c>
      <c r="AT128" s="5">
        <f t="shared" si="229"/>
        <v>0.34265351095739344</v>
      </c>
      <c r="AU128" s="5">
        <f t="shared" si="230"/>
        <v>2.5144893461854636</v>
      </c>
      <c r="AV128" s="5"/>
      <c r="AW128" s="177">
        <f t="shared" si="231"/>
        <v>0.11992872883508771</v>
      </c>
      <c r="AX128" s="177">
        <f t="shared" si="150"/>
        <v>0.27396000000000004</v>
      </c>
      <c r="AY128" s="177">
        <f t="shared" si="151"/>
        <v>4592.6508320441171</v>
      </c>
      <c r="AZ128" s="177">
        <f t="shared" si="178"/>
        <v>5.9651824190184459E-5</v>
      </c>
      <c r="BA128" s="469">
        <f t="shared" si="232"/>
        <v>3.7498921501997473</v>
      </c>
      <c r="BB128" s="469">
        <f t="shared" si="233"/>
        <v>0.1290562402442382</v>
      </c>
      <c r="BC128" s="5">
        <f t="shared" si="258"/>
        <v>3.1431116827318285E-2</v>
      </c>
      <c r="BD128" s="469">
        <f t="shared" si="235"/>
        <v>3.8167340192781944</v>
      </c>
      <c r="BF128" s="177">
        <f t="shared" si="179"/>
        <v>4.5673565382052354E-2</v>
      </c>
      <c r="BG128" s="177">
        <f t="shared" si="156"/>
        <v>5652.9334738442831</v>
      </c>
      <c r="BI128" s="538">
        <f t="shared" si="236"/>
        <v>7.301261011480139E-4</v>
      </c>
      <c r="BJ128" s="538">
        <f t="shared" si="237"/>
        <v>277.99742387651918</v>
      </c>
      <c r="BK128" s="538">
        <f t="shared" si="238"/>
        <v>4.3749999999999995E-3</v>
      </c>
      <c r="BL128" s="538">
        <f t="shared" si="239"/>
        <v>8462830.4513776898</v>
      </c>
      <c r="BM128">
        <f t="shared" si="240"/>
        <v>5.7999999999999996E-3</v>
      </c>
      <c r="BN128">
        <f t="shared" si="241"/>
        <v>1.3124999999999999E-5</v>
      </c>
      <c r="BO128" s="538">
        <f t="shared" si="242"/>
        <v>8464248.6640760489</v>
      </c>
      <c r="BP128" s="469">
        <f t="shared" si="243"/>
        <v>8463108459.7066917</v>
      </c>
      <c r="BQ128" s="538">
        <f t="shared" si="244"/>
        <v>24414121.845974814</v>
      </c>
      <c r="BT128" s="469">
        <f t="shared" si="245"/>
        <v>24414121845.974815</v>
      </c>
      <c r="BU128" s="538">
        <f t="shared" si="246"/>
        <v>2.0860745747086114E-4</v>
      </c>
      <c r="BV128" s="538">
        <f t="shared" si="247"/>
        <v>958669.70579127572</v>
      </c>
      <c r="BW128" s="538">
        <f t="shared" si="248"/>
        <v>0</v>
      </c>
      <c r="BX128" s="538"/>
      <c r="BY128" s="538">
        <f t="shared" si="249"/>
        <v>9.1319999999999997E-4</v>
      </c>
      <c r="BZ128" s="469">
        <f t="shared" si="250"/>
        <v>958669706.91308308</v>
      </c>
      <c r="CA128" s="177">
        <f t="shared" si="251"/>
        <v>33835900.012594588</v>
      </c>
      <c r="CB128" s="5">
        <f t="shared" si="252"/>
        <v>0.26999999999999996</v>
      </c>
      <c r="CC128" s="177">
        <f t="shared" si="253"/>
        <v>7.9796901440476735E-9</v>
      </c>
      <c r="CD128" s="5">
        <f t="shared" si="254"/>
        <v>7.9796901440476736E-7</v>
      </c>
      <c r="CG128" s="571">
        <f t="shared" si="255"/>
        <v>-50</v>
      </c>
      <c r="CH128">
        <f t="shared" si="256"/>
        <v>-50</v>
      </c>
    </row>
    <row r="129" spans="5:86" x14ac:dyDescent="0.25">
      <c r="E129" s="174">
        <v>19</v>
      </c>
      <c r="F129" s="221">
        <f t="shared" si="257"/>
        <v>1.9000000000000003E-2</v>
      </c>
      <c r="G129" s="221"/>
      <c r="H129" s="221">
        <f t="shared" si="201"/>
        <v>0.28500000000000003</v>
      </c>
      <c r="I129" s="551">
        <f t="shared" si="202"/>
        <v>20</v>
      </c>
      <c r="J129" s="451">
        <f t="shared" si="203"/>
        <v>695386.58000000007</v>
      </c>
      <c r="K129" s="451">
        <f t="shared" si="204"/>
        <v>695406.58000000007</v>
      </c>
      <c r="L129" s="451"/>
      <c r="M129" s="221">
        <f t="shared" si="205"/>
        <v>0.9999712398464794</v>
      </c>
      <c r="N129" s="176">
        <f t="shared" si="206"/>
        <v>6.9298006921361024</v>
      </c>
      <c r="O129" s="176">
        <f t="shared" si="173"/>
        <v>0.28500000000000003</v>
      </c>
      <c r="P129" s="221">
        <f t="shared" si="207"/>
        <v>0.4619867128090735</v>
      </c>
      <c r="Q129" s="221">
        <f t="shared" si="208"/>
        <v>15</v>
      </c>
      <c r="R129" s="221"/>
      <c r="S129" s="176">
        <f t="shared" si="209"/>
        <v>355.26272042351906</v>
      </c>
      <c r="T129" s="176">
        <f t="shared" si="210"/>
        <v>15</v>
      </c>
      <c r="U129" s="221">
        <f t="shared" si="211"/>
        <v>3.1667577431055208E-2</v>
      </c>
      <c r="V129" s="221">
        <f t="shared" si="212"/>
        <v>4.7501366146582812E-2</v>
      </c>
      <c r="W129" s="221">
        <f t="shared" si="213"/>
        <v>1.3661858745270236E-6</v>
      </c>
      <c r="X129" s="201">
        <f t="shared" si="214"/>
        <v>350</v>
      </c>
      <c r="Y129" s="451">
        <f t="shared" si="215"/>
        <v>350</v>
      </c>
      <c r="AA129" s="221">
        <f t="shared" si="216"/>
        <v>1.9047071235171036</v>
      </c>
      <c r="AB129" s="177">
        <f t="shared" si="217"/>
        <v>8.2171867201568798E-5</v>
      </c>
      <c r="AC129" s="177">
        <f t="shared" si="218"/>
        <v>1.2514141549591451</v>
      </c>
      <c r="AD129" s="177"/>
      <c r="AE129" s="177">
        <f t="shared" si="219"/>
        <v>6.4712206554230591E-6</v>
      </c>
      <c r="AF129" s="555">
        <f t="shared" si="220"/>
        <v>856.82962962963006</v>
      </c>
      <c r="AG129" s="538">
        <f t="shared" si="221"/>
        <v>7.7611695137976321E-3</v>
      </c>
      <c r="AI129" s="177">
        <f t="shared" si="222"/>
        <v>0.23469534456802668</v>
      </c>
      <c r="AJ129" s="177">
        <f t="shared" si="223"/>
        <v>0.23469534456802668</v>
      </c>
      <c r="AK129" s="177">
        <f t="shared" si="224"/>
        <v>1.2564635630453511</v>
      </c>
      <c r="AM129" s="555">
        <f t="shared" si="225"/>
        <v>19.000000000000004</v>
      </c>
      <c r="AN129" s="469">
        <f t="shared" si="226"/>
        <v>350</v>
      </c>
      <c r="AP129" s="469">
        <f t="shared" si="227"/>
        <v>19.000000000000004</v>
      </c>
      <c r="AQ129" s="469">
        <f t="shared" si="228"/>
        <v>350</v>
      </c>
      <c r="AS129" s="5">
        <f t="shared" si="175"/>
        <v>2.8571428571428572</v>
      </c>
      <c r="AT129" s="5">
        <f t="shared" si="229"/>
        <v>0.35204301685204004</v>
      </c>
      <c r="AU129" s="5">
        <f t="shared" si="230"/>
        <v>2.5050998402908173</v>
      </c>
      <c r="AV129" s="5"/>
      <c r="AW129" s="177">
        <f t="shared" si="231"/>
        <v>0.12321505589821401</v>
      </c>
      <c r="AX129" s="177">
        <f t="shared" si="150"/>
        <v>0.28918000000000005</v>
      </c>
      <c r="AY129" s="177">
        <f t="shared" si="151"/>
        <v>4700.8805479842849</v>
      </c>
      <c r="AZ129" s="177">
        <f t="shared" si="178"/>
        <v>6.1516134487611909E-5</v>
      </c>
      <c r="BA129" s="469">
        <f t="shared" si="232"/>
        <v>3.7498921501997473</v>
      </c>
      <c r="BB129" s="469">
        <f t="shared" si="233"/>
        <v>0.14062747755608024</v>
      </c>
      <c r="BC129" s="5">
        <f t="shared" si="258"/>
        <v>3.3053400670503837E-2</v>
      </c>
      <c r="BD129" s="469">
        <f t="shared" si="235"/>
        <v>4.0139080804604603</v>
      </c>
      <c r="BF129" s="177">
        <f t="shared" si="179"/>
        <v>4.7563711567462141E-2</v>
      </c>
      <c r="BG129" s="177">
        <f t="shared" si="156"/>
        <v>5796.9832052319298</v>
      </c>
      <c r="BI129" s="538">
        <f t="shared" si="236"/>
        <v>7.9180733032545617E-4</v>
      </c>
      <c r="BJ129" s="538">
        <f t="shared" si="237"/>
        <v>285.61520208895286</v>
      </c>
      <c r="BK129" s="538">
        <f t="shared" si="238"/>
        <v>4.3749999999999995E-3</v>
      </c>
      <c r="BL129" s="538">
        <f t="shared" si="239"/>
        <v>8462830.4513776898</v>
      </c>
      <c r="BM129">
        <f t="shared" si="240"/>
        <v>5.7999999999999996E-3</v>
      </c>
      <c r="BN129">
        <f t="shared" si="241"/>
        <v>1.3124999999999999E-5</v>
      </c>
      <c r="BO129" s="538">
        <f t="shared" si="242"/>
        <v>8464352.6218420789</v>
      </c>
      <c r="BP129" s="469">
        <f t="shared" si="243"/>
        <v>8463116077.5465851</v>
      </c>
      <c r="BQ129" s="538">
        <f t="shared" si="244"/>
        <v>25674230.916693665</v>
      </c>
      <c r="BT129" s="469">
        <f t="shared" si="245"/>
        <v>25674230916.693665</v>
      </c>
      <c r="BU129" s="538">
        <f t="shared" si="246"/>
        <v>2.2623066580727323E-4</v>
      </c>
      <c r="BV129" s="538">
        <f t="shared" si="247"/>
        <v>1008150.4284522318</v>
      </c>
      <c r="BW129" s="538">
        <f t="shared" si="248"/>
        <v>0</v>
      </c>
      <c r="BX129" s="538"/>
      <c r="BY129" s="538">
        <f t="shared" si="249"/>
        <v>9.6393333333333342E-4</v>
      </c>
      <c r="BZ129" s="469">
        <f t="shared" si="250"/>
        <v>1008150429.6423959</v>
      </c>
      <c r="CA129" s="177">
        <f t="shared" si="251"/>
        <v>35145497.423882648</v>
      </c>
      <c r="CB129" s="5">
        <f t="shared" si="252"/>
        <v>0.28500000000000003</v>
      </c>
      <c r="CC129" s="177">
        <f t="shared" si="253"/>
        <v>8.1091467920219361E-9</v>
      </c>
      <c r="CD129" s="5">
        <f t="shared" si="254"/>
        <v>8.1091467920219357E-7</v>
      </c>
      <c r="CG129" s="571">
        <f t="shared" si="255"/>
        <v>-50</v>
      </c>
      <c r="CH129">
        <f t="shared" si="256"/>
        <v>-50</v>
      </c>
    </row>
    <row r="130" spans="5:86" x14ac:dyDescent="0.25">
      <c r="E130" s="174">
        <v>20</v>
      </c>
      <c r="F130" s="221">
        <f t="shared" si="257"/>
        <v>2.0000000000000004E-2</v>
      </c>
      <c r="G130" s="221"/>
      <c r="H130" s="221">
        <f t="shared" si="201"/>
        <v>0.30000000000000004</v>
      </c>
      <c r="I130" s="551">
        <f t="shared" si="202"/>
        <v>20</v>
      </c>
      <c r="J130" s="451">
        <f t="shared" si="203"/>
        <v>695386.58000000007</v>
      </c>
      <c r="K130" s="451">
        <f t="shared" si="204"/>
        <v>695406.58000000007</v>
      </c>
      <c r="L130" s="451"/>
      <c r="M130" s="221">
        <f t="shared" si="205"/>
        <v>0.9999712398464794</v>
      </c>
      <c r="N130" s="176">
        <f t="shared" si="206"/>
        <v>6.9298006921361024</v>
      </c>
      <c r="O130" s="176">
        <f t="shared" si="173"/>
        <v>0.30000000000000004</v>
      </c>
      <c r="P130" s="221">
        <f t="shared" si="207"/>
        <v>0.4619867128090735</v>
      </c>
      <c r="Q130" s="221">
        <f t="shared" si="208"/>
        <v>15</v>
      </c>
      <c r="R130" s="221"/>
      <c r="S130" s="176">
        <f t="shared" si="209"/>
        <v>337.49956254303129</v>
      </c>
      <c r="T130" s="176">
        <f t="shared" si="210"/>
        <v>15</v>
      </c>
      <c r="U130" s="221">
        <f t="shared" si="211"/>
        <v>3.33342920326897E-2</v>
      </c>
      <c r="V130" s="221">
        <f t="shared" si="212"/>
        <v>5.0001438049034549E-2</v>
      </c>
      <c r="W130" s="221">
        <f t="shared" si="213"/>
        <v>1.4380903942389727E-6</v>
      </c>
      <c r="X130" s="201">
        <f t="shared" si="214"/>
        <v>350</v>
      </c>
      <c r="Y130" s="451">
        <f t="shared" si="215"/>
        <v>350</v>
      </c>
      <c r="AA130" s="221">
        <f t="shared" si="216"/>
        <v>1.9047071235171036</v>
      </c>
      <c r="AB130" s="177">
        <f t="shared" si="217"/>
        <v>8.2171867201568798E-5</v>
      </c>
      <c r="AC130" s="177">
        <f t="shared" si="218"/>
        <v>1.2514141549591451</v>
      </c>
      <c r="AD130" s="177"/>
      <c r="AE130" s="177">
        <f t="shared" si="219"/>
        <v>6.4712206554230591E-6</v>
      </c>
      <c r="AF130" s="555">
        <f t="shared" si="220"/>
        <v>901.92592592592632</v>
      </c>
      <c r="AG130" s="538">
        <f t="shared" si="221"/>
        <v>7.7611695137976321E-3</v>
      </c>
      <c r="AI130" s="177">
        <f t="shared" si="222"/>
        <v>0.24079234286196144</v>
      </c>
      <c r="AJ130" s="177">
        <f t="shared" si="223"/>
        <v>0.24079234286196144</v>
      </c>
      <c r="AK130" s="177">
        <f t="shared" si="224"/>
        <v>1.2605282285746409</v>
      </c>
      <c r="AM130" s="555">
        <f t="shared" si="225"/>
        <v>20.000000000000004</v>
      </c>
      <c r="AN130" s="469">
        <f t="shared" si="226"/>
        <v>350</v>
      </c>
      <c r="AP130" s="469">
        <f t="shared" si="227"/>
        <v>20.000000000000004</v>
      </c>
      <c r="AQ130" s="469">
        <f t="shared" si="228"/>
        <v>350</v>
      </c>
      <c r="AS130" s="5">
        <f t="shared" si="175"/>
        <v>2.8571428571428572</v>
      </c>
      <c r="AT130" s="5">
        <f t="shared" si="229"/>
        <v>0.36118851429294213</v>
      </c>
      <c r="AU130" s="5">
        <f t="shared" si="230"/>
        <v>2.4959543428499149</v>
      </c>
      <c r="AV130" s="5"/>
      <c r="AW130" s="177">
        <f t="shared" si="231"/>
        <v>0.12641598000252974</v>
      </c>
      <c r="AX130" s="177">
        <f t="shared" si="150"/>
        <v>0.30440000000000006</v>
      </c>
      <c r="AY130" s="177">
        <f t="shared" si="151"/>
        <v>4805.3940965100774</v>
      </c>
      <c r="AZ130" s="177">
        <f t="shared" si="178"/>
        <v>6.3345480908854254E-5</v>
      </c>
      <c r="BA130" s="469">
        <f t="shared" si="232"/>
        <v>3.7498921501997473</v>
      </c>
      <c r="BB130" s="469">
        <f t="shared" si="233"/>
        <v>0.15266202499288672</v>
      </c>
      <c r="BC130" s="5">
        <f t="shared" si="258"/>
        <v>3.4666032539582156E-2</v>
      </c>
      <c r="BD130" s="469">
        <f t="shared" si="235"/>
        <v>4.2099239047498589</v>
      </c>
      <c r="BF130" s="177">
        <f t="shared" si="179"/>
        <v>4.9429137549688598E-2</v>
      </c>
      <c r="BG130" s="177">
        <f t="shared" si="156"/>
        <v>5936.71278167733</v>
      </c>
      <c r="BI130" s="538">
        <f t="shared" si="236"/>
        <v>8.5513387361711235E-4</v>
      </c>
      <c r="BJ130" s="538">
        <f t="shared" si="237"/>
        <v>293.03501436969202</v>
      </c>
      <c r="BK130" s="538">
        <f t="shared" si="238"/>
        <v>4.3749999999999995E-3</v>
      </c>
      <c r="BL130" s="538">
        <f t="shared" si="239"/>
        <v>8462830.4513776898</v>
      </c>
      <c r="BM130">
        <f t="shared" si="240"/>
        <v>5.7999999999999996E-3</v>
      </c>
      <c r="BN130">
        <f t="shared" si="241"/>
        <v>1.3124999999999999E-5</v>
      </c>
      <c r="BO130" s="538">
        <f t="shared" si="242"/>
        <v>8464458.9538590331</v>
      </c>
      <c r="BP130" s="469">
        <f t="shared" si="243"/>
        <v>8463123497.4221926</v>
      </c>
      <c r="BQ130" s="538">
        <f t="shared" si="244"/>
        <v>26926842.815958064</v>
      </c>
      <c r="BT130" s="469">
        <f t="shared" si="245"/>
        <v>26926842815.958065</v>
      </c>
      <c r="BU130" s="538">
        <f t="shared" si="246"/>
        <v>2.4432396389060358E-4</v>
      </c>
      <c r="BV130" s="538">
        <f t="shared" si="247"/>
        <v>1057336.7595639294</v>
      </c>
      <c r="BW130" s="538">
        <f t="shared" si="248"/>
        <v>0</v>
      </c>
      <c r="BX130" s="538"/>
      <c r="BY130" s="538">
        <f t="shared" si="249"/>
        <v>1.014666666666667E-3</v>
      </c>
      <c r="BZ130" s="469">
        <f t="shared" si="250"/>
        <v>1057336760.8229198</v>
      </c>
      <c r="CA130" s="177">
        <f t="shared" si="251"/>
        <v>36447303.074203178</v>
      </c>
      <c r="CB130" s="5">
        <f t="shared" si="252"/>
        <v>0.30000000000000004</v>
      </c>
      <c r="CC130" s="177">
        <f t="shared" si="253"/>
        <v>8.2310616212099606E-9</v>
      </c>
      <c r="CD130" s="5">
        <f t="shared" si="254"/>
        <v>8.2310616212099603E-7</v>
      </c>
      <c r="CG130" s="571">
        <f t="shared" si="255"/>
        <v>-50</v>
      </c>
      <c r="CH130">
        <f t="shared" si="256"/>
        <v>-50</v>
      </c>
    </row>
    <row r="131" spans="5:86" x14ac:dyDescent="0.25">
      <c r="E131" s="174">
        <v>21</v>
      </c>
      <c r="F131" s="221">
        <f t="shared" si="257"/>
        <v>2.1000000000000001E-2</v>
      </c>
      <c r="G131" s="221"/>
      <c r="H131" s="221">
        <f t="shared" si="201"/>
        <v>0.315</v>
      </c>
      <c r="I131" s="551">
        <f t="shared" si="202"/>
        <v>20</v>
      </c>
      <c r="J131" s="451">
        <f t="shared" si="203"/>
        <v>695386.58000000007</v>
      </c>
      <c r="K131" s="451">
        <f t="shared" si="204"/>
        <v>695406.58000000007</v>
      </c>
      <c r="L131" s="451"/>
      <c r="M131" s="221">
        <f t="shared" si="205"/>
        <v>0.9999712398464794</v>
      </c>
      <c r="N131" s="176">
        <f t="shared" si="206"/>
        <v>6.9298006921361024</v>
      </c>
      <c r="O131" s="176">
        <f t="shared" si="173"/>
        <v>0.315</v>
      </c>
      <c r="P131" s="221">
        <f t="shared" si="207"/>
        <v>0.4619867128090735</v>
      </c>
      <c r="Q131" s="221">
        <f t="shared" si="208"/>
        <v>15</v>
      </c>
      <c r="R131" s="221"/>
      <c r="S131" s="176">
        <f t="shared" si="209"/>
        <v>321.42813398585093</v>
      </c>
      <c r="T131" s="176">
        <f t="shared" si="210"/>
        <v>15</v>
      </c>
      <c r="U131" s="221">
        <f t="shared" si="211"/>
        <v>3.5001006634324178E-2</v>
      </c>
      <c r="V131" s="221">
        <f t="shared" si="212"/>
        <v>5.2501509951486273E-2</v>
      </c>
      <c r="W131" s="221">
        <f t="shared" si="213"/>
        <v>1.5099949139509211E-6</v>
      </c>
      <c r="X131" s="201">
        <f t="shared" si="214"/>
        <v>350</v>
      </c>
      <c r="Y131" s="451">
        <f t="shared" si="215"/>
        <v>350</v>
      </c>
      <c r="AA131" s="221">
        <f t="shared" si="216"/>
        <v>1.9047071235171036</v>
      </c>
      <c r="AB131" s="177">
        <f t="shared" si="217"/>
        <v>8.2171867201568798E-5</v>
      </c>
      <c r="AC131" s="177">
        <f t="shared" si="218"/>
        <v>1.2514141549591451</v>
      </c>
      <c r="AD131" s="177"/>
      <c r="AE131" s="177">
        <f t="shared" si="219"/>
        <v>6.4712206554230591E-6</v>
      </c>
      <c r="AF131" s="555">
        <f t="shared" si="220"/>
        <v>947.02222222222247</v>
      </c>
      <c r="AG131" s="538">
        <f t="shared" si="221"/>
        <v>7.7611695137976321E-3</v>
      </c>
      <c r="AI131" s="177">
        <f t="shared" si="222"/>
        <v>0.24673872821265819</v>
      </c>
      <c r="AJ131" s="177">
        <f t="shared" si="223"/>
        <v>0.24673872821265819</v>
      </c>
      <c r="AK131" s="177">
        <f t="shared" si="224"/>
        <v>1.2644924854751054</v>
      </c>
      <c r="AM131" s="555">
        <f t="shared" si="225"/>
        <v>21</v>
      </c>
      <c r="AN131" s="469">
        <f t="shared" si="226"/>
        <v>350</v>
      </c>
      <c r="AP131" s="469">
        <f t="shared" si="227"/>
        <v>21</v>
      </c>
      <c r="AQ131" s="469">
        <f t="shared" si="228"/>
        <v>350</v>
      </c>
      <c r="AS131" s="5">
        <f t="shared" si="175"/>
        <v>2.8571428571428572</v>
      </c>
      <c r="AT131" s="5">
        <f t="shared" si="229"/>
        <v>0.37010809231898728</v>
      </c>
      <c r="AU131" s="5">
        <f t="shared" si="230"/>
        <v>2.48703476482387</v>
      </c>
      <c r="AV131" s="5"/>
      <c r="AW131" s="177">
        <f t="shared" si="231"/>
        <v>0.12953783231164553</v>
      </c>
      <c r="AX131" s="177">
        <f t="shared" si="150"/>
        <v>0.31962000000000007</v>
      </c>
      <c r="AY131" s="177">
        <f t="shared" si="151"/>
        <v>4906.4669676540698</v>
      </c>
      <c r="AZ131" s="177">
        <f t="shared" si="178"/>
        <v>6.514259692505788E-5</v>
      </c>
      <c r="BA131" s="469">
        <f t="shared" si="232"/>
        <v>3.7498921501997473</v>
      </c>
      <c r="BB131" s="469">
        <f t="shared" si="233"/>
        <v>0.16515988255465758</v>
      </c>
      <c r="BC131" s="5">
        <f t="shared" si="258"/>
        <v>3.6269256987014761E-2</v>
      </c>
      <c r="BD131" s="469">
        <f t="shared" si="235"/>
        <v>4.4048108384417715</v>
      </c>
      <c r="BF131" s="177">
        <f t="shared" si="179"/>
        <v>5.127138003192093E-2</v>
      </c>
      <c r="BG131" s="177">
        <f t="shared" si="156"/>
        <v>6072.4409099281165</v>
      </c>
      <c r="BI131" s="538">
        <f t="shared" si="236"/>
        <v>9.2006404363218104E-4</v>
      </c>
      <c r="BJ131" s="538">
        <f t="shared" si="237"/>
        <v>300.27153649484978</v>
      </c>
      <c r="BK131" s="538">
        <f t="shared" si="238"/>
        <v>4.3749999999999995E-3</v>
      </c>
      <c r="BL131" s="538">
        <f t="shared" si="239"/>
        <v>8462830.4513776898</v>
      </c>
      <c r="BM131">
        <f t="shared" si="240"/>
        <v>5.7999999999999996E-3</v>
      </c>
      <c r="BN131">
        <f t="shared" si="241"/>
        <v>1.3124999999999999E-5</v>
      </c>
      <c r="BO131" s="538">
        <f t="shared" si="242"/>
        <v>8464567.6098704375</v>
      </c>
      <c r="BP131" s="469">
        <f t="shared" si="243"/>
        <v>8463130734.0092468</v>
      </c>
      <c r="BQ131" s="538">
        <f t="shared" si="244"/>
        <v>28172147.499906909</v>
      </c>
      <c r="BT131" s="469">
        <f t="shared" si="245"/>
        <v>28172147499.90691</v>
      </c>
      <c r="BU131" s="538">
        <f t="shared" si="246"/>
        <v>2.6287544103776602E-4</v>
      </c>
      <c r="BV131" s="538">
        <f t="shared" si="247"/>
        <v>1106236.1581370581</v>
      </c>
      <c r="BW131" s="538">
        <f t="shared" si="248"/>
        <v>0</v>
      </c>
      <c r="BX131" s="538"/>
      <c r="BY131" s="538">
        <f t="shared" si="249"/>
        <v>1.0654E-3</v>
      </c>
      <c r="BZ131" s="469">
        <f t="shared" si="250"/>
        <v>1106236159.4653335</v>
      </c>
      <c r="CA131" s="177">
        <f t="shared" si="251"/>
        <v>37741514.393381499</v>
      </c>
      <c r="CB131" s="5">
        <f t="shared" si="252"/>
        <v>0.315</v>
      </c>
      <c r="CC131" s="177">
        <f t="shared" si="253"/>
        <v>8.3462468963930045E-9</v>
      </c>
      <c r="CD131" s="5">
        <f t="shared" si="254"/>
        <v>8.3462468963930045E-7</v>
      </c>
      <c r="CG131" s="571">
        <f t="shared" si="255"/>
        <v>-50</v>
      </c>
      <c r="CH131">
        <f t="shared" si="256"/>
        <v>-50</v>
      </c>
    </row>
    <row r="132" spans="5:86" x14ac:dyDescent="0.25">
      <c r="E132" s="174">
        <v>22</v>
      </c>
      <c r="F132" s="221">
        <f t="shared" si="257"/>
        <v>2.2000000000000002E-2</v>
      </c>
      <c r="G132" s="221"/>
      <c r="H132" s="221">
        <f t="shared" si="201"/>
        <v>0.33</v>
      </c>
      <c r="I132" s="551">
        <f t="shared" si="202"/>
        <v>20</v>
      </c>
      <c r="J132" s="451">
        <f t="shared" si="203"/>
        <v>695386.58000000007</v>
      </c>
      <c r="K132" s="451">
        <f t="shared" si="204"/>
        <v>695406.58000000007</v>
      </c>
      <c r="L132" s="451"/>
      <c r="M132" s="221">
        <f t="shared" si="205"/>
        <v>0.9999712398464794</v>
      </c>
      <c r="N132" s="176">
        <f t="shared" si="206"/>
        <v>6.9298006921361024</v>
      </c>
      <c r="O132" s="176">
        <f t="shared" si="173"/>
        <v>0.33</v>
      </c>
      <c r="P132" s="221">
        <f t="shared" si="207"/>
        <v>0.4619867128090735</v>
      </c>
      <c r="Q132" s="221">
        <f t="shared" si="208"/>
        <v>15</v>
      </c>
      <c r="R132" s="221"/>
      <c r="S132" s="176">
        <f t="shared" si="209"/>
        <v>306.81774438970854</v>
      </c>
      <c r="T132" s="176">
        <f t="shared" si="210"/>
        <v>15</v>
      </c>
      <c r="U132" s="221">
        <f t="shared" si="211"/>
        <v>3.6667721235958663E-2</v>
      </c>
      <c r="V132" s="221">
        <f t="shared" si="212"/>
        <v>5.5001581853937991E-2</v>
      </c>
      <c r="W132" s="221">
        <f t="shared" si="213"/>
        <v>1.5818994336628696E-6</v>
      </c>
      <c r="X132" s="201">
        <f t="shared" si="214"/>
        <v>350</v>
      </c>
      <c r="Y132" s="451">
        <f t="shared" si="215"/>
        <v>350</v>
      </c>
      <c r="AA132" s="221">
        <f t="shared" si="216"/>
        <v>1.9047071235171036</v>
      </c>
      <c r="AB132" s="177">
        <f t="shared" si="217"/>
        <v>8.2171867201568798E-5</v>
      </c>
      <c r="AC132" s="177">
        <f t="shared" si="218"/>
        <v>1.2514141549591451</v>
      </c>
      <c r="AD132" s="177"/>
      <c r="AE132" s="177">
        <f t="shared" si="219"/>
        <v>6.4712206554230591E-6</v>
      </c>
      <c r="AF132" s="555">
        <f t="shared" si="220"/>
        <v>992.11851851851884</v>
      </c>
      <c r="AG132" s="538">
        <f t="shared" si="221"/>
        <v>7.7611695137976321E-3</v>
      </c>
      <c r="AI132" s="177">
        <f t="shared" si="222"/>
        <v>0.25254513976524595</v>
      </c>
      <c r="AJ132" s="177">
        <f t="shared" si="223"/>
        <v>0.25254513976524595</v>
      </c>
      <c r="AK132" s="177">
        <f t="shared" si="224"/>
        <v>1.268363426510164</v>
      </c>
      <c r="AM132" s="555">
        <f t="shared" si="225"/>
        <v>22.000000000000004</v>
      </c>
      <c r="AN132" s="469">
        <f t="shared" si="226"/>
        <v>350</v>
      </c>
      <c r="AP132" s="469">
        <f t="shared" si="227"/>
        <v>22.000000000000004</v>
      </c>
      <c r="AQ132" s="469">
        <f t="shared" si="228"/>
        <v>350</v>
      </c>
      <c r="AS132" s="5">
        <f t="shared" si="175"/>
        <v>2.8571428571428572</v>
      </c>
      <c r="AT132" s="5">
        <f t="shared" si="229"/>
        <v>0.37881770964786893</v>
      </c>
      <c r="AU132" s="5">
        <f t="shared" si="230"/>
        <v>2.4783251474949881</v>
      </c>
      <c r="AV132" s="5"/>
      <c r="AW132" s="177">
        <f t="shared" si="231"/>
        <v>0.13258619837675412</v>
      </c>
      <c r="AX132" s="177">
        <f t="shared" si="150"/>
        <v>0.33483999999999992</v>
      </c>
      <c r="AY132" s="177">
        <f t="shared" si="151"/>
        <v>5004.3422073671618</v>
      </c>
      <c r="AZ132" s="177">
        <f t="shared" si="178"/>
        <v>6.6909892674218784E-5</v>
      </c>
      <c r="BA132" s="469">
        <f t="shared" si="232"/>
        <v>3.7498921501997473</v>
      </c>
      <c r="BB132" s="469">
        <f t="shared" si="233"/>
        <v>0.17812105024139291</v>
      </c>
      <c r="BC132" s="5">
        <f t="shared" si="258"/>
        <v>3.786330086450676E-2</v>
      </c>
      <c r="BD132" s="469">
        <f t="shared" si="235"/>
        <v>4.5985961037408121</v>
      </c>
      <c r="BF132" s="177">
        <f t="shared" si="179"/>
        <v>5.3091811860522947E-2</v>
      </c>
      <c r="BG132" s="177">
        <f t="shared" si="156"/>
        <v>6204.4487891018116</v>
      </c>
      <c r="BI132" s="538">
        <f t="shared" si="236"/>
        <v>9.8655917032160765E-4</v>
      </c>
      <c r="BJ132" s="538">
        <f t="shared" si="237"/>
        <v>307.33771589460048</v>
      </c>
      <c r="BK132" s="538">
        <f t="shared" si="238"/>
        <v>4.3749999999999995E-3</v>
      </c>
      <c r="BL132" s="538">
        <f t="shared" si="239"/>
        <v>8462830.4513776898</v>
      </c>
      <c r="BM132">
        <f t="shared" si="240"/>
        <v>5.7999999999999996E-3</v>
      </c>
      <c r="BN132">
        <f t="shared" si="241"/>
        <v>1.3124999999999999E-5</v>
      </c>
      <c r="BO132" s="538">
        <f t="shared" si="242"/>
        <v>8464678.5426027384</v>
      </c>
      <c r="BP132" s="469">
        <f t="shared" si="243"/>
        <v>8463137800.2551422</v>
      </c>
      <c r="BQ132" s="538">
        <f t="shared" si="244"/>
        <v>29410321.175615411</v>
      </c>
      <c r="BT132" s="469">
        <f t="shared" si="245"/>
        <v>29410321175.61541</v>
      </c>
      <c r="BU132" s="538">
        <f t="shared" si="246"/>
        <v>2.8187404866331648E-4</v>
      </c>
      <c r="BV132" s="538">
        <f t="shared" si="247"/>
        <v>1154855.5432976079</v>
      </c>
      <c r="BW132" s="538">
        <f t="shared" si="248"/>
        <v>0</v>
      </c>
      <c r="BX132" s="538"/>
      <c r="BY132" s="538">
        <f t="shared" si="249"/>
        <v>1.1161333333333332E-3</v>
      </c>
      <c r="BZ132" s="469">
        <f t="shared" si="250"/>
        <v>1154855544.6956153</v>
      </c>
      <c r="CA132" s="177">
        <f t="shared" si="251"/>
        <v>39028314.520566165</v>
      </c>
      <c r="CB132" s="5">
        <f t="shared" si="252"/>
        <v>0.33</v>
      </c>
      <c r="CC132" s="177">
        <f t="shared" si="253"/>
        <v>8.4553996569803947E-9</v>
      </c>
      <c r="CD132" s="5">
        <f t="shared" si="254"/>
        <v>8.4553996569803945E-7</v>
      </c>
      <c r="CG132" s="571">
        <f t="shared" si="255"/>
        <v>-50</v>
      </c>
      <c r="CH132">
        <f t="shared" si="256"/>
        <v>-50</v>
      </c>
    </row>
    <row r="133" spans="5:86" x14ac:dyDescent="0.25">
      <c r="E133" s="174">
        <v>23</v>
      </c>
      <c r="F133" s="221">
        <f t="shared" si="257"/>
        <v>2.3000000000000003E-2</v>
      </c>
      <c r="G133" s="221"/>
      <c r="H133" s="221">
        <f t="shared" si="201"/>
        <v>0.34500000000000003</v>
      </c>
      <c r="I133" s="551">
        <f t="shared" si="202"/>
        <v>20</v>
      </c>
      <c r="J133" s="451">
        <f t="shared" si="203"/>
        <v>695386.58000000007</v>
      </c>
      <c r="K133" s="451">
        <f t="shared" si="204"/>
        <v>695406.58000000007</v>
      </c>
      <c r="L133" s="451"/>
      <c r="M133" s="221">
        <f t="shared" si="205"/>
        <v>0.9999712398464794</v>
      </c>
      <c r="N133" s="176">
        <f t="shared" si="206"/>
        <v>6.9298006921361024</v>
      </c>
      <c r="O133" s="176">
        <f t="shared" si="173"/>
        <v>0.34500000000000003</v>
      </c>
      <c r="P133" s="221">
        <f t="shared" si="207"/>
        <v>0.4619867128090735</v>
      </c>
      <c r="Q133" s="221">
        <f t="shared" si="208"/>
        <v>15</v>
      </c>
      <c r="R133" s="221"/>
      <c r="S133" s="176">
        <f t="shared" si="209"/>
        <v>293.47782345533824</v>
      </c>
      <c r="T133" s="176">
        <f t="shared" si="210"/>
        <v>15</v>
      </c>
      <c r="U133" s="221">
        <f t="shared" si="211"/>
        <v>3.8334435837593148E-2</v>
      </c>
      <c r="V133" s="221">
        <f t="shared" si="212"/>
        <v>5.7501653756389721E-2</v>
      </c>
      <c r="W133" s="221">
        <f t="shared" si="213"/>
        <v>1.6538039533748182E-6</v>
      </c>
      <c r="X133" s="201">
        <f t="shared" si="214"/>
        <v>350</v>
      </c>
      <c r="Y133" s="451">
        <f t="shared" si="215"/>
        <v>350</v>
      </c>
      <c r="AA133" s="221">
        <f t="shared" si="216"/>
        <v>1.9047071235171036</v>
      </c>
      <c r="AB133" s="177">
        <f t="shared" si="217"/>
        <v>8.2171867201568798E-5</v>
      </c>
      <c r="AC133" s="177">
        <f t="shared" si="218"/>
        <v>1.2514141549591451</v>
      </c>
      <c r="AD133" s="177"/>
      <c r="AE133" s="177">
        <f t="shared" si="219"/>
        <v>6.4712206554230591E-6</v>
      </c>
      <c r="AF133" s="555">
        <f t="shared" si="220"/>
        <v>1037.2148148148151</v>
      </c>
      <c r="AG133" s="538">
        <f t="shared" si="221"/>
        <v>7.7611695137976321E-3</v>
      </c>
      <c r="AI133" s="177">
        <f t="shared" si="222"/>
        <v>0.25822102013216364</v>
      </c>
      <c r="AJ133" s="177">
        <f t="shared" si="223"/>
        <v>0.25822102013216364</v>
      </c>
      <c r="AK133" s="177">
        <f t="shared" si="224"/>
        <v>1.2721473467547757</v>
      </c>
      <c r="AM133" s="555">
        <f t="shared" si="225"/>
        <v>23.000000000000004</v>
      </c>
      <c r="AN133" s="469">
        <f t="shared" si="226"/>
        <v>350</v>
      </c>
      <c r="AP133" s="469">
        <f t="shared" si="227"/>
        <v>23.000000000000004</v>
      </c>
      <c r="AQ133" s="469">
        <f t="shared" si="228"/>
        <v>350</v>
      </c>
      <c r="AS133" s="5">
        <f t="shared" si="175"/>
        <v>2.8571428571428572</v>
      </c>
      <c r="AT133" s="5">
        <f t="shared" si="229"/>
        <v>0.38733153019824551</v>
      </c>
      <c r="AU133" s="5">
        <f t="shared" si="230"/>
        <v>2.4698113269446118</v>
      </c>
      <c r="AV133" s="5"/>
      <c r="AW133" s="177">
        <f t="shared" si="231"/>
        <v>0.13556603556938593</v>
      </c>
      <c r="AX133" s="177">
        <f t="shared" ref="AX133:AX196" si="259">0.5*L*AJ133^2*AN133*1000</f>
        <v>0.35006000000000009</v>
      </c>
      <c r="AY133" s="177">
        <f t="shared" ref="AY133:AY196" si="260">AJ133*Nps/2*(1-AW133)</f>
        <v>5099.2355274092115</v>
      </c>
      <c r="AZ133" s="177">
        <f t="shared" si="178"/>
        <v>6.8649506012885902E-5</v>
      </c>
      <c r="BA133" s="469">
        <f t="shared" si="232"/>
        <v>3.7498921501997473</v>
      </c>
      <c r="BB133" s="469">
        <f t="shared" si="233"/>
        <v>0.19154552805309269</v>
      </c>
      <c r="BC133" s="5">
        <f t="shared" si="258"/>
        <v>3.9448375360920884E-2</v>
      </c>
      <c r="BD133" s="469">
        <f t="shared" si="235"/>
        <v>4.7913050433105075</v>
      </c>
      <c r="BF133" s="177">
        <f t="shared" si="179"/>
        <v>5.4891666127462754E-2</v>
      </c>
      <c r="BG133" s="177">
        <f t="shared" ref="BG133:BG196" si="261">AJ133*Nps*SQRT((1-AW133)/3)</f>
        <v>6332.9860162080286</v>
      </c>
      <c r="BI133" s="538">
        <f t="shared" si="236"/>
        <v>1.0545832535870947E-3</v>
      </c>
      <c r="BJ133" s="538">
        <f t="shared" si="237"/>
        <v>314.24504386488343</v>
      </c>
      <c r="BK133" s="538">
        <f t="shared" si="238"/>
        <v>4.3749999999999995E-3</v>
      </c>
      <c r="BL133" s="538">
        <f t="shared" si="239"/>
        <v>8462830.4513776898</v>
      </c>
      <c r="BM133">
        <f t="shared" si="240"/>
        <v>5.7999999999999996E-3</v>
      </c>
      <c r="BN133">
        <f t="shared" si="241"/>
        <v>1.3124999999999999E-5</v>
      </c>
      <c r="BO133" s="538">
        <f t="shared" si="242"/>
        <v>8464791.7074951082</v>
      </c>
      <c r="BP133" s="469">
        <f t="shared" si="243"/>
        <v>8463144707.6511383</v>
      </c>
      <c r="BQ133" s="538">
        <f t="shared" si="244"/>
        <v>30641527.884045132</v>
      </c>
      <c r="BT133" s="469">
        <f t="shared" si="245"/>
        <v>30641527884.045132</v>
      </c>
      <c r="BU133" s="538">
        <f t="shared" si="246"/>
        <v>3.0130950102488422E-4</v>
      </c>
      <c r="BV133" s="538">
        <f t="shared" si="247"/>
        <v>1203201.3564445931</v>
      </c>
      <c r="BW133" s="538">
        <f t="shared" si="248"/>
        <v>0</v>
      </c>
      <c r="BX133" s="538"/>
      <c r="BY133" s="538">
        <f t="shared" si="249"/>
        <v>1.1668666666666673E-3</v>
      </c>
      <c r="BZ133" s="469">
        <f t="shared" si="250"/>
        <v>1203201357.9127691</v>
      </c>
      <c r="CA133" s="177">
        <f t="shared" si="251"/>
        <v>40307873.949609034</v>
      </c>
      <c r="CB133" s="5">
        <f t="shared" si="252"/>
        <v>0.34500000000000003</v>
      </c>
      <c r="CC133" s="177">
        <f t="shared" si="253"/>
        <v>8.559121661400586E-9</v>
      </c>
      <c r="CD133" s="5">
        <f t="shared" si="254"/>
        <v>8.5591216614005861E-7</v>
      </c>
      <c r="CG133" s="571">
        <f t="shared" si="255"/>
        <v>-50</v>
      </c>
      <c r="CH133">
        <f t="shared" si="256"/>
        <v>-50</v>
      </c>
    </row>
    <row r="134" spans="5:86" x14ac:dyDescent="0.25">
      <c r="E134" s="174">
        <v>24</v>
      </c>
      <c r="F134" s="221">
        <f t="shared" si="257"/>
        <v>2.4E-2</v>
      </c>
      <c r="G134" s="221"/>
      <c r="H134" s="221">
        <f t="shared" si="201"/>
        <v>0.36</v>
      </c>
      <c r="I134" s="551">
        <f t="shared" si="202"/>
        <v>20</v>
      </c>
      <c r="J134" s="451">
        <f t="shared" si="203"/>
        <v>695386.58000000007</v>
      </c>
      <c r="K134" s="451">
        <f t="shared" si="204"/>
        <v>695406.58000000007</v>
      </c>
      <c r="L134" s="451"/>
      <c r="M134" s="221">
        <f t="shared" si="205"/>
        <v>0.9999712398464794</v>
      </c>
      <c r="N134" s="176">
        <f t="shared" si="206"/>
        <v>6.9298006921361024</v>
      </c>
      <c r="O134" s="176">
        <f t="shared" ref="O134:O197" si="262">T134*F134</f>
        <v>0.36</v>
      </c>
      <c r="P134" s="221">
        <f t="shared" si="207"/>
        <v>0.4619867128090735</v>
      </c>
      <c r="Q134" s="221">
        <f t="shared" si="208"/>
        <v>15</v>
      </c>
      <c r="R134" s="221"/>
      <c r="S134" s="176">
        <f t="shared" si="209"/>
        <v>281.24956260001841</v>
      </c>
      <c r="T134" s="176">
        <f t="shared" si="210"/>
        <v>15</v>
      </c>
      <c r="U134" s="221">
        <f t="shared" si="211"/>
        <v>4.0001150439227626E-2</v>
      </c>
      <c r="V134" s="221">
        <f t="shared" si="212"/>
        <v>6.0001725658841439E-2</v>
      </c>
      <c r="W134" s="221">
        <f t="shared" si="213"/>
        <v>1.7257084730867666E-6</v>
      </c>
      <c r="X134" s="201">
        <f t="shared" si="214"/>
        <v>350</v>
      </c>
      <c r="Y134" s="451">
        <f t="shared" si="215"/>
        <v>350</v>
      </c>
      <c r="AA134" s="221">
        <f t="shared" si="216"/>
        <v>1.9047071235171036</v>
      </c>
      <c r="AB134" s="177">
        <f t="shared" si="217"/>
        <v>8.2171867201568798E-5</v>
      </c>
      <c r="AC134" s="177">
        <f t="shared" si="218"/>
        <v>1.2514141549591451</v>
      </c>
      <c r="AD134" s="177"/>
      <c r="AE134" s="177">
        <f t="shared" si="219"/>
        <v>6.4712206554230591E-6</v>
      </c>
      <c r="AF134" s="555">
        <f t="shared" si="220"/>
        <v>1082.3111111111116</v>
      </c>
      <c r="AG134" s="538">
        <f t="shared" si="221"/>
        <v>7.7611695137976321E-3</v>
      </c>
      <c r="AI134" s="177">
        <f t="shared" si="222"/>
        <v>0.26377479572002871</v>
      </c>
      <c r="AJ134" s="177">
        <f t="shared" si="223"/>
        <v>0.26377479572002871</v>
      </c>
      <c r="AK134" s="177">
        <f t="shared" si="224"/>
        <v>1.2758498638133524</v>
      </c>
      <c r="AM134" s="555">
        <f t="shared" si="225"/>
        <v>24</v>
      </c>
      <c r="AN134" s="469">
        <f t="shared" si="226"/>
        <v>350</v>
      </c>
      <c r="AP134" s="469">
        <f t="shared" si="227"/>
        <v>24</v>
      </c>
      <c r="AQ134" s="469">
        <f t="shared" si="228"/>
        <v>350</v>
      </c>
      <c r="AS134" s="5">
        <f t="shared" ref="AS134:AS197" si="263">1/AN134*1000</f>
        <v>2.8571428571428572</v>
      </c>
      <c r="AT134" s="5">
        <f t="shared" si="229"/>
        <v>0.39566219358004306</v>
      </c>
      <c r="AU134" s="5">
        <f t="shared" si="230"/>
        <v>2.4614806635628144</v>
      </c>
      <c r="AV134" s="5"/>
      <c r="AW134" s="177">
        <f t="shared" si="231"/>
        <v>0.13848176775301507</v>
      </c>
      <c r="AX134" s="177">
        <f t="shared" si="259"/>
        <v>0.3652800000000001</v>
      </c>
      <c r="AY134" s="177">
        <f t="shared" si="260"/>
        <v>5191.3394248261957</v>
      </c>
      <c r="AZ134" s="177">
        <f t="shared" ref="AZ134:AZ197" si="264">AX134/AY134</f>
        <v>7.0363343659084578E-5</v>
      </c>
      <c r="BA134" s="469">
        <f t="shared" si="232"/>
        <v>3.7498921501997473</v>
      </c>
      <c r="BB134" s="469">
        <f t="shared" si="233"/>
        <v>0.20543331598975681</v>
      </c>
      <c r="BC134" s="5">
        <f t="shared" si="258"/>
        <v>4.1024677726046892E-2</v>
      </c>
      <c r="BD134" s="469">
        <f t="shared" si="235"/>
        <v>4.9829613271256283</v>
      </c>
      <c r="BF134" s="177">
        <f t="shared" ref="BF134:BF197" si="265">AJ134*SQRT(AW134/3)</f>
        <v>5.6672055836073834E-2</v>
      </c>
      <c r="BG134" s="177">
        <f t="shared" si="261"/>
        <v>6458.2753472480199</v>
      </c>
      <c r="BI134" s="538">
        <f t="shared" si="236"/>
        <v>1.1241026694404745E-3</v>
      </c>
      <c r="BJ134" s="538">
        <f t="shared" si="237"/>
        <v>321.00377501826171</v>
      </c>
      <c r="BK134" s="538">
        <f t="shared" si="238"/>
        <v>4.3749999999999995E-3</v>
      </c>
      <c r="BL134" s="538">
        <f t="shared" si="239"/>
        <v>8462830.4513776898</v>
      </c>
      <c r="BM134">
        <f t="shared" si="240"/>
        <v>5.7999999999999996E-3</v>
      </c>
      <c r="BN134">
        <f t="shared" si="241"/>
        <v>1.3124999999999999E-5</v>
      </c>
      <c r="BO134" s="538">
        <f t="shared" si="242"/>
        <v>8464907.0624600891</v>
      </c>
      <c r="BP134" s="469">
        <f t="shared" si="243"/>
        <v>8463151466.4518108</v>
      </c>
      <c r="BQ134" s="538">
        <f t="shared" si="244"/>
        <v>31865920.838981841</v>
      </c>
      <c r="BT134" s="469">
        <f t="shared" si="245"/>
        <v>31865920838.981842</v>
      </c>
      <c r="BU134" s="538">
        <f t="shared" si="246"/>
        <v>3.2117219126870703E-4</v>
      </c>
      <c r="BV134" s="538">
        <f t="shared" si="247"/>
        <v>1251279.6138261459</v>
      </c>
      <c r="BW134" s="538">
        <f t="shared" si="248"/>
        <v>0</v>
      </c>
      <c r="BX134" s="538"/>
      <c r="BY134" s="538">
        <f t="shared" si="249"/>
        <v>1.2176000000000003E-3</v>
      </c>
      <c r="BZ134" s="469">
        <f t="shared" si="250"/>
        <v>1251279615.364918</v>
      </c>
      <c r="CA134" s="177">
        <f t="shared" si="251"/>
        <v>41580351.920798577</v>
      </c>
      <c r="CB134" s="5">
        <f t="shared" si="252"/>
        <v>0.36</v>
      </c>
      <c r="CC134" s="177">
        <f t="shared" si="253"/>
        <v>8.6579353048493692E-9</v>
      </c>
      <c r="CD134" s="5">
        <f t="shared" si="254"/>
        <v>8.6579353048493692E-7</v>
      </c>
      <c r="CG134" s="571">
        <f t="shared" si="255"/>
        <v>-50</v>
      </c>
      <c r="CH134">
        <f t="shared" si="256"/>
        <v>-50</v>
      </c>
    </row>
    <row r="135" spans="5:86" x14ac:dyDescent="0.25">
      <c r="E135" s="174">
        <v>25</v>
      </c>
      <c r="F135" s="221">
        <f t="shared" si="257"/>
        <v>2.5000000000000001E-2</v>
      </c>
      <c r="G135" s="221"/>
      <c r="H135" s="221">
        <f t="shared" si="201"/>
        <v>0.375</v>
      </c>
      <c r="I135" s="551">
        <f t="shared" si="202"/>
        <v>20</v>
      </c>
      <c r="J135" s="451">
        <f t="shared" si="203"/>
        <v>695386.58000000007</v>
      </c>
      <c r="K135" s="451">
        <f t="shared" si="204"/>
        <v>695406.58000000007</v>
      </c>
      <c r="L135" s="451"/>
      <c r="M135" s="221">
        <f t="shared" si="205"/>
        <v>0.9999712398464794</v>
      </c>
      <c r="N135" s="176">
        <f t="shared" si="206"/>
        <v>6.9298006921361024</v>
      </c>
      <c r="O135" s="176">
        <f t="shared" si="262"/>
        <v>0.375</v>
      </c>
      <c r="P135" s="221">
        <f t="shared" si="207"/>
        <v>0.4619867128090735</v>
      </c>
      <c r="Q135" s="221">
        <f t="shared" si="208"/>
        <v>15</v>
      </c>
      <c r="R135" s="221"/>
      <c r="S135" s="176">
        <f t="shared" si="209"/>
        <v>269.99956261426286</v>
      </c>
      <c r="T135" s="176">
        <f t="shared" si="210"/>
        <v>15</v>
      </c>
      <c r="U135" s="221">
        <f t="shared" si="211"/>
        <v>4.1667865040862118E-2</v>
      </c>
      <c r="V135" s="221">
        <f t="shared" si="212"/>
        <v>6.2501797561293176E-2</v>
      </c>
      <c r="W135" s="221">
        <f t="shared" si="213"/>
        <v>1.7976129927987155E-6</v>
      </c>
      <c r="X135" s="201">
        <f t="shared" si="214"/>
        <v>350</v>
      </c>
      <c r="Y135" s="451">
        <f t="shared" si="215"/>
        <v>350</v>
      </c>
      <c r="AA135" s="221">
        <f t="shared" si="216"/>
        <v>1.9047071235171036</v>
      </c>
      <c r="AB135" s="177">
        <f t="shared" si="217"/>
        <v>8.2171867201568798E-5</v>
      </c>
      <c r="AC135" s="177">
        <f t="shared" si="218"/>
        <v>1.2514141549591451</v>
      </c>
      <c r="AD135" s="177"/>
      <c r="AE135" s="177">
        <f t="shared" si="219"/>
        <v>6.4712206554230591E-6</v>
      </c>
      <c r="AF135" s="555">
        <f t="shared" si="220"/>
        <v>1127.4074074074076</v>
      </c>
      <c r="AG135" s="538">
        <f t="shared" si="221"/>
        <v>7.7611695137976321E-3</v>
      </c>
      <c r="AI135" s="177">
        <f t="shared" si="222"/>
        <v>0.26921402355039104</v>
      </c>
      <c r="AJ135" s="177">
        <f t="shared" si="223"/>
        <v>0.26921402355039104</v>
      </c>
      <c r="AK135" s="177">
        <f t="shared" si="224"/>
        <v>1.2794760157002607</v>
      </c>
      <c r="AM135" s="555">
        <f t="shared" si="225"/>
        <v>25</v>
      </c>
      <c r="AN135" s="469">
        <f t="shared" si="226"/>
        <v>350</v>
      </c>
      <c r="AP135" s="469">
        <f t="shared" si="227"/>
        <v>25</v>
      </c>
      <c r="AQ135" s="469">
        <f t="shared" si="228"/>
        <v>350</v>
      </c>
      <c r="AS135" s="5">
        <f t="shared" si="263"/>
        <v>2.8571428571428572</v>
      </c>
      <c r="AT135" s="5">
        <f t="shared" si="229"/>
        <v>0.4038210353255865</v>
      </c>
      <c r="AU135" s="5">
        <f t="shared" si="230"/>
        <v>2.4533218218172705</v>
      </c>
      <c r="AV135" s="5"/>
      <c r="AW135" s="177">
        <f t="shared" si="231"/>
        <v>0.14133736236395528</v>
      </c>
      <c r="AX135" s="177">
        <f t="shared" si="259"/>
        <v>0.38050000000000012</v>
      </c>
      <c r="AY135" s="177">
        <f t="shared" si="260"/>
        <v>5280.8265359969073</v>
      </c>
      <c r="AZ135" s="177">
        <f t="shared" si="264"/>
        <v>7.2053114679361421E-5</v>
      </c>
      <c r="BA135" s="469">
        <f t="shared" si="232"/>
        <v>3.7498921501997473</v>
      </c>
      <c r="BB135" s="469">
        <f t="shared" si="233"/>
        <v>0.21978441405138552</v>
      </c>
      <c r="BC135" s="5">
        <f t="shared" si="258"/>
        <v>4.2592392739883161E-2</v>
      </c>
      <c r="BD135" s="469">
        <f t="shared" si="235"/>
        <v>5.1735871287859805</v>
      </c>
      <c r="BF135" s="177">
        <f t="shared" si="265"/>
        <v>5.8433990097352249E-2</v>
      </c>
      <c r="BG135" s="177">
        <f t="shared" si="261"/>
        <v>6580.5165738300793</v>
      </c>
      <c r="BI135" s="538">
        <f t="shared" si="236"/>
        <v>1.195085919544111E-3</v>
      </c>
      <c r="BJ135" s="538">
        <f t="shared" si="237"/>
        <v>327.62310595912959</v>
      </c>
      <c r="BK135" s="538">
        <f t="shared" si="238"/>
        <v>4.3749999999999995E-3</v>
      </c>
      <c r="BL135" s="538">
        <f t="shared" si="239"/>
        <v>8462830.4513776898</v>
      </c>
      <c r="BM135">
        <f t="shared" si="240"/>
        <v>5.7999999999999996E-3</v>
      </c>
      <c r="BN135">
        <f t="shared" si="241"/>
        <v>1.3124999999999999E-5</v>
      </c>
      <c r="BO135" s="538">
        <f t="shared" si="242"/>
        <v>8465024.567671204</v>
      </c>
      <c r="BP135" s="469">
        <f t="shared" si="243"/>
        <v>8463158085.853735</v>
      </c>
      <c r="BQ135" s="538">
        <f t="shared" si="244"/>
        <v>33083643.568300102</v>
      </c>
      <c r="BT135" s="469">
        <f t="shared" si="245"/>
        <v>33083643568.300102</v>
      </c>
      <c r="BU135" s="538">
        <f t="shared" si="246"/>
        <v>3.414531198697461E-4</v>
      </c>
      <c r="BV135" s="538">
        <f t="shared" si="247"/>
        <v>1299095.9513535709</v>
      </c>
      <c r="BW135" s="538">
        <f t="shared" si="248"/>
        <v>0</v>
      </c>
      <c r="BX135" s="538"/>
      <c r="BY135" s="538">
        <f t="shared" si="249"/>
        <v>1.2683333333333338E-3</v>
      </c>
      <c r="BZ135" s="469">
        <f t="shared" si="250"/>
        <v>1299095952.9633572</v>
      </c>
      <c r="CA135" s="177">
        <f t="shared" si="251"/>
        <v>42845897.607117198</v>
      </c>
      <c r="CB135" s="5">
        <f t="shared" si="252"/>
        <v>0.375</v>
      </c>
      <c r="CC135" s="177">
        <f t="shared" si="253"/>
        <v>8.7522964311896454E-9</v>
      </c>
      <c r="CD135" s="5">
        <f t="shared" si="254"/>
        <v>8.7522964311896457E-7</v>
      </c>
      <c r="CG135" s="571">
        <f t="shared" si="255"/>
        <v>-50</v>
      </c>
      <c r="CH135">
        <f t="shared" si="256"/>
        <v>-50</v>
      </c>
    </row>
    <row r="136" spans="5:86" x14ac:dyDescent="0.25">
      <c r="E136" s="174">
        <v>26</v>
      </c>
      <c r="F136" s="221">
        <f t="shared" si="257"/>
        <v>2.6000000000000002E-2</v>
      </c>
      <c r="G136" s="221"/>
      <c r="H136" s="221">
        <f t="shared" si="201"/>
        <v>0.39</v>
      </c>
      <c r="I136" s="551">
        <f t="shared" si="202"/>
        <v>20</v>
      </c>
      <c r="J136" s="451">
        <f t="shared" si="203"/>
        <v>695386.58000000007</v>
      </c>
      <c r="K136" s="451">
        <f t="shared" si="204"/>
        <v>695406.58000000007</v>
      </c>
      <c r="L136" s="451"/>
      <c r="M136" s="221">
        <f t="shared" si="205"/>
        <v>0.9999712398464794</v>
      </c>
      <c r="N136" s="176">
        <f t="shared" si="206"/>
        <v>6.9298006921361024</v>
      </c>
      <c r="O136" s="176">
        <f t="shared" si="262"/>
        <v>0.39</v>
      </c>
      <c r="P136" s="221">
        <f t="shared" si="207"/>
        <v>0.4619867128090735</v>
      </c>
      <c r="Q136" s="221">
        <f t="shared" si="208"/>
        <v>15</v>
      </c>
      <c r="R136" s="221"/>
      <c r="S136" s="176">
        <f t="shared" si="209"/>
        <v>259.61494724389092</v>
      </c>
      <c r="T136" s="176">
        <f t="shared" si="210"/>
        <v>15</v>
      </c>
      <c r="U136" s="221">
        <f t="shared" si="211"/>
        <v>4.3334579642496603E-2</v>
      </c>
      <c r="V136" s="221">
        <f t="shared" si="212"/>
        <v>6.5001869463744907E-2</v>
      </c>
      <c r="W136" s="221">
        <f t="shared" si="213"/>
        <v>1.8695175125106641E-6</v>
      </c>
      <c r="X136" s="201">
        <f t="shared" si="214"/>
        <v>350</v>
      </c>
      <c r="Y136" s="451">
        <f t="shared" si="215"/>
        <v>350</v>
      </c>
      <c r="AA136" s="221">
        <f t="shared" si="216"/>
        <v>1.9047071235171036</v>
      </c>
      <c r="AB136" s="177">
        <f t="shared" si="217"/>
        <v>8.2171867201568798E-5</v>
      </c>
      <c r="AC136" s="177">
        <f t="shared" si="218"/>
        <v>1.2514141549591451</v>
      </c>
      <c r="AD136" s="177"/>
      <c r="AE136" s="177">
        <f t="shared" si="219"/>
        <v>6.4712206554230591E-6</v>
      </c>
      <c r="AF136" s="555">
        <f t="shared" si="220"/>
        <v>1172.5037037037041</v>
      </c>
      <c r="AG136" s="538">
        <f t="shared" si="221"/>
        <v>7.7611695137976321E-3</v>
      </c>
      <c r="AI136" s="177">
        <f t="shared" si="222"/>
        <v>0.27454551188325427</v>
      </c>
      <c r="AJ136" s="177">
        <f t="shared" si="223"/>
        <v>0.27454551188325427</v>
      </c>
      <c r="AK136" s="177">
        <f t="shared" si="224"/>
        <v>1.2830303412555029</v>
      </c>
      <c r="AM136" s="555">
        <f t="shared" si="225"/>
        <v>26.000000000000004</v>
      </c>
      <c r="AN136" s="469">
        <f t="shared" si="226"/>
        <v>350</v>
      </c>
      <c r="AP136" s="469">
        <f t="shared" si="227"/>
        <v>26.000000000000004</v>
      </c>
      <c r="AQ136" s="469">
        <f t="shared" si="228"/>
        <v>350</v>
      </c>
      <c r="AS136" s="5">
        <f t="shared" si="263"/>
        <v>2.8571428571428572</v>
      </c>
      <c r="AT136" s="5">
        <f t="shared" si="229"/>
        <v>0.4118182678248814</v>
      </c>
      <c r="AU136" s="5">
        <f t="shared" si="230"/>
        <v>2.445324589317976</v>
      </c>
      <c r="AV136" s="5"/>
      <c r="AW136" s="177">
        <f t="shared" si="231"/>
        <v>0.14413639373870848</v>
      </c>
      <c r="AX136" s="177">
        <f t="shared" si="259"/>
        <v>0.39572000000000007</v>
      </c>
      <c r="AY136" s="177">
        <f t="shared" si="260"/>
        <v>5367.8523922170025</v>
      </c>
      <c r="AZ136" s="177">
        <f t="shared" si="264"/>
        <v>7.3720357991543397E-5</v>
      </c>
      <c r="BA136" s="469">
        <f t="shared" si="232"/>
        <v>3.7498921501997473</v>
      </c>
      <c r="BB136" s="469">
        <f t="shared" si="233"/>
        <v>0.23459882223797854</v>
      </c>
      <c r="BC136" s="5">
        <f t="shared" si="258"/>
        <v>4.4151693973796785E-2</v>
      </c>
      <c r="BD136" s="469">
        <f t="shared" si="235"/>
        <v>5.3632032768556144</v>
      </c>
      <c r="BF136" s="177">
        <f t="shared" si="265"/>
        <v>6.0178387582930301E-2</v>
      </c>
      <c r="BG136" s="177">
        <f t="shared" si="261"/>
        <v>6699.889708215499</v>
      </c>
      <c r="BI136" s="538">
        <f t="shared" si="236"/>
        <v>1.267503416228483E-3</v>
      </c>
      <c r="BJ136" s="538">
        <f t="shared" si="237"/>
        <v>334.11132207789569</v>
      </c>
      <c r="BK136" s="538">
        <f t="shared" si="238"/>
        <v>4.3749999999999995E-3</v>
      </c>
      <c r="BL136" s="538">
        <f t="shared" si="239"/>
        <v>8462830.4513776898</v>
      </c>
      <c r="BM136">
        <f t="shared" si="240"/>
        <v>5.7999999999999996E-3</v>
      </c>
      <c r="BN136">
        <f t="shared" si="241"/>
        <v>1.3124999999999999E-5</v>
      </c>
      <c r="BO136" s="538">
        <f t="shared" si="242"/>
        <v>8465144.1853740793</v>
      </c>
      <c r="BP136" s="469">
        <f t="shared" si="243"/>
        <v>8463164574.1422701</v>
      </c>
      <c r="BQ136" s="538">
        <f t="shared" si="244"/>
        <v>34294830.893569492</v>
      </c>
      <c r="BT136" s="469">
        <f t="shared" si="245"/>
        <v>34294830893.569492</v>
      </c>
      <c r="BU136" s="538">
        <f t="shared" si="246"/>
        <v>3.62143833208138E-4</v>
      </c>
      <c r="BV136" s="538">
        <f t="shared" si="247"/>
        <v>1346655.6630675588</v>
      </c>
      <c r="BW136" s="538">
        <f t="shared" si="248"/>
        <v>0</v>
      </c>
      <c r="BX136" s="538"/>
      <c r="BY136" s="538">
        <f t="shared" si="249"/>
        <v>1.319066666666667E-3</v>
      </c>
      <c r="BZ136" s="469">
        <f t="shared" si="250"/>
        <v>1346655664.7487693</v>
      </c>
      <c r="CA136" s="177">
        <f t="shared" si="251"/>
        <v>44104651.132460527</v>
      </c>
      <c r="CB136" s="5">
        <f t="shared" si="252"/>
        <v>0.39</v>
      </c>
      <c r="CC136" s="177">
        <f t="shared" si="253"/>
        <v>8.8426047262019616E-9</v>
      </c>
      <c r="CD136" s="5">
        <f t="shared" si="254"/>
        <v>8.8426047262019617E-7</v>
      </c>
      <c r="CG136" s="571">
        <f t="shared" si="255"/>
        <v>-50</v>
      </c>
      <c r="CH136">
        <f t="shared" si="256"/>
        <v>-50</v>
      </c>
    </row>
    <row r="137" spans="5:86" x14ac:dyDescent="0.25">
      <c r="E137" s="174">
        <v>27</v>
      </c>
      <c r="F137" s="221">
        <f t="shared" si="257"/>
        <v>2.7000000000000003E-2</v>
      </c>
      <c r="G137" s="221"/>
      <c r="H137" s="221">
        <f t="shared" si="201"/>
        <v>0.40500000000000003</v>
      </c>
      <c r="I137" s="551">
        <f t="shared" si="202"/>
        <v>20</v>
      </c>
      <c r="J137" s="451">
        <f t="shared" si="203"/>
        <v>695386.58000000007</v>
      </c>
      <c r="K137" s="451">
        <f t="shared" si="204"/>
        <v>695406.58000000007</v>
      </c>
      <c r="L137" s="451"/>
      <c r="M137" s="221">
        <f t="shared" si="205"/>
        <v>0.9999712398464794</v>
      </c>
      <c r="N137" s="176">
        <f t="shared" si="206"/>
        <v>6.9298006921361024</v>
      </c>
      <c r="O137" s="176">
        <f t="shared" si="262"/>
        <v>0.40500000000000003</v>
      </c>
      <c r="P137" s="221">
        <f t="shared" si="207"/>
        <v>0.4619867128090735</v>
      </c>
      <c r="Q137" s="221">
        <f t="shared" si="208"/>
        <v>15</v>
      </c>
      <c r="R137" s="221"/>
      <c r="S137" s="176">
        <f t="shared" si="209"/>
        <v>249.99956264274894</v>
      </c>
      <c r="T137" s="176">
        <f t="shared" si="210"/>
        <v>15</v>
      </c>
      <c r="U137" s="221">
        <f t="shared" si="211"/>
        <v>4.5001294244131088E-2</v>
      </c>
      <c r="V137" s="221">
        <f t="shared" si="212"/>
        <v>6.7501941366196624E-2</v>
      </c>
      <c r="W137" s="221">
        <f t="shared" si="213"/>
        <v>1.9414220322226126E-6</v>
      </c>
      <c r="X137" s="201">
        <f t="shared" si="214"/>
        <v>350</v>
      </c>
      <c r="Y137" s="451">
        <f t="shared" si="215"/>
        <v>350</v>
      </c>
      <c r="AA137" s="221">
        <f t="shared" si="216"/>
        <v>1.9047071235171036</v>
      </c>
      <c r="AB137" s="177">
        <f t="shared" si="217"/>
        <v>8.2171867201568798E-5</v>
      </c>
      <c r="AC137" s="177">
        <f t="shared" si="218"/>
        <v>1.2514141549591451</v>
      </c>
      <c r="AD137" s="177"/>
      <c r="AE137" s="177">
        <f t="shared" si="219"/>
        <v>6.4712206554230591E-6</v>
      </c>
      <c r="AF137" s="555">
        <f t="shared" si="220"/>
        <v>1217.6000000000004</v>
      </c>
      <c r="AG137" s="538">
        <f t="shared" si="221"/>
        <v>7.7611695137976321E-3</v>
      </c>
      <c r="AI137" s="177">
        <f t="shared" si="222"/>
        <v>0.27977542013959289</v>
      </c>
      <c r="AJ137" s="177">
        <f t="shared" si="223"/>
        <v>0.27977542013959289</v>
      </c>
      <c r="AK137" s="177">
        <f t="shared" si="224"/>
        <v>1.2865169467597286</v>
      </c>
      <c r="AM137" s="555">
        <f t="shared" si="225"/>
        <v>27.000000000000004</v>
      </c>
      <c r="AN137" s="469">
        <f t="shared" si="226"/>
        <v>350</v>
      </c>
      <c r="AP137" s="469">
        <f t="shared" si="227"/>
        <v>27.000000000000004</v>
      </c>
      <c r="AQ137" s="469">
        <f t="shared" si="228"/>
        <v>350</v>
      </c>
      <c r="AS137" s="5">
        <f t="shared" si="263"/>
        <v>2.8571428571428572</v>
      </c>
      <c r="AT137" s="5">
        <f t="shared" si="229"/>
        <v>0.41966313020938939</v>
      </c>
      <c r="AU137" s="5">
        <f t="shared" si="230"/>
        <v>2.4374797269334678</v>
      </c>
      <c r="AV137" s="5"/>
      <c r="AW137" s="177">
        <f t="shared" si="231"/>
        <v>0.14688209557328627</v>
      </c>
      <c r="AX137" s="177">
        <f t="shared" si="259"/>
        <v>0.41093999999999997</v>
      </c>
      <c r="AY137" s="177">
        <f t="shared" si="260"/>
        <v>5452.5577023789301</v>
      </c>
      <c r="AZ137" s="177">
        <f t="shared" si="264"/>
        <v>7.5366465139966958E-5</v>
      </c>
      <c r="BA137" s="469">
        <f t="shared" si="232"/>
        <v>3.7498921501997473</v>
      </c>
      <c r="BB137" s="469">
        <f t="shared" si="233"/>
        <v>0.24987654054953604</v>
      </c>
      <c r="BC137" s="5">
        <f t="shared" si="258"/>
        <v>4.5702744880002519E-2</v>
      </c>
      <c r="BD137" s="469">
        <f t="shared" si="235"/>
        <v>5.5518293856003025</v>
      </c>
      <c r="BF137" s="177">
        <f t="shared" si="265"/>
        <v>6.1906087786841639E-2</v>
      </c>
      <c r="BG137" s="177">
        <f t="shared" si="261"/>
        <v>6816.5576218694832</v>
      </c>
      <c r="BI137" s="538">
        <f t="shared" si="236"/>
        <v>1.3413272967752502E-3</v>
      </c>
      <c r="BJ137" s="538">
        <f t="shared" si="237"/>
        <v>340.47591915284056</v>
      </c>
      <c r="BK137" s="538">
        <f t="shared" si="238"/>
        <v>4.3749999999999995E-3</v>
      </c>
      <c r="BL137" s="538">
        <f t="shared" si="239"/>
        <v>8462830.4513776898</v>
      </c>
      <c r="BM137">
        <f t="shared" si="240"/>
        <v>5.7999999999999996E-3</v>
      </c>
      <c r="BN137">
        <f t="shared" si="241"/>
        <v>1.3124999999999999E-5</v>
      </c>
      <c r="BO137" s="538">
        <f t="shared" si="242"/>
        <v>8465265.8797180746</v>
      </c>
      <c r="BP137" s="469">
        <f t="shared" si="243"/>
        <v>8463170938.8131685</v>
      </c>
      <c r="BQ137" s="538">
        <f t="shared" si="244"/>
        <v>35499609.776307441</v>
      </c>
      <c r="BT137" s="469">
        <f t="shared" si="245"/>
        <v>35499609776.307442</v>
      </c>
      <c r="BU137" s="538">
        <f t="shared" si="246"/>
        <v>3.8323637050721439E-4</v>
      </c>
      <c r="BV137" s="538">
        <f t="shared" si="247"/>
        <v>1393963.7343680083</v>
      </c>
      <c r="BW137" s="538">
        <f t="shared" si="248"/>
        <v>0</v>
      </c>
      <c r="BX137" s="538"/>
      <c r="BY137" s="538">
        <f t="shared" si="249"/>
        <v>1.3698E-3</v>
      </c>
      <c r="BZ137" s="469">
        <f t="shared" si="250"/>
        <v>1393963736.1210446</v>
      </c>
      <c r="CA137" s="177">
        <f t="shared" si="251"/>
        <v>45356744.451241657</v>
      </c>
      <c r="CB137" s="5">
        <f t="shared" si="252"/>
        <v>0.40500000000000003</v>
      </c>
      <c r="CC137" s="177">
        <f t="shared" si="253"/>
        <v>8.9292122105245596E-9</v>
      </c>
      <c r="CD137" s="5">
        <f t="shared" si="254"/>
        <v>8.9292122105245597E-7</v>
      </c>
      <c r="CG137" s="571">
        <f t="shared" si="255"/>
        <v>-50</v>
      </c>
      <c r="CH137">
        <f t="shared" si="256"/>
        <v>-50</v>
      </c>
    </row>
    <row r="138" spans="5:86" x14ac:dyDescent="0.25">
      <c r="E138" s="174">
        <v>28</v>
      </c>
      <c r="F138" s="221">
        <f t="shared" si="257"/>
        <v>2.8000000000000004E-2</v>
      </c>
      <c r="G138" s="221"/>
      <c r="H138" s="221">
        <f t="shared" si="201"/>
        <v>0.42000000000000004</v>
      </c>
      <c r="I138" s="551">
        <f t="shared" si="202"/>
        <v>20</v>
      </c>
      <c r="J138" s="451">
        <f t="shared" si="203"/>
        <v>695386.58000000007</v>
      </c>
      <c r="K138" s="451">
        <f t="shared" si="204"/>
        <v>695406.58000000007</v>
      </c>
      <c r="L138" s="451"/>
      <c r="M138" s="221">
        <f t="shared" si="205"/>
        <v>0.9999712398464794</v>
      </c>
      <c r="N138" s="176">
        <f t="shared" si="206"/>
        <v>6.9298006921361024</v>
      </c>
      <c r="O138" s="176">
        <f t="shared" si="262"/>
        <v>0.42000000000000004</v>
      </c>
      <c r="P138" s="221">
        <f t="shared" si="207"/>
        <v>0.4619867128090735</v>
      </c>
      <c r="Q138" s="221">
        <f t="shared" si="208"/>
        <v>15</v>
      </c>
      <c r="R138" s="221"/>
      <c r="S138" s="176">
        <f t="shared" si="209"/>
        <v>241.07099122841916</v>
      </c>
      <c r="T138" s="176">
        <f t="shared" si="210"/>
        <v>15</v>
      </c>
      <c r="U138" s="221">
        <f t="shared" si="211"/>
        <v>4.6668008845765573E-2</v>
      </c>
      <c r="V138" s="221">
        <f t="shared" si="212"/>
        <v>7.0002013268648355E-2</v>
      </c>
      <c r="W138" s="221">
        <f t="shared" si="213"/>
        <v>2.0133265519345612E-6</v>
      </c>
      <c r="X138" s="201">
        <f t="shared" si="214"/>
        <v>350</v>
      </c>
      <c r="Y138" s="451">
        <f t="shared" si="215"/>
        <v>350</v>
      </c>
      <c r="AA138" s="221">
        <f t="shared" si="216"/>
        <v>1.9047071235171036</v>
      </c>
      <c r="AB138" s="177">
        <f t="shared" si="217"/>
        <v>8.2171867201568798E-5</v>
      </c>
      <c r="AC138" s="177">
        <f t="shared" si="218"/>
        <v>1.2514141549591451</v>
      </c>
      <c r="AD138" s="177"/>
      <c r="AE138" s="177">
        <f t="shared" si="219"/>
        <v>6.4712206554230591E-6</v>
      </c>
      <c r="AF138" s="555">
        <f t="shared" si="220"/>
        <v>1262.6962962962969</v>
      </c>
      <c r="AG138" s="538">
        <f t="shared" si="221"/>
        <v>7.7611695137976321E-3</v>
      </c>
      <c r="AI138" s="177">
        <f t="shared" si="222"/>
        <v>0.28490934230616821</v>
      </c>
      <c r="AJ138" s="177">
        <f t="shared" si="223"/>
        <v>0.28490934230616821</v>
      </c>
      <c r="AK138" s="177">
        <f t="shared" si="224"/>
        <v>1.2899395615374454</v>
      </c>
      <c r="AM138" s="555">
        <f t="shared" si="225"/>
        <v>28.000000000000004</v>
      </c>
      <c r="AN138" s="469">
        <f t="shared" si="226"/>
        <v>350</v>
      </c>
      <c r="AP138" s="469">
        <f t="shared" si="227"/>
        <v>28.000000000000004</v>
      </c>
      <c r="AQ138" s="469">
        <f t="shared" si="228"/>
        <v>350</v>
      </c>
      <c r="AS138" s="5">
        <f t="shared" si="263"/>
        <v>2.8571428571428572</v>
      </c>
      <c r="AT138" s="5">
        <f t="shared" si="229"/>
        <v>0.42736401345925235</v>
      </c>
      <c r="AU138" s="5">
        <f t="shared" si="230"/>
        <v>2.429778843683605</v>
      </c>
      <c r="AV138" s="5"/>
      <c r="AW138" s="177">
        <f t="shared" si="231"/>
        <v>0.14957740471073833</v>
      </c>
      <c r="AX138" s="177">
        <f t="shared" si="259"/>
        <v>0.42615999999999998</v>
      </c>
      <c r="AY138" s="177">
        <f t="shared" si="260"/>
        <v>5535.0702583132597</v>
      </c>
      <c r="AZ138" s="177">
        <f t="shared" si="264"/>
        <v>7.6992699299514709E-5</v>
      </c>
      <c r="BA138" s="469">
        <f t="shared" si="232"/>
        <v>3.7498921501997473</v>
      </c>
      <c r="BB138" s="469">
        <f t="shared" si="233"/>
        <v>0.26561756898605793</v>
      </c>
      <c r="BC138" s="5">
        <f t="shared" si="258"/>
        <v>4.7245699738292311E-2</v>
      </c>
      <c r="BD138" s="469">
        <f t="shared" si="235"/>
        <v>5.7394839685950787</v>
      </c>
      <c r="BF138" s="177">
        <f t="shared" si="265"/>
        <v>6.3617860520767983E-2</v>
      </c>
      <c r="BG138" s="177">
        <f t="shared" si="261"/>
        <v>6930.6682479394876</v>
      </c>
      <c r="BI138" s="538">
        <f t="shared" si="236"/>
        <v>1.4165312620339613E-3</v>
      </c>
      <c r="BJ138" s="538">
        <f t="shared" si="237"/>
        <v>346.72370485056808</v>
      </c>
      <c r="BK138" s="538">
        <f t="shared" si="238"/>
        <v>4.3749999999999995E-3</v>
      </c>
      <c r="BL138" s="538">
        <f t="shared" si="239"/>
        <v>8462830.4513776898</v>
      </c>
      <c r="BM138">
        <f t="shared" si="240"/>
        <v>5.7999999999999996E-3</v>
      </c>
      <c r="BN138">
        <f t="shared" si="241"/>
        <v>1.3124999999999999E-5</v>
      </c>
      <c r="BO138" s="538">
        <f t="shared" si="242"/>
        <v>8465389.6166057922</v>
      </c>
      <c r="BP138" s="469">
        <f t="shared" si="243"/>
        <v>8463177186.6740713</v>
      </c>
      <c r="BQ138" s="538">
        <f t="shared" si="244"/>
        <v>36698100.053351402</v>
      </c>
      <c r="BT138" s="469">
        <f t="shared" si="245"/>
        <v>36698100053.351402</v>
      </c>
      <c r="BU138" s="538">
        <f t="shared" si="246"/>
        <v>4.0472321772398902E-4</v>
      </c>
      <c r="BV138" s="538">
        <f t="shared" si="247"/>
        <v>1441024.8708898982</v>
      </c>
      <c r="BW138" s="538">
        <f t="shared" si="248"/>
        <v>0</v>
      </c>
      <c r="BX138" s="538"/>
      <c r="BY138" s="538">
        <f t="shared" si="249"/>
        <v>1.4205333333333335E-3</v>
      </c>
      <c r="BZ138" s="469">
        <f t="shared" si="250"/>
        <v>1441024872.7151546</v>
      </c>
      <c r="CA138" s="177">
        <f t="shared" si="251"/>
        <v>46602302.112740628</v>
      </c>
      <c r="CB138" s="5">
        <f t="shared" si="252"/>
        <v>0.42000000000000004</v>
      </c>
      <c r="CC138" s="177">
        <f t="shared" si="253"/>
        <v>9.0124302271315321E-9</v>
      </c>
      <c r="CD138" s="5">
        <f t="shared" si="254"/>
        <v>9.0124302271315319E-7</v>
      </c>
      <c r="CG138" s="571">
        <f t="shared" si="255"/>
        <v>-50</v>
      </c>
      <c r="CH138">
        <f t="shared" si="256"/>
        <v>-50</v>
      </c>
    </row>
    <row r="139" spans="5:86" x14ac:dyDescent="0.25">
      <c r="E139" s="174">
        <v>29</v>
      </c>
      <c r="F139" s="221">
        <f t="shared" si="257"/>
        <v>2.8999999999999998E-2</v>
      </c>
      <c r="G139" s="221"/>
      <c r="H139" s="221">
        <f t="shared" si="201"/>
        <v>0.43499999999999994</v>
      </c>
      <c r="I139" s="551">
        <f t="shared" si="202"/>
        <v>20</v>
      </c>
      <c r="J139" s="451">
        <f t="shared" si="203"/>
        <v>695386.58000000007</v>
      </c>
      <c r="K139" s="451">
        <f t="shared" si="204"/>
        <v>695406.58000000007</v>
      </c>
      <c r="L139" s="451"/>
      <c r="M139" s="221">
        <f t="shared" si="205"/>
        <v>0.9999712398464794</v>
      </c>
      <c r="N139" s="176">
        <f t="shared" si="206"/>
        <v>6.9298006921361024</v>
      </c>
      <c r="O139" s="176">
        <f t="shared" si="262"/>
        <v>0.43499999999999994</v>
      </c>
      <c r="P139" s="221">
        <f t="shared" si="207"/>
        <v>0.4619867128090735</v>
      </c>
      <c r="Q139" s="221">
        <f t="shared" si="208"/>
        <v>15</v>
      </c>
      <c r="R139" s="221"/>
      <c r="S139" s="176">
        <f t="shared" si="209"/>
        <v>232.75818336088651</v>
      </c>
      <c r="T139" s="176">
        <f t="shared" si="210"/>
        <v>15</v>
      </c>
      <c r="U139" s="221">
        <f t="shared" si="211"/>
        <v>4.8334723447400044E-2</v>
      </c>
      <c r="V139" s="221">
        <f t="shared" si="212"/>
        <v>7.2502085171100072E-2</v>
      </c>
      <c r="W139" s="221">
        <f t="shared" si="213"/>
        <v>2.0852310716465095E-6</v>
      </c>
      <c r="X139" s="201">
        <f t="shared" si="214"/>
        <v>350</v>
      </c>
      <c r="Y139" s="451">
        <f t="shared" si="215"/>
        <v>350</v>
      </c>
      <c r="AA139" s="221">
        <f t="shared" si="216"/>
        <v>1.9047071235171036</v>
      </c>
      <c r="AB139" s="177">
        <f t="shared" si="217"/>
        <v>8.2171867201568798E-5</v>
      </c>
      <c r="AC139" s="177">
        <f t="shared" si="218"/>
        <v>1.2514141549591451</v>
      </c>
      <c r="AD139" s="177"/>
      <c r="AE139" s="177">
        <f t="shared" si="219"/>
        <v>6.4712206554230591E-6</v>
      </c>
      <c r="AF139" s="555">
        <f t="shared" si="220"/>
        <v>1307.7925925925929</v>
      </c>
      <c r="AG139" s="538">
        <f t="shared" si="221"/>
        <v>7.7611695137976321E-3</v>
      </c>
      <c r="AI139" s="177">
        <f t="shared" si="222"/>
        <v>0.28995237704212901</v>
      </c>
      <c r="AJ139" s="177">
        <f t="shared" si="223"/>
        <v>0.28995237704212901</v>
      </c>
      <c r="AK139" s="177">
        <f t="shared" si="224"/>
        <v>1.2933015846947526</v>
      </c>
      <c r="AM139" s="555">
        <f t="shared" si="225"/>
        <v>28.999999999999996</v>
      </c>
      <c r="AN139" s="469">
        <f t="shared" si="226"/>
        <v>350</v>
      </c>
      <c r="AP139" s="469">
        <f t="shared" si="227"/>
        <v>28.999999999999996</v>
      </c>
      <c r="AQ139" s="469">
        <f t="shared" si="228"/>
        <v>350</v>
      </c>
      <c r="AS139" s="5">
        <f t="shared" si="263"/>
        <v>2.8571428571428572</v>
      </c>
      <c r="AT139" s="5">
        <f t="shared" si="229"/>
        <v>0.43492856556319348</v>
      </c>
      <c r="AU139" s="5">
        <f t="shared" si="230"/>
        <v>2.4222142915796638</v>
      </c>
      <c r="AV139" s="5"/>
      <c r="AW139" s="177">
        <f t="shared" si="231"/>
        <v>0.15222499794711772</v>
      </c>
      <c r="AX139" s="177">
        <f t="shared" si="259"/>
        <v>0.44137999999999994</v>
      </c>
      <c r="AY139" s="177">
        <f t="shared" si="260"/>
        <v>5615.5065363389158</v>
      </c>
      <c r="AZ139" s="177">
        <f t="shared" si="264"/>
        <v>7.8600211244302446E-5</v>
      </c>
      <c r="BA139" s="469">
        <f t="shared" si="232"/>
        <v>3.7498921501997473</v>
      </c>
      <c r="BB139" s="469">
        <f t="shared" si="233"/>
        <v>0.28182190754754421</v>
      </c>
      <c r="BC139" s="5">
        <f t="shared" si="258"/>
        <v>4.8780704483201542E-2</v>
      </c>
      <c r="BD139" s="469">
        <f t="shared" si="235"/>
        <v>5.9261845379841862</v>
      </c>
      <c r="BF139" s="177">
        <f t="shared" si="265"/>
        <v>6.5314413972939356E-2</v>
      </c>
      <c r="BG139" s="177">
        <f t="shared" si="261"/>
        <v>7042.3564326447822</v>
      </c>
      <c r="BI139" s="538">
        <f t="shared" si="236"/>
        <v>1.4930904354199736E-3</v>
      </c>
      <c r="BJ139" s="538">
        <f t="shared" si="237"/>
        <v>352.86088404304053</v>
      </c>
      <c r="BK139" s="538">
        <f t="shared" si="238"/>
        <v>4.3749999999999995E-3</v>
      </c>
      <c r="BL139" s="538">
        <f t="shared" si="239"/>
        <v>8462830.4513776898</v>
      </c>
      <c r="BM139">
        <f t="shared" si="240"/>
        <v>5.7999999999999996E-3</v>
      </c>
      <c r="BN139">
        <f t="shared" si="241"/>
        <v>1.3124999999999999E-5</v>
      </c>
      <c r="BO139" s="538">
        <f t="shared" si="242"/>
        <v>8465515.3635582458</v>
      </c>
      <c r="BP139" s="469">
        <f t="shared" si="243"/>
        <v>8463183323.929822</v>
      </c>
      <c r="BQ139" s="538">
        <f t="shared" si="244"/>
        <v>37890415.079360276</v>
      </c>
      <c r="BT139" s="469">
        <f t="shared" si="245"/>
        <v>37890415079.360275</v>
      </c>
      <c r="BU139" s="538">
        <f t="shared" si="246"/>
        <v>4.2659726726284962E-4</v>
      </c>
      <c r="BV139" s="538">
        <f t="shared" si="247"/>
        <v>1487843.5237324003</v>
      </c>
      <c r="BW139" s="538">
        <f t="shared" si="248"/>
        <v>0</v>
      </c>
      <c r="BX139" s="538"/>
      <c r="BY139" s="538">
        <f t="shared" si="249"/>
        <v>1.4712666666666667E-3</v>
      </c>
      <c r="BZ139" s="469">
        <f t="shared" si="250"/>
        <v>1487843525.630264</v>
      </c>
      <c r="CA139" s="177">
        <f t="shared" si="251"/>
        <v>47841441.928920366</v>
      </c>
      <c r="CB139" s="5">
        <f t="shared" si="252"/>
        <v>0.43499999999999994</v>
      </c>
      <c r="CC139" s="177">
        <f t="shared" si="253"/>
        <v>9.0925352269072736E-9</v>
      </c>
      <c r="CD139" s="5">
        <f t="shared" si="254"/>
        <v>9.092535226907274E-7</v>
      </c>
      <c r="CG139" s="571">
        <f t="shared" si="255"/>
        <v>-50</v>
      </c>
      <c r="CH139">
        <f t="shared" si="256"/>
        <v>-50</v>
      </c>
    </row>
    <row r="140" spans="5:86" x14ac:dyDescent="0.25">
      <c r="E140" s="174">
        <v>30</v>
      </c>
      <c r="F140" s="221">
        <f t="shared" si="257"/>
        <v>0.03</v>
      </c>
      <c r="G140" s="221"/>
      <c r="H140" s="221">
        <f t="shared" si="201"/>
        <v>0.44999999999999996</v>
      </c>
      <c r="I140" s="551">
        <f t="shared" si="202"/>
        <v>20</v>
      </c>
      <c r="J140" s="451">
        <f t="shared" si="203"/>
        <v>695386.58000000007</v>
      </c>
      <c r="K140" s="451">
        <f t="shared" si="204"/>
        <v>695406.58000000007</v>
      </c>
      <c r="L140" s="451"/>
      <c r="M140" s="221">
        <f t="shared" si="205"/>
        <v>0.9999712398464794</v>
      </c>
      <c r="N140" s="176">
        <f t="shared" si="206"/>
        <v>6.9298006921361024</v>
      </c>
      <c r="O140" s="176">
        <f t="shared" si="262"/>
        <v>0.44999999999999996</v>
      </c>
      <c r="P140" s="221">
        <f t="shared" si="207"/>
        <v>0.4619867128090735</v>
      </c>
      <c r="Q140" s="221">
        <f t="shared" si="208"/>
        <v>15</v>
      </c>
      <c r="R140" s="221"/>
      <c r="S140" s="176">
        <f t="shared" si="209"/>
        <v>224.99956268547112</v>
      </c>
      <c r="T140" s="176">
        <f t="shared" si="210"/>
        <v>15</v>
      </c>
      <c r="U140" s="221">
        <f t="shared" si="211"/>
        <v>5.0001438049034536E-2</v>
      </c>
      <c r="V140" s="221">
        <f t="shared" si="212"/>
        <v>7.5002157073551803E-2</v>
      </c>
      <c r="W140" s="221">
        <f t="shared" si="213"/>
        <v>2.1571355913584585E-6</v>
      </c>
      <c r="X140" s="201">
        <f t="shared" si="214"/>
        <v>350</v>
      </c>
      <c r="Y140" s="451">
        <f t="shared" si="215"/>
        <v>350</v>
      </c>
      <c r="AA140" s="221">
        <f t="shared" si="216"/>
        <v>1.9047071235171036</v>
      </c>
      <c r="AB140" s="177">
        <f t="shared" si="217"/>
        <v>8.2171867201568798E-5</v>
      </c>
      <c r="AC140" s="177">
        <f t="shared" si="218"/>
        <v>1.2514141549591451</v>
      </c>
      <c r="AD140" s="177"/>
      <c r="AE140" s="177">
        <f t="shared" si="219"/>
        <v>6.4712206554230591E-6</v>
      </c>
      <c r="AF140" s="555">
        <f t="shared" si="220"/>
        <v>1352.8888888888891</v>
      </c>
      <c r="AG140" s="538">
        <f t="shared" si="221"/>
        <v>7.7611695137976321E-3</v>
      </c>
      <c r="AI140" s="177">
        <f t="shared" si="222"/>
        <v>0.29490918699055235</v>
      </c>
      <c r="AJ140" s="177">
        <f t="shared" si="223"/>
        <v>0.29490918699055235</v>
      </c>
      <c r="AK140" s="177">
        <f t="shared" si="224"/>
        <v>1.2966061246603682</v>
      </c>
      <c r="AM140" s="555">
        <f t="shared" si="225"/>
        <v>30</v>
      </c>
      <c r="AN140" s="469">
        <f t="shared" si="226"/>
        <v>350</v>
      </c>
      <c r="AP140" s="469">
        <f t="shared" si="227"/>
        <v>30</v>
      </c>
      <c r="AQ140" s="469">
        <f t="shared" si="228"/>
        <v>350</v>
      </c>
      <c r="AS140" s="5">
        <f t="shared" si="263"/>
        <v>2.8571428571428572</v>
      </c>
      <c r="AT140" s="5">
        <f t="shared" si="229"/>
        <v>0.44236378048582858</v>
      </c>
      <c r="AU140" s="5">
        <f t="shared" si="230"/>
        <v>2.4147790766570285</v>
      </c>
      <c r="AV140" s="5"/>
      <c r="AW140" s="177">
        <f t="shared" si="231"/>
        <v>0.15482732317004</v>
      </c>
      <c r="AX140" s="177">
        <f t="shared" si="259"/>
        <v>0.45660000000000006</v>
      </c>
      <c r="AY140" s="177">
        <f t="shared" si="260"/>
        <v>5693.9730522056725</v>
      </c>
      <c r="AZ140" s="177">
        <f t="shared" si="264"/>
        <v>8.0190052853012199E-5</v>
      </c>
      <c r="BA140" s="469">
        <f t="shared" si="232"/>
        <v>3.7498921501997473</v>
      </c>
      <c r="BB140" s="469">
        <f t="shared" si="233"/>
        <v>0.29848955623399503</v>
      </c>
      <c r="BC140" s="5">
        <f t="shared" si="258"/>
        <v>5.0307897430354749E-2</v>
      </c>
      <c r="BD140" s="469">
        <f t="shared" si="235"/>
        <v>6.1119476916425706</v>
      </c>
      <c r="BF140" s="177">
        <f t="shared" si="265"/>
        <v>6.6996401589907856E-2</v>
      </c>
      <c r="BG140" s="177">
        <f t="shared" si="261"/>
        <v>7151.7455016541317</v>
      </c>
      <c r="BI140" s="538">
        <f t="shared" si="236"/>
        <v>1.5709812390986727E-3</v>
      </c>
      <c r="BJ140" s="538">
        <f t="shared" si="237"/>
        <v>358.89313098744094</v>
      </c>
      <c r="BK140" s="538">
        <f t="shared" si="238"/>
        <v>4.3749999999999995E-3</v>
      </c>
      <c r="BL140" s="538">
        <f t="shared" si="239"/>
        <v>8462830.4513776898</v>
      </c>
      <c r="BM140">
        <f t="shared" si="240"/>
        <v>5.7999999999999996E-3</v>
      </c>
      <c r="BN140">
        <f t="shared" si="241"/>
        <v>1.3124999999999999E-5</v>
      </c>
      <c r="BO140" s="538">
        <f t="shared" si="242"/>
        <v>8465643.0895937011</v>
      </c>
      <c r="BP140" s="469">
        <f t="shared" si="243"/>
        <v>8463189356.2546577</v>
      </c>
      <c r="BQ140" s="538">
        <f t="shared" si="244"/>
        <v>39076662.2910036</v>
      </c>
      <c r="BT140" s="469">
        <f t="shared" si="245"/>
        <v>39076662291.003601</v>
      </c>
      <c r="BU140" s="538">
        <f t="shared" si="246"/>
        <v>4.4885178259962085E-4</v>
      </c>
      <c r="BV140" s="538">
        <f t="shared" si="247"/>
        <v>1534423.9116129032</v>
      </c>
      <c r="BW140" s="538">
        <f t="shared" si="248"/>
        <v>0</v>
      </c>
      <c r="BX140" s="538"/>
      <c r="BY140" s="538">
        <f t="shared" si="249"/>
        <v>1.5220000000000001E-3</v>
      </c>
      <c r="BZ140" s="469">
        <f t="shared" si="250"/>
        <v>1534423913.583755</v>
      </c>
      <c r="CA140" s="177">
        <f t="shared" si="251"/>
        <v>49074275.560842015</v>
      </c>
      <c r="CB140" s="5">
        <f t="shared" si="252"/>
        <v>0.44999999999999996</v>
      </c>
      <c r="CC140" s="177">
        <f t="shared" si="253"/>
        <v>9.1697735877057281E-9</v>
      </c>
      <c r="CD140" s="5">
        <f t="shared" si="254"/>
        <v>9.1697735877057276E-7</v>
      </c>
      <c r="CG140" s="571">
        <f t="shared" si="255"/>
        <v>-50</v>
      </c>
      <c r="CH140">
        <f t="shared" si="256"/>
        <v>-50</v>
      </c>
    </row>
    <row r="141" spans="5:86" x14ac:dyDescent="0.25">
      <c r="E141" s="174">
        <v>31</v>
      </c>
      <c r="F141" s="221">
        <f t="shared" si="257"/>
        <v>3.1E-2</v>
      </c>
      <c r="G141" s="221"/>
      <c r="H141" s="221">
        <f t="shared" si="201"/>
        <v>0.46499999999999997</v>
      </c>
      <c r="I141" s="551">
        <f t="shared" si="202"/>
        <v>20</v>
      </c>
      <c r="J141" s="451">
        <f t="shared" si="203"/>
        <v>695386.58000000007</v>
      </c>
      <c r="K141" s="451">
        <f t="shared" si="204"/>
        <v>695406.58000000007</v>
      </c>
      <c r="L141" s="451"/>
      <c r="M141" s="221">
        <f t="shared" si="205"/>
        <v>0.9999712398464794</v>
      </c>
      <c r="N141" s="176">
        <f t="shared" si="206"/>
        <v>6.9298006921361024</v>
      </c>
      <c r="O141" s="176">
        <f t="shared" si="262"/>
        <v>0.46499999999999997</v>
      </c>
      <c r="P141" s="221">
        <f t="shared" si="207"/>
        <v>0.4619867128090735</v>
      </c>
      <c r="Q141" s="221">
        <f t="shared" si="208"/>
        <v>15</v>
      </c>
      <c r="R141" s="221"/>
      <c r="S141" s="176">
        <f t="shared" si="209"/>
        <v>217.74149818358103</v>
      </c>
      <c r="T141" s="176">
        <f t="shared" si="210"/>
        <v>15</v>
      </c>
      <c r="U141" s="221">
        <f t="shared" si="211"/>
        <v>5.1668152650669021E-2</v>
      </c>
      <c r="V141" s="221">
        <f t="shared" si="212"/>
        <v>7.7502228976003534E-2</v>
      </c>
      <c r="W141" s="221">
        <f t="shared" si="213"/>
        <v>2.2290401110704072E-6</v>
      </c>
      <c r="X141" s="201">
        <f t="shared" si="214"/>
        <v>350</v>
      </c>
      <c r="Y141" s="451">
        <f t="shared" si="215"/>
        <v>350</v>
      </c>
      <c r="AA141" s="221">
        <f t="shared" si="216"/>
        <v>1.9047071235171036</v>
      </c>
      <c r="AB141" s="177">
        <f t="shared" si="217"/>
        <v>8.2171867201568798E-5</v>
      </c>
      <c r="AC141" s="177">
        <f t="shared" si="218"/>
        <v>1.2514141549591451</v>
      </c>
      <c r="AD141" s="177"/>
      <c r="AE141" s="177">
        <f t="shared" si="219"/>
        <v>6.4712206554230591E-6</v>
      </c>
      <c r="AF141" s="555">
        <f t="shared" si="220"/>
        <v>1397.9851851851856</v>
      </c>
      <c r="AG141" s="538">
        <f t="shared" si="221"/>
        <v>7.7611695137976321E-3</v>
      </c>
      <c r="AI141" s="177">
        <f t="shared" si="222"/>
        <v>0.29978404925958985</v>
      </c>
      <c r="AJ141" s="177">
        <f t="shared" si="223"/>
        <v>0.29978404925958985</v>
      </c>
      <c r="AK141" s="177">
        <f t="shared" si="224"/>
        <v>1.2998560328397266</v>
      </c>
      <c r="AM141" s="555">
        <f t="shared" si="225"/>
        <v>31</v>
      </c>
      <c r="AN141" s="469">
        <f t="shared" si="226"/>
        <v>350</v>
      </c>
      <c r="AP141" s="469">
        <f t="shared" si="227"/>
        <v>31</v>
      </c>
      <c r="AQ141" s="469">
        <f t="shared" si="228"/>
        <v>350</v>
      </c>
      <c r="AS141" s="5">
        <f t="shared" si="263"/>
        <v>2.8571428571428572</v>
      </c>
      <c r="AT141" s="5">
        <f t="shared" si="229"/>
        <v>0.4496760738893848</v>
      </c>
      <c r="AU141" s="5">
        <f t="shared" si="230"/>
        <v>2.4074667832534722</v>
      </c>
      <c r="AV141" s="5"/>
      <c r="AW141" s="177">
        <f t="shared" si="231"/>
        <v>0.15738662586128468</v>
      </c>
      <c r="AX141" s="177">
        <f t="shared" si="259"/>
        <v>0.47182000000000002</v>
      </c>
      <c r="AY141" s="177">
        <f t="shared" si="260"/>
        <v>5770.5675143107001</v>
      </c>
      <c r="AZ141" s="177">
        <f t="shared" si="264"/>
        <v>8.1763188599719443E-5</v>
      </c>
      <c r="BA141" s="469">
        <f t="shared" si="232"/>
        <v>3.7498921501997473</v>
      </c>
      <c r="BB141" s="469">
        <f t="shared" si="233"/>
        <v>0.31562051504541022</v>
      </c>
      <c r="BC141" s="5">
        <f t="shared" si="258"/>
        <v>5.1827409917262236E-2</v>
      </c>
      <c r="BD141" s="469">
        <f t="shared" si="235"/>
        <v>6.2967891900714701</v>
      </c>
      <c r="BF141" s="177">
        <f t="shared" si="265"/>
        <v>6.8664427986563678E-2</v>
      </c>
      <c r="BG141" s="177">
        <f t="shared" si="261"/>
        <v>7258.9485933150745</v>
      </c>
      <c r="BI141" s="538">
        <f t="shared" si="236"/>
        <v>1.6501812847526962E-3</v>
      </c>
      <c r="BJ141" s="538">
        <f t="shared" si="237"/>
        <v>364.82565075978511</v>
      </c>
      <c r="BK141" s="538">
        <f t="shared" si="238"/>
        <v>4.3749999999999995E-3</v>
      </c>
      <c r="BL141" s="538">
        <f t="shared" si="239"/>
        <v>8462830.4513776898</v>
      </c>
      <c r="BM141">
        <f t="shared" si="240"/>
        <v>5.7999999999999996E-3</v>
      </c>
      <c r="BN141">
        <f t="shared" si="241"/>
        <v>1.3124999999999999E-5</v>
      </c>
      <c r="BO141" s="538">
        <f t="shared" si="242"/>
        <v>8465772.7651185635</v>
      </c>
      <c r="BP141" s="469">
        <f t="shared" si="243"/>
        <v>8463195288.8536301</v>
      </c>
      <c r="BQ141" s="538">
        <f t="shared" si="244"/>
        <v>40256943.704700135</v>
      </c>
      <c r="BT141" s="469">
        <f t="shared" si="245"/>
        <v>40256943704.700134</v>
      </c>
      <c r="BU141" s="538">
        <f t="shared" si="246"/>
        <v>4.7148036707219895E-4</v>
      </c>
      <c r="BV141" s="538">
        <f t="shared" si="247"/>
        <v>1580770.040411727</v>
      </c>
      <c r="BW141" s="538">
        <f t="shared" si="248"/>
        <v>0</v>
      </c>
      <c r="BX141" s="538"/>
      <c r="BY141" s="538">
        <f t="shared" si="249"/>
        <v>1.5727333333333336E-3</v>
      </c>
      <c r="BZ141" s="469">
        <f t="shared" si="250"/>
        <v>1580770042.4559407</v>
      </c>
      <c r="CA141" s="177">
        <f t="shared" si="251"/>
        <v>50300909.036009707</v>
      </c>
      <c r="CB141" s="5">
        <f t="shared" si="252"/>
        <v>0.46499999999999997</v>
      </c>
      <c r="CC141" s="177">
        <f t="shared" si="253"/>
        <v>9.2443656508967464E-9</v>
      </c>
      <c r="CD141" s="5">
        <f t="shared" si="254"/>
        <v>9.244365650896746E-7</v>
      </c>
      <c r="CG141" s="571">
        <f t="shared" si="255"/>
        <v>-50</v>
      </c>
      <c r="CH141">
        <f t="shared" si="256"/>
        <v>-50</v>
      </c>
    </row>
    <row r="142" spans="5:86" x14ac:dyDescent="0.25">
      <c r="E142" s="174">
        <v>32</v>
      </c>
      <c r="F142" s="221">
        <f t="shared" si="257"/>
        <v>3.2000000000000001E-2</v>
      </c>
      <c r="G142" s="221"/>
      <c r="H142" s="221">
        <f t="shared" ref="H142:H173" si="266">F142*Vout</f>
        <v>0.48</v>
      </c>
      <c r="I142" s="551">
        <f t="shared" ref="I142:I173" si="267">VIN_min</f>
        <v>20</v>
      </c>
      <c r="J142" s="451">
        <f t="shared" ref="J142:J173" si="268">(T142+Vfwd1)*Nps</f>
        <v>695386.58000000007</v>
      </c>
      <c r="K142" s="451">
        <f t="shared" ref="K142:K173" si="269">(Vout+Vfwd1)*Nps+I142</f>
        <v>695406.58000000007</v>
      </c>
      <c r="L142" s="451"/>
      <c r="M142" s="221">
        <f t="shared" ref="M142:M173" si="270">(Vout+Vfwd1)*Nps/((Vout+Vfwd1)*Nps+I142)</f>
        <v>0.9999712398464794</v>
      </c>
      <c r="N142" s="176">
        <f t="shared" ref="N142:N173" si="271">M142*I142*(Isw_max+VIN_min/Lmag*ILIM_delay)*0.5*Efficiency</f>
        <v>6.9298006921361024</v>
      </c>
      <c r="O142" s="176">
        <f t="shared" si="262"/>
        <v>0.48</v>
      </c>
      <c r="P142" s="221">
        <f t="shared" ref="P142:P173" si="272">N142/Vout</f>
        <v>0.4619867128090735</v>
      </c>
      <c r="Q142" s="221">
        <f t="shared" ref="Q142:Q173" si="273">MIN(Vout,N142/F142)</f>
        <v>15</v>
      </c>
      <c r="R142" s="221"/>
      <c r="S142" s="176">
        <f t="shared" ref="S142:S173" si="274">(SQRT(Isw_max^2*Nps^2*I142^2+4*Isw_max*F142/Efficiency*(Nps^2*Vfwd1*I142-Nps*I142^2)+4*(F142/Efficiency)^2*Nps^2*Vfwd1^2+8*(F142/Efficiency)^2*Nps*Vfwd1*I142+4*(F142/Efficiency)^2*I142^2)-2*F142/Efficiency*I142-2*F142/Efficiency*Nps*Vfwd1+Isw_max*Nps*I142)/(4*F142/Efficiency*Nps)</f>
        <v>210.93706271394797</v>
      </c>
      <c r="T142" s="176">
        <f t="shared" ref="T142:T173" si="275">MIN(Vout, S142)</f>
        <v>15</v>
      </c>
      <c r="U142" s="221">
        <f t="shared" ref="U142:U173" si="276">MIN(2*Vout*F142/(Efficiency*I142*M142), Isw_max)</f>
        <v>5.3334867252303506E-2</v>
      </c>
      <c r="V142" s="221">
        <f t="shared" ref="V142:V173" si="277">L*U142/I142*1000000</f>
        <v>8.0002300878455251E-2</v>
      </c>
      <c r="W142" s="221">
        <f t="shared" ref="W142:W173" si="278">L*U142/J142*1000000</f>
        <v>2.3009446307823554E-6</v>
      </c>
      <c r="X142" s="201">
        <f t="shared" ref="X142:X173" si="279">IF(1/((350000*L)*(1/I142+1/J142))&gt;Isw_min, 350, 0.001/((Isw_min*L)*(1/I142+1/J142)))</f>
        <v>350</v>
      </c>
      <c r="Y142" s="451">
        <f t="shared" si="215"/>
        <v>350</v>
      </c>
      <c r="AA142" s="221">
        <f t="shared" ref="AA142:AA173" si="280">1/((X142*1000*L)*(1/I142+1/J142))</f>
        <v>1.9047071235171036</v>
      </c>
      <c r="AB142" s="177">
        <f t="shared" ref="AB142:AB173" si="281">L*AA142/J142*1000000</f>
        <v>8.2171867201568798E-5</v>
      </c>
      <c r="AC142" s="177">
        <f t="shared" ref="AC142:AC173" si="282">0.5*AB142*AA142*Nps*X142/1000</f>
        <v>1.2514141549591451</v>
      </c>
      <c r="AD142" s="177"/>
      <c r="AE142" s="177">
        <f t="shared" ref="AE142:AE173" si="283">L*Isw_min/J142*1000000</f>
        <v>6.4712206554230591E-6</v>
      </c>
      <c r="AF142" s="555">
        <f t="shared" ref="AF142:AF173" si="284">MAX(12000,F142/(0.5*AE142/1000000*Isw_min*Nps))/1000</f>
        <v>1443.0814814814819</v>
      </c>
      <c r="AG142" s="538">
        <f t="shared" ref="AG142:AG173" si="285">0.5*AE142/1000000*Isw_min*Nps*X142*1000</f>
        <v>7.7611695137976321E-3</v>
      </c>
      <c r="AI142" s="177">
        <f t="shared" ref="AI142:AI173" si="286">SQRT(F142/(0.5*L/J142*Fsw_DCM*Nps))</f>
        <v>0.30458089862879423</v>
      </c>
      <c r="AJ142" s="177">
        <f t="shared" ref="AJ142:AJ173" si="287">MAX(IF(F142&gt;AC142,U142,AI142),Isw_min)</f>
        <v>0.30458089862879423</v>
      </c>
      <c r="AK142" s="177">
        <f t="shared" ref="AK142:AK173" si="288">IF(F142&gt;AG142, (AJ142-Isw_min)/1.2*0.8+1.2, AF142*0.2/350+1)</f>
        <v>1.3030539324191961</v>
      </c>
      <c r="AM142" s="555">
        <f t="shared" ref="AM142:AM173" si="289">F142*1000</f>
        <v>32</v>
      </c>
      <c r="AN142" s="469">
        <f t="shared" ref="AN142:AN173" si="290">IF(F142&gt;AG142, Y142, AF142)</f>
        <v>350</v>
      </c>
      <c r="AP142" s="469">
        <f t="shared" ref="AP142:AP173" si="291">IF(H142&gt;N142, "",AM142)</f>
        <v>32</v>
      </c>
      <c r="AQ142" s="469">
        <f t="shared" ref="AQ142:AQ173" si="292">IF(H142&gt;N142, "",AN142)</f>
        <v>350</v>
      </c>
      <c r="AS142" s="5">
        <f t="shared" si="263"/>
        <v>2.8571428571428572</v>
      </c>
      <c r="AT142" s="5">
        <f t="shared" ref="AT142:AT173" si="293">L*AJ142/I142*1000000</f>
        <v>0.45687134794319134</v>
      </c>
      <c r="AU142" s="5">
        <f t="shared" si="230"/>
        <v>2.400271509199666</v>
      </c>
      <c r="AV142" s="5"/>
      <c r="AW142" s="177">
        <f t="shared" si="231"/>
        <v>0.15990497178011698</v>
      </c>
      <c r="AX142" s="177">
        <f t="shared" si="259"/>
        <v>0.48704000000000008</v>
      </c>
      <c r="AY142" s="177">
        <f t="shared" si="260"/>
        <v>5845.3798107254897</v>
      </c>
      <c r="AZ142" s="177">
        <f t="shared" si="264"/>
        <v>8.3320505385526338E-5</v>
      </c>
      <c r="BA142" s="469">
        <f t="shared" ref="BA142:BA173" si="294">L*Isw_max^2/(2*Vout_ripple*Vout)*1000000000*((1+M142)/2)^2</f>
        <v>3.7498921501997473</v>
      </c>
      <c r="BB142" s="469">
        <f t="shared" ref="BB142:BB173" si="295">L*F142^2/(2*Cout*Vout*Nps^2)*1000000000*((1+M142)/(1-M142))^2+F142*RCoutEsr</f>
        <v>0.33321478398178994</v>
      </c>
      <c r="BC142" s="5">
        <f t="shared" si="258"/>
        <v>5.3339366871103674E-2</v>
      </c>
      <c r="BD142" s="469">
        <f t="shared" ref="BD142:BD173" si="296">((CB142/I142/Efficiency)*AU142/Cin+(CB142/I142/Efficiency)*RCinEsr)*1000</f>
        <v>6.4807240245324422</v>
      </c>
      <c r="BF142" s="177">
        <f t="shared" si="265"/>
        <v>7.0319054048474411E-2</v>
      </c>
      <c r="BG142" s="177">
        <f t="shared" si="261"/>
        <v>7364.0697998002406</v>
      </c>
      <c r="BI142" s="538">
        <f t="shared" si="236"/>
        <v>1.7306692767952926E-3</v>
      </c>
      <c r="BJ142" s="538">
        <f t="shared" si="237"/>
        <v>370.66323183535889</v>
      </c>
      <c r="BK142" s="538">
        <f t="shared" si="238"/>
        <v>4.3749999999999995E-3</v>
      </c>
      <c r="BL142" s="538">
        <f t="shared" si="239"/>
        <v>8462830.4513776898</v>
      </c>
      <c r="BM142">
        <f t="shared" si="240"/>
        <v>5.7999999999999996E-3</v>
      </c>
      <c r="BN142">
        <f t="shared" ref="BN142:BN173" si="297">(I142-Vdd)*Qg*AN142</f>
        <v>1.3124999999999999E-5</v>
      </c>
      <c r="BO142" s="538">
        <f t="shared" ref="BO142:BO173" si="298">(BJ142+BK142+BL142+BM142+BN142+BI142*(1+RdsonTC*(Ta-25)))/(1-BI142*RdsonTC*ThetaJA)</f>
        <v>8465904.3618288413</v>
      </c>
      <c r="BP142" s="469">
        <f t="shared" si="243"/>
        <v>8463201126.5151949</v>
      </c>
      <c r="BQ142" s="538">
        <f t="shared" ref="BQ142:BQ173" si="299">(Vfwd2*F142+BG142^2*Rdiode)*(1+Diode_TC/1000*(Ta-25))</f>
        <v>41431356.357644074</v>
      </c>
      <c r="BT142" s="469">
        <f t="shared" si="245"/>
        <v>41431356357.644073</v>
      </c>
      <c r="BU142" s="538">
        <f t="shared" si="246"/>
        <v>4.9447693622722648E-4</v>
      </c>
      <c r="BV142" s="538">
        <f t="shared" si="247"/>
        <v>1626885.7204898987</v>
      </c>
      <c r="BW142" s="538">
        <f t="shared" si="248"/>
        <v>0</v>
      </c>
      <c r="BX142" s="538"/>
      <c r="BY142" s="538">
        <f t="shared" si="249"/>
        <v>1.6234666666666672E-3</v>
      </c>
      <c r="BZ142" s="469">
        <f t="shared" si="250"/>
        <v>1626885722.6078422</v>
      </c>
      <c r="CA142" s="177">
        <f t="shared" si="251"/>
        <v>51521443.206767112</v>
      </c>
      <c r="CB142" s="5">
        <f t="shared" si="252"/>
        <v>0.48</v>
      </c>
      <c r="CC142" s="177">
        <f t="shared" si="253"/>
        <v>9.3165091203235123E-9</v>
      </c>
      <c r="CD142" s="5">
        <f t="shared" si="254"/>
        <v>9.3165091203235119E-7</v>
      </c>
      <c r="CG142" s="571">
        <f t="shared" ref="CG142:CG173" si="300">IF(ABS(F142-Ioutmax_Vinmin)&lt;Iout/200, AN142, -50)</f>
        <v>-50</v>
      </c>
      <c r="CH142">
        <f t="shared" ref="CH142:CH173" si="301">IF(ABS(F142-Ioutmax_Vinmin)&lt;Iout/200, N142*CC142, -50)</f>
        <v>-50</v>
      </c>
    </row>
    <row r="143" spans="5:86" x14ac:dyDescent="0.25">
      <c r="E143" s="174">
        <v>33</v>
      </c>
      <c r="F143" s="221">
        <f t="shared" ref="F143:F174" si="302">IF(PLOT_TYPE=1, E143/100*Iout_max, min_I*EXP(N143*rr/100))</f>
        <v>3.3000000000000002E-2</v>
      </c>
      <c r="G143" s="221"/>
      <c r="H143" s="221">
        <f t="shared" si="266"/>
        <v>0.495</v>
      </c>
      <c r="I143" s="551">
        <f t="shared" si="267"/>
        <v>20</v>
      </c>
      <c r="J143" s="451">
        <f t="shared" si="268"/>
        <v>695386.58000000007</v>
      </c>
      <c r="K143" s="451">
        <f t="shared" si="269"/>
        <v>695406.58000000007</v>
      </c>
      <c r="L143" s="451"/>
      <c r="M143" s="221">
        <f t="shared" si="270"/>
        <v>0.9999712398464794</v>
      </c>
      <c r="N143" s="176">
        <f t="shared" si="271"/>
        <v>6.9298006921361024</v>
      </c>
      <c r="O143" s="176">
        <f t="shared" si="262"/>
        <v>0.495</v>
      </c>
      <c r="P143" s="221">
        <f t="shared" si="272"/>
        <v>0.4619867128090735</v>
      </c>
      <c r="Q143" s="221">
        <f t="shared" si="273"/>
        <v>15</v>
      </c>
      <c r="R143" s="221"/>
      <c r="S143" s="176">
        <f t="shared" si="274"/>
        <v>204.54501727363956</v>
      </c>
      <c r="T143" s="176">
        <f t="shared" si="275"/>
        <v>15</v>
      </c>
      <c r="U143" s="221">
        <f t="shared" si="276"/>
        <v>5.5001581853937991E-2</v>
      </c>
      <c r="V143" s="221">
        <f t="shared" si="277"/>
        <v>8.2502372780906996E-2</v>
      </c>
      <c r="W143" s="221">
        <f t="shared" si="278"/>
        <v>2.3728491504943045E-6</v>
      </c>
      <c r="X143" s="201">
        <f t="shared" si="279"/>
        <v>350</v>
      </c>
      <c r="Y143" s="451">
        <f t="shared" si="215"/>
        <v>350</v>
      </c>
      <c r="AA143" s="221">
        <f t="shared" si="280"/>
        <v>1.9047071235171036</v>
      </c>
      <c r="AB143" s="177">
        <f t="shared" si="281"/>
        <v>8.2171867201568798E-5</v>
      </c>
      <c r="AC143" s="177">
        <f t="shared" si="282"/>
        <v>1.2514141549591451</v>
      </c>
      <c r="AD143" s="177"/>
      <c r="AE143" s="177">
        <f t="shared" si="283"/>
        <v>6.4712206554230591E-6</v>
      </c>
      <c r="AF143" s="555">
        <f t="shared" si="284"/>
        <v>1488.1777777777781</v>
      </c>
      <c r="AG143" s="538">
        <f t="shared" si="285"/>
        <v>7.7611695137976321E-3</v>
      </c>
      <c r="AI143" s="177">
        <f t="shared" si="286"/>
        <v>0.30930336472235709</v>
      </c>
      <c r="AJ143" s="177">
        <f t="shared" si="287"/>
        <v>0.30930336472235709</v>
      </c>
      <c r="AK143" s="177">
        <f t="shared" si="288"/>
        <v>1.3062022431482381</v>
      </c>
      <c r="AM143" s="555">
        <f t="shared" si="289"/>
        <v>33</v>
      </c>
      <c r="AN143" s="469">
        <f t="shared" si="290"/>
        <v>350</v>
      </c>
      <c r="AP143" s="469">
        <f t="shared" si="291"/>
        <v>33</v>
      </c>
      <c r="AQ143" s="469">
        <f t="shared" si="292"/>
        <v>350</v>
      </c>
      <c r="AS143" s="5">
        <f t="shared" si="263"/>
        <v>2.8571428571428572</v>
      </c>
      <c r="AT143" s="5">
        <f t="shared" si="293"/>
        <v>0.46395504708353563</v>
      </c>
      <c r="AU143" s="5">
        <f t="shared" si="230"/>
        <v>2.3931878100593216</v>
      </c>
      <c r="AV143" s="5"/>
      <c r="AW143" s="177">
        <f t="shared" si="231"/>
        <v>0.16238426647923745</v>
      </c>
      <c r="AX143" s="177">
        <f t="shared" si="259"/>
        <v>0.50226000000000015</v>
      </c>
      <c r="AY143" s="177">
        <f t="shared" si="260"/>
        <v>5918.4928583998872</v>
      </c>
      <c r="AZ143" s="177">
        <f t="shared" si="264"/>
        <v>8.4862820994564868E-5</v>
      </c>
      <c r="BA143" s="469">
        <f t="shared" si="294"/>
        <v>3.7498921501997473</v>
      </c>
      <c r="BB143" s="469">
        <f t="shared" si="295"/>
        <v>0.35127236304313403</v>
      </c>
      <c r="BC143" s="5">
        <f t="shared" si="258"/>
        <v>5.4843887313859439E-2</v>
      </c>
      <c r="BD143" s="469">
        <f t="shared" si="296"/>
        <v>6.6637664776631356</v>
      </c>
      <c r="BF143" s="177">
        <f t="shared" si="265"/>
        <v>7.1960801358668197E-2</v>
      </c>
      <c r="BG143" s="177">
        <f t="shared" si="261"/>
        <v>7467.2051489518462</v>
      </c>
      <c r="BI143" s="538">
        <f t="shared" si="236"/>
        <v>1.8124249262635958E-3</v>
      </c>
      <c r="BJ143" s="538">
        <f t="shared" si="237"/>
        <v>376.41029132711731</v>
      </c>
      <c r="BK143" s="538">
        <f t="shared" si="238"/>
        <v>4.3749999999999995E-3</v>
      </c>
      <c r="BL143" s="538">
        <f t="shared" si="239"/>
        <v>8462830.4513776898</v>
      </c>
      <c r="BM143">
        <f t="shared" si="240"/>
        <v>5.7999999999999996E-3</v>
      </c>
      <c r="BN143">
        <f t="shared" si="297"/>
        <v>1.3124999999999999E-5</v>
      </c>
      <c r="BO143" s="538">
        <f t="shared" si="298"/>
        <v>8466037.852620922</v>
      </c>
      <c r="BP143" s="469">
        <f t="shared" si="243"/>
        <v>8463206873.6564407</v>
      </c>
      <c r="BQ143" s="538">
        <f t="shared" si="299"/>
        <v>42599992.700165674</v>
      </c>
      <c r="BT143" s="469">
        <f t="shared" si="245"/>
        <v>42599992700.165672</v>
      </c>
      <c r="BU143" s="538">
        <f t="shared" si="246"/>
        <v>5.1783569321817028E-4</v>
      </c>
      <c r="BV143" s="538">
        <f t="shared" si="247"/>
        <v>1672774.5820959888</v>
      </c>
      <c r="BW143" s="538">
        <f t="shared" si="248"/>
        <v>0</v>
      </c>
      <c r="BX143" s="538"/>
      <c r="BY143" s="538">
        <f t="shared" si="249"/>
        <v>1.6742000000000005E-3</v>
      </c>
      <c r="BZ143" s="469">
        <f t="shared" si="250"/>
        <v>1672774584.2880244</v>
      </c>
      <c r="CA143" s="177">
        <f t="shared" si="251"/>
        <v>52735974.158110134</v>
      </c>
      <c r="CB143" s="5">
        <f t="shared" si="252"/>
        <v>0.495</v>
      </c>
      <c r="CC143" s="177">
        <f t="shared" si="253"/>
        <v>9.3863819386299548E-9</v>
      </c>
      <c r="CD143" s="5">
        <f t="shared" si="254"/>
        <v>9.3863819386299544E-7</v>
      </c>
      <c r="CG143" s="571">
        <f t="shared" si="300"/>
        <v>-50</v>
      </c>
      <c r="CH143">
        <f t="shared" si="301"/>
        <v>-50</v>
      </c>
    </row>
    <row r="144" spans="5:86" x14ac:dyDescent="0.25">
      <c r="E144" s="174">
        <v>34</v>
      </c>
      <c r="F144" s="221">
        <f t="shared" si="302"/>
        <v>3.4000000000000002E-2</v>
      </c>
      <c r="G144" s="221"/>
      <c r="H144" s="221">
        <f t="shared" si="266"/>
        <v>0.51</v>
      </c>
      <c r="I144" s="551">
        <f t="shared" si="267"/>
        <v>20</v>
      </c>
      <c r="J144" s="451">
        <f t="shared" si="268"/>
        <v>695386.58000000007</v>
      </c>
      <c r="K144" s="451">
        <f t="shared" si="269"/>
        <v>695406.58000000007</v>
      </c>
      <c r="L144" s="451"/>
      <c r="M144" s="221">
        <f t="shared" si="270"/>
        <v>0.9999712398464794</v>
      </c>
      <c r="N144" s="176">
        <f t="shared" si="271"/>
        <v>6.9298006921361024</v>
      </c>
      <c r="O144" s="176">
        <f t="shared" si="262"/>
        <v>0.51</v>
      </c>
      <c r="P144" s="221">
        <f t="shared" si="272"/>
        <v>0.4619867128090735</v>
      </c>
      <c r="Q144" s="221">
        <f t="shared" si="273"/>
        <v>15</v>
      </c>
      <c r="R144" s="221"/>
      <c r="S144" s="176">
        <f t="shared" si="274"/>
        <v>198.528974507127</v>
      </c>
      <c r="T144" s="176">
        <f t="shared" si="275"/>
        <v>15</v>
      </c>
      <c r="U144" s="221">
        <f t="shared" si="276"/>
        <v>5.6668296455572476E-2</v>
      </c>
      <c r="V144" s="221">
        <f t="shared" si="277"/>
        <v>8.5002444683358713E-2</v>
      </c>
      <c r="W144" s="221">
        <f t="shared" si="278"/>
        <v>2.4447536702062527E-6</v>
      </c>
      <c r="X144" s="201">
        <f t="shared" si="279"/>
        <v>350</v>
      </c>
      <c r="Y144" s="451">
        <f t="shared" si="215"/>
        <v>350</v>
      </c>
      <c r="AA144" s="221">
        <f t="shared" si="280"/>
        <v>1.9047071235171036</v>
      </c>
      <c r="AB144" s="177">
        <f t="shared" si="281"/>
        <v>8.2171867201568798E-5</v>
      </c>
      <c r="AC144" s="177">
        <f t="shared" si="282"/>
        <v>1.2514141549591451</v>
      </c>
      <c r="AD144" s="177"/>
      <c r="AE144" s="177">
        <f t="shared" si="283"/>
        <v>6.4712206554230591E-6</v>
      </c>
      <c r="AF144" s="555">
        <f t="shared" si="284"/>
        <v>1533.2740740740746</v>
      </c>
      <c r="AG144" s="538">
        <f t="shared" si="285"/>
        <v>7.7611695137976321E-3</v>
      </c>
      <c r="AI144" s="177">
        <f t="shared" si="286"/>
        <v>0.31395480414801596</v>
      </c>
      <c r="AJ144" s="177">
        <f t="shared" si="287"/>
        <v>0.31395480414801596</v>
      </c>
      <c r="AK144" s="177">
        <f t="shared" si="288"/>
        <v>1.309303202765344</v>
      </c>
      <c r="AM144" s="555">
        <f t="shared" si="289"/>
        <v>34</v>
      </c>
      <c r="AN144" s="469">
        <f t="shared" si="290"/>
        <v>350</v>
      </c>
      <c r="AP144" s="469">
        <f t="shared" si="291"/>
        <v>34</v>
      </c>
      <c r="AQ144" s="469">
        <f t="shared" si="292"/>
        <v>350</v>
      </c>
      <c r="AS144" s="5">
        <f t="shared" si="263"/>
        <v>2.8571428571428572</v>
      </c>
      <c r="AT144" s="5">
        <f t="shared" si="293"/>
        <v>0.47093220622202392</v>
      </c>
      <c r="AU144" s="5">
        <f t="shared" si="230"/>
        <v>2.3862106509208334</v>
      </c>
      <c r="AV144" s="5"/>
      <c r="AW144" s="177">
        <f t="shared" si="231"/>
        <v>0.16482627217770837</v>
      </c>
      <c r="AX144" s="177">
        <f t="shared" si="259"/>
        <v>0.51748000000000005</v>
      </c>
      <c r="AY144" s="177">
        <f t="shared" si="260"/>
        <v>5989.9833373593501</v>
      </c>
      <c r="AZ144" s="177">
        <f t="shared" si="264"/>
        <v>8.639089140240048E-5</v>
      </c>
      <c r="BA144" s="469">
        <f t="shared" si="294"/>
        <v>3.7498921501997473</v>
      </c>
      <c r="BB144" s="469">
        <f t="shared" si="295"/>
        <v>0.36979325222944248</v>
      </c>
      <c r="BC144" s="5">
        <f t="shared" si="258"/>
        <v>5.6341084813408548E-2</v>
      </c>
      <c r="BD144" s="469">
        <f t="shared" si="296"/>
        <v>6.845930177609028</v>
      </c>
      <c r="BF144" s="177">
        <f t="shared" si="265"/>
        <v>7.35901560560277E-2</v>
      </c>
      <c r="BG144" s="177">
        <f t="shared" si="261"/>
        <v>7568.4434531918805</v>
      </c>
      <c r="BI144" s="538">
        <f t="shared" si="236"/>
        <v>1.8954288739226786E-3</v>
      </c>
      <c r="BJ144" s="538">
        <f t="shared" si="237"/>
        <v>382.07091409749785</v>
      </c>
      <c r="BK144" s="538">
        <f t="shared" si="238"/>
        <v>4.3749999999999995E-3</v>
      </c>
      <c r="BL144" s="538">
        <f t="shared" si="239"/>
        <v>8462830.4513776898</v>
      </c>
      <c r="BM144">
        <f t="shared" si="240"/>
        <v>5.7999999999999996E-3</v>
      </c>
      <c r="BN144">
        <f t="shared" si="297"/>
        <v>1.3124999999999999E-5</v>
      </c>
      <c r="BO144" s="538">
        <f t="shared" si="298"/>
        <v>8466173.2115106396</v>
      </c>
      <c r="BP144" s="469">
        <f t="shared" si="243"/>
        <v>8463212534.362216</v>
      </c>
      <c r="BQ144" s="538">
        <f t="shared" si="299"/>
        <v>43762940.946121551</v>
      </c>
      <c r="BT144" s="469">
        <f t="shared" si="245"/>
        <v>43762940946.121552</v>
      </c>
      <c r="BU144" s="538">
        <f t="shared" si="246"/>
        <v>5.4155110683505104E-4</v>
      </c>
      <c r="BV144" s="538">
        <f t="shared" si="247"/>
        <v>1718440.0891248912</v>
      </c>
      <c r="BW144" s="538">
        <f t="shared" si="248"/>
        <v>0</v>
      </c>
      <c r="BX144" s="538"/>
      <c r="BY144" s="538">
        <f t="shared" si="249"/>
        <v>1.7249333333333339E-3</v>
      </c>
      <c r="BZ144" s="469">
        <f t="shared" si="250"/>
        <v>1718440091.3913755</v>
      </c>
      <c r="CA144" s="177">
        <f t="shared" si="251"/>
        <v>53944593.571875148</v>
      </c>
      <c r="CB144" s="5">
        <f t="shared" si="252"/>
        <v>0.51</v>
      </c>
      <c r="CC144" s="177">
        <f t="shared" si="253"/>
        <v>9.4541447327593297E-9</v>
      </c>
      <c r="CD144" s="5">
        <f t="shared" si="254"/>
        <v>9.4541447327593302E-7</v>
      </c>
      <c r="CG144" s="571">
        <f t="shared" si="300"/>
        <v>-50</v>
      </c>
      <c r="CH144">
        <f t="shared" si="301"/>
        <v>-50</v>
      </c>
    </row>
    <row r="145" spans="5:86" x14ac:dyDescent="0.25">
      <c r="E145" s="174">
        <v>35</v>
      </c>
      <c r="F145" s="221">
        <f t="shared" si="302"/>
        <v>3.4999999999999996E-2</v>
      </c>
      <c r="G145" s="221"/>
      <c r="H145" s="221">
        <f t="shared" si="266"/>
        <v>0.52499999999999991</v>
      </c>
      <c r="I145" s="551">
        <f t="shared" si="267"/>
        <v>20</v>
      </c>
      <c r="J145" s="451">
        <f t="shared" si="268"/>
        <v>695386.58000000007</v>
      </c>
      <c r="K145" s="451">
        <f t="shared" si="269"/>
        <v>695406.58000000007</v>
      </c>
      <c r="L145" s="451"/>
      <c r="M145" s="221">
        <f t="shared" si="270"/>
        <v>0.9999712398464794</v>
      </c>
      <c r="N145" s="176">
        <f t="shared" si="271"/>
        <v>6.9298006921361024</v>
      </c>
      <c r="O145" s="176">
        <f t="shared" si="262"/>
        <v>0.52499999999999991</v>
      </c>
      <c r="P145" s="221">
        <f t="shared" si="272"/>
        <v>0.4619867128090735</v>
      </c>
      <c r="Q145" s="221">
        <f t="shared" si="273"/>
        <v>15</v>
      </c>
      <c r="R145" s="221"/>
      <c r="S145" s="176">
        <f t="shared" si="274"/>
        <v>192.85670561379922</v>
      </c>
      <c r="T145" s="176">
        <f t="shared" si="275"/>
        <v>15</v>
      </c>
      <c r="U145" s="221">
        <f t="shared" si="276"/>
        <v>5.8335011057206954E-2</v>
      </c>
      <c r="V145" s="221">
        <f t="shared" si="277"/>
        <v>8.750251658581043E-2</v>
      </c>
      <c r="W145" s="221">
        <f t="shared" si="278"/>
        <v>2.5166581899182013E-6</v>
      </c>
      <c r="X145" s="201">
        <f t="shared" si="279"/>
        <v>350</v>
      </c>
      <c r="Y145" s="451">
        <f t="shared" si="215"/>
        <v>350</v>
      </c>
      <c r="AA145" s="221">
        <f t="shared" si="280"/>
        <v>1.9047071235171036</v>
      </c>
      <c r="AB145" s="177">
        <f t="shared" si="281"/>
        <v>8.2171867201568798E-5</v>
      </c>
      <c r="AC145" s="177">
        <f t="shared" si="282"/>
        <v>1.2514141549591451</v>
      </c>
      <c r="AD145" s="177"/>
      <c r="AE145" s="177">
        <f t="shared" si="283"/>
        <v>6.4712206554230591E-6</v>
      </c>
      <c r="AF145" s="555">
        <f t="shared" si="284"/>
        <v>1578.3703703703707</v>
      </c>
      <c r="AG145" s="538">
        <f t="shared" si="285"/>
        <v>7.7611695137976321E-3</v>
      </c>
      <c r="AI145" s="177">
        <f t="shared" si="286"/>
        <v>0.31853832841067442</v>
      </c>
      <c r="AJ145" s="177">
        <f t="shared" si="287"/>
        <v>0.31853832841067442</v>
      </c>
      <c r="AK145" s="177">
        <f t="shared" si="288"/>
        <v>1.3123588856071162</v>
      </c>
      <c r="AM145" s="555">
        <f t="shared" si="289"/>
        <v>34.999999999999993</v>
      </c>
      <c r="AN145" s="469">
        <f t="shared" si="290"/>
        <v>350</v>
      </c>
      <c r="AP145" s="469">
        <f t="shared" si="291"/>
        <v>34.999999999999993</v>
      </c>
      <c r="AQ145" s="469">
        <f t="shared" si="292"/>
        <v>350</v>
      </c>
      <c r="AS145" s="5">
        <f t="shared" si="263"/>
        <v>2.8571428571428572</v>
      </c>
      <c r="AT145" s="5">
        <f t="shared" si="293"/>
        <v>0.47780749261601169</v>
      </c>
      <c r="AU145" s="5">
        <f t="shared" si="230"/>
        <v>2.3793353645268454</v>
      </c>
      <c r="AV145" s="5"/>
      <c r="AW145" s="177">
        <f t="shared" si="231"/>
        <v>0.16723262241560408</v>
      </c>
      <c r="AX145" s="177">
        <f t="shared" si="259"/>
        <v>0.53270000000000006</v>
      </c>
      <c r="AY145" s="177">
        <f t="shared" si="260"/>
        <v>6059.9223283776519</v>
      </c>
      <c r="AZ145" s="177">
        <f t="shared" si="264"/>
        <v>8.7905417121511735E-5</v>
      </c>
      <c r="BA145" s="469">
        <f t="shared" si="294"/>
        <v>3.7498921501997473</v>
      </c>
      <c r="BB145" s="469">
        <f t="shared" si="295"/>
        <v>0.38877745154071541</v>
      </c>
      <c r="BC145" s="5">
        <f t="shared" si="258"/>
        <v>5.783106788780526E-2</v>
      </c>
      <c r="BD145" s="469">
        <f t="shared" si="296"/>
        <v>7.0272281465366309</v>
      </c>
      <c r="BF145" s="177">
        <f t="shared" si="265"/>
        <v>7.5207572212813406E-2</v>
      </c>
      <c r="BG145" s="177">
        <f t="shared" si="261"/>
        <v>7667.8670468575829</v>
      </c>
      <c r="BI145" s="538">
        <f t="shared" si="236"/>
        <v>1.97966262135094E-3</v>
      </c>
      <c r="BJ145" s="538">
        <f t="shared" si="237"/>
        <v>387.6488867282219</v>
      </c>
      <c r="BK145" s="538">
        <f t="shared" si="238"/>
        <v>4.3749999999999995E-3</v>
      </c>
      <c r="BL145" s="538">
        <f t="shared" si="239"/>
        <v>8462830.4513776898</v>
      </c>
      <c r="BM145">
        <f t="shared" si="240"/>
        <v>5.7999999999999996E-3</v>
      </c>
      <c r="BN145">
        <f t="shared" si="297"/>
        <v>1.3124999999999999E-5</v>
      </c>
      <c r="BO145" s="538">
        <f t="shared" si="298"/>
        <v>8466310.4135596231</v>
      </c>
      <c r="BP145" s="469">
        <f t="shared" si="243"/>
        <v>8463218112.4190798</v>
      </c>
      <c r="BQ145" s="538">
        <f t="shared" si="299"/>
        <v>44920285.386916786</v>
      </c>
      <c r="BT145" s="469">
        <f t="shared" si="245"/>
        <v>44920285386.916786</v>
      </c>
      <c r="BU145" s="538">
        <f t="shared" si="246"/>
        <v>5.6561789181455442E-4</v>
      </c>
      <c r="BV145" s="538">
        <f t="shared" si="247"/>
        <v>1763885.5514485326</v>
      </c>
      <c r="BW145" s="538">
        <f t="shared" si="248"/>
        <v>0</v>
      </c>
      <c r="BX145" s="538"/>
      <c r="BY145" s="538">
        <f t="shared" si="249"/>
        <v>1.7756666666666669E-3</v>
      </c>
      <c r="BZ145" s="469">
        <f t="shared" si="250"/>
        <v>1763885553.7898171</v>
      </c>
      <c r="CA145" s="177">
        <f t="shared" si="251"/>
        <v>55147389.053125687</v>
      </c>
      <c r="CB145" s="5">
        <f t="shared" si="252"/>
        <v>0.52499999999999991</v>
      </c>
      <c r="CC145" s="177">
        <f t="shared" si="253"/>
        <v>9.5199429023970009E-9</v>
      </c>
      <c r="CD145" s="5">
        <f t="shared" si="254"/>
        <v>9.5199429023970004E-7</v>
      </c>
      <c r="CG145" s="571">
        <f t="shared" si="300"/>
        <v>-50</v>
      </c>
      <c r="CH145">
        <f t="shared" si="301"/>
        <v>-50</v>
      </c>
    </row>
    <row r="146" spans="5:86" x14ac:dyDescent="0.25">
      <c r="E146" s="174">
        <v>36</v>
      </c>
      <c r="F146" s="221">
        <f t="shared" si="302"/>
        <v>3.5999999999999997E-2</v>
      </c>
      <c r="G146" s="221"/>
      <c r="H146" s="221">
        <f t="shared" si="266"/>
        <v>0.53999999999999992</v>
      </c>
      <c r="I146" s="551">
        <f t="shared" si="267"/>
        <v>20</v>
      </c>
      <c r="J146" s="451">
        <f t="shared" si="268"/>
        <v>695386.58000000007</v>
      </c>
      <c r="K146" s="451">
        <f t="shared" si="269"/>
        <v>695406.58000000007</v>
      </c>
      <c r="L146" s="451"/>
      <c r="M146" s="221">
        <f t="shared" si="270"/>
        <v>0.9999712398464794</v>
      </c>
      <c r="N146" s="176">
        <f t="shared" si="271"/>
        <v>6.9298006921361024</v>
      </c>
      <c r="O146" s="176">
        <f t="shared" si="262"/>
        <v>0.53999999999999992</v>
      </c>
      <c r="P146" s="221">
        <f t="shared" si="272"/>
        <v>0.4619867128090735</v>
      </c>
      <c r="Q146" s="221">
        <f t="shared" si="273"/>
        <v>15</v>
      </c>
      <c r="R146" s="221"/>
      <c r="S146" s="176">
        <f t="shared" si="274"/>
        <v>187.49956277089061</v>
      </c>
      <c r="T146" s="176">
        <f t="shared" si="275"/>
        <v>15</v>
      </c>
      <c r="U146" s="221">
        <f t="shared" si="276"/>
        <v>6.0001725658841439E-2</v>
      </c>
      <c r="V146" s="221">
        <f t="shared" si="277"/>
        <v>9.0002588488262161E-2</v>
      </c>
      <c r="W146" s="221">
        <f t="shared" si="278"/>
        <v>2.5885627096301495E-6</v>
      </c>
      <c r="X146" s="201">
        <f t="shared" si="279"/>
        <v>350</v>
      </c>
      <c r="Y146" s="451">
        <f t="shared" si="215"/>
        <v>350</v>
      </c>
      <c r="AA146" s="221">
        <f t="shared" si="280"/>
        <v>1.9047071235171036</v>
      </c>
      <c r="AB146" s="177">
        <f t="shared" si="281"/>
        <v>8.2171867201568798E-5</v>
      </c>
      <c r="AC146" s="177">
        <f t="shared" si="282"/>
        <v>1.2514141549591451</v>
      </c>
      <c r="AD146" s="177"/>
      <c r="AE146" s="177">
        <f t="shared" si="283"/>
        <v>6.4712206554230591E-6</v>
      </c>
      <c r="AF146" s="555">
        <f t="shared" si="284"/>
        <v>1623.4666666666669</v>
      </c>
      <c r="AG146" s="538">
        <f t="shared" si="285"/>
        <v>7.7611695137976321E-3</v>
      </c>
      <c r="AI146" s="177">
        <f t="shared" si="286"/>
        <v>0.32305682826046916</v>
      </c>
      <c r="AJ146" s="177">
        <f t="shared" si="287"/>
        <v>0.32305682826046916</v>
      </c>
      <c r="AK146" s="177">
        <f t="shared" si="288"/>
        <v>1.3153712188403128</v>
      </c>
      <c r="AM146" s="555">
        <f t="shared" si="289"/>
        <v>36</v>
      </c>
      <c r="AN146" s="469">
        <f t="shared" si="290"/>
        <v>350</v>
      </c>
      <c r="AP146" s="469">
        <f t="shared" si="291"/>
        <v>36</v>
      </c>
      <c r="AQ146" s="469">
        <f t="shared" si="292"/>
        <v>350</v>
      </c>
      <c r="AS146" s="5">
        <f t="shared" si="263"/>
        <v>2.8571428571428572</v>
      </c>
      <c r="AT146" s="5">
        <f t="shared" si="293"/>
        <v>0.48458524239070383</v>
      </c>
      <c r="AU146" s="5">
        <f t="shared" si="230"/>
        <v>2.3725576147521532</v>
      </c>
      <c r="AV146" s="5"/>
      <c r="AW146" s="177">
        <f t="shared" si="231"/>
        <v>0.16960483483674635</v>
      </c>
      <c r="AX146" s="177">
        <f t="shared" si="259"/>
        <v>0.54791999999999996</v>
      </c>
      <c r="AY146" s="177">
        <f t="shared" si="260"/>
        <v>6128.3758691962876</v>
      </c>
      <c r="AZ146" s="177">
        <f t="shared" si="264"/>
        <v>8.9407048734407588E-5</v>
      </c>
      <c r="BA146" s="469">
        <f t="shared" si="294"/>
        <v>3.7498921501997473</v>
      </c>
      <c r="BB146" s="469">
        <f t="shared" si="295"/>
        <v>0.40822496097695282</v>
      </c>
      <c r="BC146" s="5">
        <f t="shared" si="258"/>
        <v>5.9313940368803802E-2</v>
      </c>
      <c r="BD146" s="469">
        <f t="shared" si="296"/>
        <v>7.207672844256459</v>
      </c>
      <c r="BF146" s="177">
        <f t="shared" si="265"/>
        <v>7.6813474803247961E-2</v>
      </c>
      <c r="BG146" s="177">
        <f t="shared" si="261"/>
        <v>7765.55242938026</v>
      </c>
      <c r="BI146" s="538">
        <f t="shared" si="236"/>
        <v>2.065108468972223E-3</v>
      </c>
      <c r="BJ146" s="538">
        <f t="shared" si="237"/>
        <v>393.14772715095546</v>
      </c>
      <c r="BK146" s="538">
        <f t="shared" si="238"/>
        <v>4.3749999999999995E-3</v>
      </c>
      <c r="BL146" s="538">
        <f t="shared" si="239"/>
        <v>8462830.4513776898</v>
      </c>
      <c r="BM146">
        <f t="shared" si="240"/>
        <v>5.7999999999999996E-3</v>
      </c>
      <c r="BN146">
        <f t="shared" si="297"/>
        <v>1.3124999999999999E-5</v>
      </c>
      <c r="BO146" s="538">
        <f t="shared" si="298"/>
        <v>8466449.434808189</v>
      </c>
      <c r="BP146" s="469">
        <f t="shared" si="243"/>
        <v>8463223611.3449488</v>
      </c>
      <c r="BQ146" s="538">
        <f t="shared" si="299"/>
        <v>46072106.673872583</v>
      </c>
      <c r="BT146" s="469">
        <f t="shared" si="245"/>
        <v>46072106673.872581</v>
      </c>
      <c r="BU146" s="538">
        <f t="shared" si="246"/>
        <v>5.9003099113492095E-4</v>
      </c>
      <c r="BV146" s="538">
        <f t="shared" si="247"/>
        <v>1809114.1360036097</v>
      </c>
      <c r="BW146" s="538">
        <f t="shared" si="248"/>
        <v>0</v>
      </c>
      <c r="BX146" s="538"/>
      <c r="BY146" s="538">
        <f t="shared" si="249"/>
        <v>1.8263999999999997E-3</v>
      </c>
      <c r="BZ146" s="469">
        <f t="shared" si="250"/>
        <v>1809114138.4200406</v>
      </c>
      <c r="CA146" s="177">
        <f t="shared" si="251"/>
        <v>56344444.423637576</v>
      </c>
      <c r="CB146" s="5">
        <f t="shared" si="252"/>
        <v>0.53999999999999992</v>
      </c>
      <c r="CC146" s="177">
        <f t="shared" si="253"/>
        <v>9.5839084109976431E-9</v>
      </c>
      <c r="CD146" s="5">
        <f t="shared" si="254"/>
        <v>9.5839084109976431E-7</v>
      </c>
      <c r="CG146" s="571">
        <f t="shared" si="300"/>
        <v>-50</v>
      </c>
      <c r="CH146">
        <f t="shared" si="301"/>
        <v>-50</v>
      </c>
    </row>
    <row r="147" spans="5:86" x14ac:dyDescent="0.25">
      <c r="E147" s="174">
        <v>37</v>
      </c>
      <c r="F147" s="221">
        <f t="shared" si="302"/>
        <v>3.6999999999999998E-2</v>
      </c>
      <c r="G147" s="221"/>
      <c r="H147" s="221">
        <f t="shared" si="266"/>
        <v>0.55499999999999994</v>
      </c>
      <c r="I147" s="551">
        <f t="shared" si="267"/>
        <v>20</v>
      </c>
      <c r="J147" s="451">
        <f t="shared" si="268"/>
        <v>695386.58000000007</v>
      </c>
      <c r="K147" s="451">
        <f t="shared" si="269"/>
        <v>695406.58000000007</v>
      </c>
      <c r="L147" s="451"/>
      <c r="M147" s="221">
        <f t="shared" si="270"/>
        <v>0.9999712398464794</v>
      </c>
      <c r="N147" s="176">
        <f t="shared" si="271"/>
        <v>6.9298006921361024</v>
      </c>
      <c r="O147" s="176">
        <f t="shared" si="262"/>
        <v>0.55499999999999994</v>
      </c>
      <c r="P147" s="221">
        <f t="shared" si="272"/>
        <v>0.4619867128090735</v>
      </c>
      <c r="Q147" s="221">
        <f t="shared" si="273"/>
        <v>15</v>
      </c>
      <c r="R147" s="221"/>
      <c r="S147" s="176">
        <f t="shared" si="274"/>
        <v>182.43199521755636</v>
      </c>
      <c r="T147" s="176">
        <f t="shared" si="275"/>
        <v>15</v>
      </c>
      <c r="U147" s="221">
        <f t="shared" si="276"/>
        <v>6.1668440260475924E-2</v>
      </c>
      <c r="V147" s="221">
        <f t="shared" si="277"/>
        <v>9.2502660390713892E-2</v>
      </c>
      <c r="W147" s="221">
        <f t="shared" si="278"/>
        <v>2.6604672293420986E-6</v>
      </c>
      <c r="X147" s="201">
        <f t="shared" si="279"/>
        <v>350</v>
      </c>
      <c r="Y147" s="451">
        <f t="shared" si="215"/>
        <v>350</v>
      </c>
      <c r="AA147" s="221">
        <f t="shared" si="280"/>
        <v>1.9047071235171036</v>
      </c>
      <c r="AB147" s="177">
        <f t="shared" si="281"/>
        <v>8.2171867201568798E-5</v>
      </c>
      <c r="AC147" s="177">
        <f t="shared" si="282"/>
        <v>1.2514141549591451</v>
      </c>
      <c r="AD147" s="177"/>
      <c r="AE147" s="177">
        <f t="shared" si="283"/>
        <v>6.4712206554230591E-6</v>
      </c>
      <c r="AF147" s="555">
        <f t="shared" si="284"/>
        <v>1668.5629629629634</v>
      </c>
      <c r="AG147" s="538">
        <f t="shared" si="285"/>
        <v>7.7611695137976321E-3</v>
      </c>
      <c r="AI147" s="177">
        <f t="shared" si="286"/>
        <v>0.32751299501662817</v>
      </c>
      <c r="AJ147" s="177">
        <f t="shared" si="287"/>
        <v>0.32751299501662817</v>
      </c>
      <c r="AK147" s="177">
        <f t="shared" si="288"/>
        <v>1.3183419966777521</v>
      </c>
      <c r="AM147" s="555">
        <f t="shared" si="289"/>
        <v>37</v>
      </c>
      <c r="AN147" s="469">
        <f t="shared" si="290"/>
        <v>350</v>
      </c>
      <c r="AP147" s="469">
        <f t="shared" si="291"/>
        <v>37</v>
      </c>
      <c r="AQ147" s="469">
        <f t="shared" si="292"/>
        <v>350</v>
      </c>
      <c r="AS147" s="5">
        <f t="shared" si="263"/>
        <v>2.8571428571428572</v>
      </c>
      <c r="AT147" s="5">
        <f t="shared" si="293"/>
        <v>0.49126949252494223</v>
      </c>
      <c r="AU147" s="5">
        <f t="shared" si="230"/>
        <v>2.3658733646179151</v>
      </c>
      <c r="AV147" s="5"/>
      <c r="AW147" s="177">
        <f t="shared" si="231"/>
        <v>0.17194432238372978</v>
      </c>
      <c r="AX147" s="177">
        <f t="shared" si="259"/>
        <v>0.56314000000000008</v>
      </c>
      <c r="AY147" s="177">
        <f t="shared" si="260"/>
        <v>6195.4054416573617</v>
      </c>
      <c r="AZ147" s="177">
        <f t="shared" si="264"/>
        <v>9.0896391737899218E-5</v>
      </c>
      <c r="BA147" s="469">
        <f t="shared" si="294"/>
        <v>3.7498921501997473</v>
      </c>
      <c r="BB147" s="469">
        <f t="shared" si="295"/>
        <v>0.4281357805381546</v>
      </c>
      <c r="BC147" s="5">
        <f t="shared" si="258"/>
        <v>6.0789801729765856E-2</v>
      </c>
      <c r="BD147" s="469">
        <f t="shared" si="296"/>
        <v>7.3872762075719036</v>
      </c>
      <c r="BF147" s="177">
        <f t="shared" si="265"/>
        <v>7.8408262322637048E-2</v>
      </c>
      <c r="BG147" s="177">
        <f t="shared" si="261"/>
        <v>7861.570828600311</v>
      </c>
      <c r="BI147" s="538">
        <f t="shared" si="236"/>
        <v>2.1517494601594124E-3</v>
      </c>
      <c r="BJ147" s="538">
        <f t="shared" si="237"/>
        <v>398.5707105976233</v>
      </c>
      <c r="BK147" s="538">
        <f t="shared" si="238"/>
        <v>4.3749999999999995E-3</v>
      </c>
      <c r="BL147" s="538">
        <f t="shared" si="239"/>
        <v>8462830.4513776898</v>
      </c>
      <c r="BM147">
        <f t="shared" si="240"/>
        <v>5.7999999999999996E-3</v>
      </c>
      <c r="BN147">
        <f t="shared" si="297"/>
        <v>1.3124999999999999E-5</v>
      </c>
      <c r="BO147" s="538">
        <f t="shared" si="298"/>
        <v>8466590.2522139922</v>
      </c>
      <c r="BP147" s="469">
        <f t="shared" si="243"/>
        <v>8463229034.4150362</v>
      </c>
      <c r="BQ147" s="538">
        <f t="shared" si="299"/>
        <v>47218482.072928421</v>
      </c>
      <c r="BT147" s="469">
        <f t="shared" si="245"/>
        <v>47218482072.928421</v>
      </c>
      <c r="BU147" s="538">
        <f t="shared" si="246"/>
        <v>6.1478556004554647E-4</v>
      </c>
      <c r="BV147" s="538">
        <f t="shared" si="247"/>
        <v>1854128.8767929815</v>
      </c>
      <c r="BW147" s="538">
        <f t="shared" si="248"/>
        <v>0</v>
      </c>
      <c r="BX147" s="538"/>
      <c r="BY147" s="538">
        <f t="shared" si="249"/>
        <v>1.8771333333333334E-3</v>
      </c>
      <c r="BZ147" s="469">
        <f t="shared" si="250"/>
        <v>1854128879.2849004</v>
      </c>
      <c r="CA147" s="177">
        <f t="shared" si="251"/>
        <v>57535839.986628361</v>
      </c>
      <c r="CB147" s="5">
        <f t="shared" si="252"/>
        <v>0.55499999999999994</v>
      </c>
      <c r="CC147" s="177">
        <f t="shared" si="253"/>
        <v>9.6461613278847656E-9</v>
      </c>
      <c r="CD147" s="5">
        <f t="shared" si="254"/>
        <v>9.6461613278847662E-7</v>
      </c>
      <c r="CG147" s="571">
        <f t="shared" si="300"/>
        <v>-50</v>
      </c>
      <c r="CH147">
        <f t="shared" si="301"/>
        <v>-50</v>
      </c>
    </row>
    <row r="148" spans="5:86" x14ac:dyDescent="0.25">
      <c r="E148" s="174">
        <v>38</v>
      </c>
      <c r="F148" s="221">
        <f t="shared" si="302"/>
        <v>3.8000000000000006E-2</v>
      </c>
      <c r="G148" s="221"/>
      <c r="H148" s="221">
        <f t="shared" si="266"/>
        <v>0.57000000000000006</v>
      </c>
      <c r="I148" s="551">
        <f t="shared" si="267"/>
        <v>20</v>
      </c>
      <c r="J148" s="451">
        <f t="shared" si="268"/>
        <v>695386.58000000007</v>
      </c>
      <c r="K148" s="451">
        <f t="shared" si="269"/>
        <v>695406.58000000007</v>
      </c>
      <c r="L148" s="451"/>
      <c r="M148" s="221">
        <f t="shared" si="270"/>
        <v>0.9999712398464794</v>
      </c>
      <c r="N148" s="176">
        <f t="shared" si="271"/>
        <v>6.9298006921361024</v>
      </c>
      <c r="O148" s="176">
        <f t="shared" si="262"/>
        <v>0.57000000000000006</v>
      </c>
      <c r="P148" s="221">
        <f t="shared" si="272"/>
        <v>0.4619867128090735</v>
      </c>
      <c r="Q148" s="221">
        <f t="shared" si="273"/>
        <v>15</v>
      </c>
      <c r="R148" s="221"/>
      <c r="S148" s="176">
        <f t="shared" si="274"/>
        <v>177.63114174672469</v>
      </c>
      <c r="T148" s="176">
        <f t="shared" si="275"/>
        <v>15</v>
      </c>
      <c r="U148" s="221">
        <f t="shared" si="276"/>
        <v>6.3335154862110415E-2</v>
      </c>
      <c r="V148" s="221">
        <f t="shared" si="277"/>
        <v>9.5002732293165623E-2</v>
      </c>
      <c r="W148" s="221">
        <f t="shared" si="278"/>
        <v>2.7323717490540473E-6</v>
      </c>
      <c r="X148" s="201">
        <f t="shared" si="279"/>
        <v>350</v>
      </c>
      <c r="Y148" s="451">
        <f t="shared" si="215"/>
        <v>350</v>
      </c>
      <c r="AA148" s="221">
        <f t="shared" si="280"/>
        <v>1.9047071235171036</v>
      </c>
      <c r="AB148" s="177">
        <f t="shared" si="281"/>
        <v>8.2171867201568798E-5</v>
      </c>
      <c r="AC148" s="177">
        <f t="shared" si="282"/>
        <v>1.2514141549591451</v>
      </c>
      <c r="AD148" s="177"/>
      <c r="AE148" s="177">
        <f t="shared" si="283"/>
        <v>6.4712206554230591E-6</v>
      </c>
      <c r="AF148" s="555">
        <f t="shared" si="284"/>
        <v>1713.6592592592601</v>
      </c>
      <c r="AG148" s="538">
        <f t="shared" si="285"/>
        <v>7.7611695137976321E-3</v>
      </c>
      <c r="AI148" s="177">
        <f t="shared" si="286"/>
        <v>0.33190933931393002</v>
      </c>
      <c r="AJ148" s="177">
        <f t="shared" si="287"/>
        <v>0.33190933931393002</v>
      </c>
      <c r="AK148" s="177">
        <f t="shared" si="288"/>
        <v>1.3212728928759534</v>
      </c>
      <c r="AM148" s="555">
        <f t="shared" si="289"/>
        <v>38.000000000000007</v>
      </c>
      <c r="AN148" s="469">
        <f t="shared" si="290"/>
        <v>350</v>
      </c>
      <c r="AP148" s="469">
        <f t="shared" si="291"/>
        <v>38.000000000000007</v>
      </c>
      <c r="AQ148" s="469">
        <f t="shared" si="292"/>
        <v>350</v>
      </c>
      <c r="AS148" s="5">
        <f t="shared" si="263"/>
        <v>2.8571428571428572</v>
      </c>
      <c r="AT148" s="5">
        <f t="shared" si="293"/>
        <v>0.497864008970895</v>
      </c>
      <c r="AU148" s="5">
        <f t="shared" si="230"/>
        <v>2.3592788481719622</v>
      </c>
      <c r="AV148" s="5"/>
      <c r="AW148" s="177">
        <f t="shared" si="231"/>
        <v>0.17425240313981324</v>
      </c>
      <c r="AX148" s="177">
        <f t="shared" si="259"/>
        <v>0.57835999999999999</v>
      </c>
      <c r="AY148" s="177">
        <f t="shared" si="260"/>
        <v>6261.0683999570738</v>
      </c>
      <c r="AZ148" s="177">
        <f t="shared" si="264"/>
        <v>9.2374010800451442E-5</v>
      </c>
      <c r="BA148" s="469">
        <f t="shared" si="294"/>
        <v>3.7498921501997473</v>
      </c>
      <c r="BB148" s="469">
        <f t="shared" si="295"/>
        <v>0.44850991022432096</v>
      </c>
      <c r="BC148" s="5">
        <f t="shared" si="258"/>
        <v>6.2258747382315668E-2</v>
      </c>
      <c r="BD148" s="469">
        <f t="shared" si="296"/>
        <v>7.5660496858778803</v>
      </c>
      <c r="BF148" s="177">
        <f t="shared" si="265"/>
        <v>7.9992309106481099E-2</v>
      </c>
      <c r="BG148" s="177">
        <f t="shared" si="261"/>
        <v>7955.9886960156209</v>
      </c>
      <c r="BI148" s="538">
        <f t="shared" si="236"/>
        <v>2.2395693306653864E-3</v>
      </c>
      <c r="BJ148" s="538">
        <f t="shared" si="237"/>
        <v>403.92089241412941</v>
      </c>
      <c r="BK148" s="538">
        <f t="shared" si="238"/>
        <v>4.3749999999999995E-3</v>
      </c>
      <c r="BL148" s="538">
        <f t="shared" si="239"/>
        <v>8462830.4513776898</v>
      </c>
      <c r="BM148">
        <f t="shared" si="240"/>
        <v>5.7999999999999996E-3</v>
      </c>
      <c r="BN148">
        <f t="shared" si="297"/>
        <v>1.3124999999999999E-5</v>
      </c>
      <c r="BO148" s="538">
        <f t="shared" si="298"/>
        <v>8466732.8435959127</v>
      </c>
      <c r="BP148" s="469">
        <f t="shared" si="243"/>
        <v>8463234384.6846724</v>
      </c>
      <c r="BQ148" s="538">
        <f t="shared" si="299"/>
        <v>48359485.695069037</v>
      </c>
      <c r="BT148" s="469">
        <f t="shared" si="245"/>
        <v>48359485695.069038</v>
      </c>
      <c r="BU148" s="538">
        <f t="shared" si="246"/>
        <v>6.3987695161868202E-4</v>
      </c>
      <c r="BV148" s="538">
        <f t="shared" si="247"/>
        <v>1898932.6839338501</v>
      </c>
      <c r="BW148" s="538">
        <f t="shared" si="248"/>
        <v>0</v>
      </c>
      <c r="BX148" s="538"/>
      <c r="BY148" s="538">
        <f t="shared" si="249"/>
        <v>1.9278666666666668E-3</v>
      </c>
      <c r="BZ148" s="469">
        <f t="shared" si="250"/>
        <v>1898932686.5015938</v>
      </c>
      <c r="CA148" s="177">
        <f t="shared" si="251"/>
        <v>58721652.766255304</v>
      </c>
      <c r="CB148" s="5">
        <f t="shared" si="252"/>
        <v>0.57000000000000006</v>
      </c>
      <c r="CC148" s="177">
        <f t="shared" si="253"/>
        <v>9.7068111610555872E-9</v>
      </c>
      <c r="CD148" s="5">
        <f t="shared" si="254"/>
        <v>9.7068111610555871E-7</v>
      </c>
      <c r="CG148" s="571">
        <f t="shared" si="300"/>
        <v>-50</v>
      </c>
      <c r="CH148">
        <f t="shared" si="301"/>
        <v>-50</v>
      </c>
    </row>
    <row r="149" spans="5:86" x14ac:dyDescent="0.25">
      <c r="E149" s="174">
        <v>39</v>
      </c>
      <c r="F149" s="221">
        <f t="shared" si="302"/>
        <v>3.9000000000000007E-2</v>
      </c>
      <c r="G149" s="221"/>
      <c r="H149" s="221">
        <f t="shared" si="266"/>
        <v>0.58500000000000008</v>
      </c>
      <c r="I149" s="551">
        <f t="shared" si="267"/>
        <v>20</v>
      </c>
      <c r="J149" s="451">
        <f t="shared" si="268"/>
        <v>695386.58000000007</v>
      </c>
      <c r="K149" s="451">
        <f t="shared" si="269"/>
        <v>695406.58000000007</v>
      </c>
      <c r="L149" s="451"/>
      <c r="M149" s="221">
        <f t="shared" si="270"/>
        <v>0.9999712398464794</v>
      </c>
      <c r="N149" s="176">
        <f t="shared" si="271"/>
        <v>6.9298006921361024</v>
      </c>
      <c r="O149" s="176">
        <f t="shared" si="262"/>
        <v>0.58500000000000008</v>
      </c>
      <c r="P149" s="221">
        <f t="shared" si="272"/>
        <v>0.4619867128090735</v>
      </c>
      <c r="Q149" s="221">
        <f t="shared" si="273"/>
        <v>15</v>
      </c>
      <c r="R149" s="221"/>
      <c r="S149" s="176">
        <f t="shared" si="274"/>
        <v>173.07648589051084</v>
      </c>
      <c r="T149" s="176">
        <f t="shared" si="275"/>
        <v>15</v>
      </c>
      <c r="U149" s="221">
        <f t="shared" si="276"/>
        <v>6.5001869463744907E-2</v>
      </c>
      <c r="V149" s="221">
        <f t="shared" si="277"/>
        <v>9.7502804195617382E-2</v>
      </c>
      <c r="W149" s="221">
        <f t="shared" si="278"/>
        <v>2.8042762687659968E-6</v>
      </c>
      <c r="X149" s="201">
        <f t="shared" si="279"/>
        <v>350</v>
      </c>
      <c r="Y149" s="451">
        <f t="shared" si="215"/>
        <v>350</v>
      </c>
      <c r="AA149" s="221">
        <f t="shared" si="280"/>
        <v>1.9047071235171036</v>
      </c>
      <c r="AB149" s="177">
        <f t="shared" si="281"/>
        <v>8.2171867201568798E-5</v>
      </c>
      <c r="AC149" s="177">
        <f t="shared" si="282"/>
        <v>1.2514141549591451</v>
      </c>
      <c r="AD149" s="177"/>
      <c r="AE149" s="177">
        <f t="shared" si="283"/>
        <v>6.4712206554230591E-6</v>
      </c>
      <c r="AF149" s="555">
        <f t="shared" si="284"/>
        <v>1758.7555555555562</v>
      </c>
      <c r="AG149" s="538">
        <f t="shared" si="285"/>
        <v>7.7611695137976321E-3</v>
      </c>
      <c r="AI149" s="177">
        <f t="shared" si="286"/>
        <v>0.33624820764259422</v>
      </c>
      <c r="AJ149" s="177">
        <f t="shared" si="287"/>
        <v>0.33624820764259422</v>
      </c>
      <c r="AK149" s="177">
        <f t="shared" si="288"/>
        <v>1.3241654717617295</v>
      </c>
      <c r="AM149" s="555">
        <f t="shared" si="289"/>
        <v>39.000000000000007</v>
      </c>
      <c r="AN149" s="469">
        <f t="shared" si="290"/>
        <v>350</v>
      </c>
      <c r="AP149" s="469">
        <f t="shared" si="291"/>
        <v>39.000000000000007</v>
      </c>
      <c r="AQ149" s="469">
        <f t="shared" si="292"/>
        <v>350</v>
      </c>
      <c r="AS149" s="5">
        <f t="shared" si="263"/>
        <v>2.8571428571428572</v>
      </c>
      <c r="AT149" s="5">
        <f t="shared" si="293"/>
        <v>0.50437231146389139</v>
      </c>
      <c r="AU149" s="5">
        <f t="shared" si="230"/>
        <v>2.3527705456789656</v>
      </c>
      <c r="AV149" s="5"/>
      <c r="AW149" s="177">
        <f t="shared" si="231"/>
        <v>0.17653030901236197</v>
      </c>
      <c r="AX149" s="177">
        <f t="shared" si="259"/>
        <v>0.59358000000000011</v>
      </c>
      <c r="AY149" s="177">
        <f t="shared" si="260"/>
        <v>6325.4183484912437</v>
      </c>
      <c r="AZ149" s="177">
        <f t="shared" si="264"/>
        <v>9.3840433517189021E-5</v>
      </c>
      <c r="BA149" s="469">
        <f t="shared" si="294"/>
        <v>3.7498921501997473</v>
      </c>
      <c r="BB149" s="469">
        <f t="shared" si="295"/>
        <v>0.4693473500354518</v>
      </c>
      <c r="BC149" s="5">
        <f t="shared" si="258"/>
        <v>6.3720868945471978E-2</v>
      </c>
      <c r="BD149" s="469">
        <f t="shared" si="296"/>
        <v>7.7440042734566408</v>
      </c>
      <c r="BF149" s="177">
        <f t="shared" si="265"/>
        <v>8.156596739091844E-2</v>
      </c>
      <c r="BG149" s="177">
        <f t="shared" si="261"/>
        <v>8048.8681437546657</v>
      </c>
      <c r="BI149" s="538">
        <f t="shared" si="236"/>
        <v>2.3285524627457295E-3</v>
      </c>
      <c r="BJ149" s="538">
        <f t="shared" si="237"/>
        <v>409.20112818876612</v>
      </c>
      <c r="BK149" s="538">
        <f t="shared" si="238"/>
        <v>4.3749999999999995E-3</v>
      </c>
      <c r="BL149" s="538">
        <f t="shared" si="239"/>
        <v>8462830.4513776898</v>
      </c>
      <c r="BM149">
        <f t="shared" si="240"/>
        <v>5.7999999999999996E-3</v>
      </c>
      <c r="BN149">
        <f t="shared" si="297"/>
        <v>1.3124999999999999E-5</v>
      </c>
      <c r="BO149" s="538">
        <f t="shared" si="298"/>
        <v>8466877.1875825245</v>
      </c>
      <c r="BP149" s="469">
        <f t="shared" si="243"/>
        <v>8463239665.0094299</v>
      </c>
      <c r="BQ149" s="538">
        <f t="shared" si="299"/>
        <v>49495188.705372676</v>
      </c>
      <c r="BT149" s="469">
        <f t="shared" si="245"/>
        <v>49495188705.372673</v>
      </c>
      <c r="BU149" s="538">
        <f t="shared" si="246"/>
        <v>6.6530070364163711E-4</v>
      </c>
      <c r="BV149" s="538">
        <f t="shared" si="247"/>
        <v>1943528.3518664604</v>
      </c>
      <c r="BW149" s="538">
        <f t="shared" si="248"/>
        <v>0</v>
      </c>
      <c r="BX149" s="538"/>
      <c r="BY149" s="538">
        <f t="shared" si="249"/>
        <v>1.9786000000000005E-3</v>
      </c>
      <c r="BZ149" s="469">
        <f t="shared" si="250"/>
        <v>1943528354.5103612</v>
      </c>
      <c r="CA149" s="177">
        <f t="shared" si="251"/>
        <v>59901956.724892467</v>
      </c>
      <c r="CB149" s="5">
        <f t="shared" si="252"/>
        <v>0.58500000000000008</v>
      </c>
      <c r="CC149" s="177">
        <f t="shared" si="253"/>
        <v>9.7659580132516082E-9</v>
      </c>
      <c r="CD149" s="5">
        <f t="shared" si="254"/>
        <v>9.7659580132516071E-7</v>
      </c>
      <c r="CG149" s="571">
        <f t="shared" si="300"/>
        <v>-50</v>
      </c>
      <c r="CH149">
        <f t="shared" si="301"/>
        <v>-50</v>
      </c>
    </row>
    <row r="150" spans="5:86" x14ac:dyDescent="0.25">
      <c r="E150" s="174">
        <v>40</v>
      </c>
      <c r="F150" s="221">
        <f t="shared" si="302"/>
        <v>4.0000000000000008E-2</v>
      </c>
      <c r="G150" s="221"/>
      <c r="H150" s="221">
        <f t="shared" si="266"/>
        <v>0.60000000000000009</v>
      </c>
      <c r="I150" s="551">
        <f t="shared" si="267"/>
        <v>20</v>
      </c>
      <c r="J150" s="451">
        <f t="shared" si="268"/>
        <v>695386.58000000007</v>
      </c>
      <c r="K150" s="451">
        <f t="shared" si="269"/>
        <v>695406.58000000007</v>
      </c>
      <c r="L150" s="451"/>
      <c r="M150" s="221">
        <f t="shared" si="270"/>
        <v>0.9999712398464794</v>
      </c>
      <c r="N150" s="176">
        <f t="shared" si="271"/>
        <v>6.9298006921361024</v>
      </c>
      <c r="O150" s="176">
        <f t="shared" si="262"/>
        <v>0.60000000000000009</v>
      </c>
      <c r="P150" s="221">
        <f t="shared" si="272"/>
        <v>0.4619867128090735</v>
      </c>
      <c r="Q150" s="221">
        <f t="shared" si="273"/>
        <v>15</v>
      </c>
      <c r="R150" s="221"/>
      <c r="S150" s="176">
        <f t="shared" si="274"/>
        <v>168.74956282781829</v>
      </c>
      <c r="T150" s="176">
        <f t="shared" si="275"/>
        <v>15</v>
      </c>
      <c r="U150" s="221">
        <f t="shared" si="276"/>
        <v>6.6668584065379399E-2</v>
      </c>
      <c r="V150" s="221">
        <f t="shared" si="277"/>
        <v>0.1000028760980691</v>
      </c>
      <c r="W150" s="221">
        <f t="shared" si="278"/>
        <v>2.8761807884779454E-6</v>
      </c>
      <c r="X150" s="201">
        <f t="shared" si="279"/>
        <v>350</v>
      </c>
      <c r="Y150" s="451">
        <f t="shared" si="215"/>
        <v>350</v>
      </c>
      <c r="AA150" s="221">
        <f t="shared" si="280"/>
        <v>1.9047071235171036</v>
      </c>
      <c r="AB150" s="177">
        <f t="shared" si="281"/>
        <v>8.2171867201568798E-5</v>
      </c>
      <c r="AC150" s="177">
        <f t="shared" si="282"/>
        <v>1.2514141549591451</v>
      </c>
      <c r="AD150" s="177"/>
      <c r="AE150" s="177">
        <f t="shared" si="283"/>
        <v>6.4712206554230591E-6</v>
      </c>
      <c r="AF150" s="555">
        <f t="shared" si="284"/>
        <v>1803.8518518518526</v>
      </c>
      <c r="AG150" s="538">
        <f t="shared" si="285"/>
        <v>7.7611695137976321E-3</v>
      </c>
      <c r="AI150" s="177">
        <f t="shared" si="286"/>
        <v>0.34053179699097819</v>
      </c>
      <c r="AJ150" s="177">
        <f t="shared" si="287"/>
        <v>0.34053179699097819</v>
      </c>
      <c r="AK150" s="177">
        <f t="shared" si="288"/>
        <v>1.3270211979939854</v>
      </c>
      <c r="AM150" s="555">
        <f t="shared" si="289"/>
        <v>40.000000000000007</v>
      </c>
      <c r="AN150" s="469">
        <f t="shared" si="290"/>
        <v>350</v>
      </c>
      <c r="AP150" s="469">
        <f t="shared" si="291"/>
        <v>40.000000000000007</v>
      </c>
      <c r="AQ150" s="469">
        <f t="shared" si="292"/>
        <v>350</v>
      </c>
      <c r="AS150" s="5">
        <f t="shared" si="263"/>
        <v>2.8571428571428572</v>
      </c>
      <c r="AT150" s="5">
        <f t="shared" si="293"/>
        <v>0.51079769548646725</v>
      </c>
      <c r="AU150" s="5">
        <f t="shared" si="230"/>
        <v>2.34634516165639</v>
      </c>
      <c r="AV150" s="5"/>
      <c r="AW150" s="177">
        <f t="shared" si="231"/>
        <v>0.17877919342026352</v>
      </c>
      <c r="AX150" s="177">
        <f t="shared" si="259"/>
        <v>0.60880000000000012</v>
      </c>
      <c r="AY150" s="177">
        <f t="shared" si="260"/>
        <v>6388.5054763604012</v>
      </c>
      <c r="AZ150" s="177">
        <f t="shared" si="264"/>
        <v>9.5296153733101258E-5</v>
      </c>
      <c r="BA150" s="469">
        <f t="shared" si="294"/>
        <v>3.7498921501997473</v>
      </c>
      <c r="BB150" s="469">
        <f t="shared" si="295"/>
        <v>0.4906480999715469</v>
      </c>
      <c r="BC150" s="5">
        <f t="shared" si="258"/>
        <v>6.5176254490455277E-2</v>
      </c>
      <c r="BD150" s="469">
        <f t="shared" si="296"/>
        <v>7.9211505388546346</v>
      </c>
      <c r="BF150" s="177">
        <f t="shared" si="265"/>
        <v>8.3129569149231836E-2</v>
      </c>
      <c r="BG150" s="177">
        <f t="shared" si="261"/>
        <v>8140.2673314432695</v>
      </c>
      <c r="BI150" s="538">
        <f t="shared" si="236"/>
        <v>2.4186838434279209E-3</v>
      </c>
      <c r="BJ150" s="538">
        <f t="shared" si="237"/>
        <v>414.41409157181329</v>
      </c>
      <c r="BK150" s="538">
        <f t="shared" si="238"/>
        <v>4.3749999999999995E-3</v>
      </c>
      <c r="BL150" s="538">
        <f t="shared" si="239"/>
        <v>8462830.4513776898</v>
      </c>
      <c r="BM150">
        <f t="shared" si="240"/>
        <v>5.7999999999999996E-3</v>
      </c>
      <c r="BN150">
        <f t="shared" si="297"/>
        <v>1.3124999999999999E-5</v>
      </c>
      <c r="BO150" s="538">
        <f t="shared" si="298"/>
        <v>8467023.2635647655</v>
      </c>
      <c r="BP150" s="469">
        <f t="shared" si="243"/>
        <v>8463244878.0629444</v>
      </c>
      <c r="BQ150" s="538">
        <f t="shared" si="299"/>
        <v>50625659.51316496</v>
      </c>
      <c r="BT150" s="469">
        <f t="shared" si="245"/>
        <v>50625659513.164963</v>
      </c>
      <c r="BU150" s="538">
        <f t="shared" si="246"/>
        <v>6.9105252669369186E-4</v>
      </c>
      <c r="BV150" s="538">
        <f t="shared" si="247"/>
        <v>1987918.5668208757</v>
      </c>
      <c r="BW150" s="538">
        <f t="shared" si="248"/>
        <v>0</v>
      </c>
      <c r="BX150" s="538"/>
      <c r="BY150" s="538">
        <f t="shared" si="249"/>
        <v>2.0293333333333339E-3</v>
      </c>
      <c r="BZ150" s="469">
        <f t="shared" si="250"/>
        <v>1987918569.5412614</v>
      </c>
      <c r="CA150" s="177">
        <f t="shared" si="251"/>
        <v>61076822.960769169</v>
      </c>
      <c r="CB150" s="5">
        <f t="shared" si="252"/>
        <v>0.60000000000000009</v>
      </c>
      <c r="CC150" s="177">
        <f t="shared" si="253"/>
        <v>9.8236935881746102E-9</v>
      </c>
      <c r="CD150" s="5">
        <f t="shared" si="254"/>
        <v>9.8236935881746104E-7</v>
      </c>
      <c r="CG150" s="571">
        <f t="shared" si="300"/>
        <v>-50</v>
      </c>
      <c r="CH150">
        <f t="shared" si="301"/>
        <v>-50</v>
      </c>
    </row>
    <row r="151" spans="5:86" x14ac:dyDescent="0.25">
      <c r="E151" s="174">
        <v>41</v>
      </c>
      <c r="F151" s="221">
        <f t="shared" si="302"/>
        <v>4.1000000000000002E-2</v>
      </c>
      <c r="G151" s="221"/>
      <c r="H151" s="221">
        <f t="shared" si="266"/>
        <v>0.61499999999999999</v>
      </c>
      <c r="I151" s="551">
        <f t="shared" si="267"/>
        <v>20</v>
      </c>
      <c r="J151" s="451">
        <f t="shared" si="268"/>
        <v>695386.58000000007</v>
      </c>
      <c r="K151" s="451">
        <f t="shared" si="269"/>
        <v>695406.58000000007</v>
      </c>
      <c r="L151" s="451"/>
      <c r="M151" s="221">
        <f t="shared" si="270"/>
        <v>0.9999712398464794</v>
      </c>
      <c r="N151" s="176">
        <f t="shared" si="271"/>
        <v>6.9298006921361024</v>
      </c>
      <c r="O151" s="176">
        <f t="shared" si="262"/>
        <v>0.61499999999999999</v>
      </c>
      <c r="P151" s="221">
        <f t="shared" si="272"/>
        <v>0.4619867128090735</v>
      </c>
      <c r="Q151" s="221">
        <f t="shared" si="273"/>
        <v>15</v>
      </c>
      <c r="R151" s="221"/>
      <c r="S151" s="176">
        <f t="shared" si="274"/>
        <v>164.6337091835114</v>
      </c>
      <c r="T151" s="176">
        <f t="shared" si="275"/>
        <v>15</v>
      </c>
      <c r="U151" s="221">
        <f t="shared" si="276"/>
        <v>6.8335298667013863E-2</v>
      </c>
      <c r="V151" s="221">
        <f t="shared" si="277"/>
        <v>0.10250294800052079</v>
      </c>
      <c r="W151" s="221">
        <f t="shared" si="278"/>
        <v>2.9480853081898928E-6</v>
      </c>
      <c r="X151" s="201">
        <f t="shared" si="279"/>
        <v>350</v>
      </c>
      <c r="Y151" s="451">
        <f t="shared" si="215"/>
        <v>350</v>
      </c>
      <c r="AA151" s="221">
        <f t="shared" si="280"/>
        <v>1.9047071235171036</v>
      </c>
      <c r="AB151" s="177">
        <f t="shared" si="281"/>
        <v>8.2171867201568798E-5</v>
      </c>
      <c r="AC151" s="177">
        <f t="shared" si="282"/>
        <v>1.2514141549591451</v>
      </c>
      <c r="AD151" s="177"/>
      <c r="AE151" s="177">
        <f t="shared" si="283"/>
        <v>6.4712206554230591E-6</v>
      </c>
      <c r="AF151" s="555">
        <f t="shared" si="284"/>
        <v>1848.9481481481487</v>
      </c>
      <c r="AG151" s="538">
        <f t="shared" si="285"/>
        <v>7.7611695137976321E-3</v>
      </c>
      <c r="AI151" s="177">
        <f t="shared" si="286"/>
        <v>0.34476216785046526</v>
      </c>
      <c r="AJ151" s="177">
        <f t="shared" si="287"/>
        <v>0.34476216785046526</v>
      </c>
      <c r="AK151" s="177">
        <f t="shared" si="288"/>
        <v>1.3298414452336436</v>
      </c>
      <c r="AM151" s="555">
        <f t="shared" si="289"/>
        <v>41</v>
      </c>
      <c r="AN151" s="469">
        <f t="shared" si="290"/>
        <v>350</v>
      </c>
      <c r="AP151" s="469">
        <f t="shared" si="291"/>
        <v>41</v>
      </c>
      <c r="AQ151" s="469">
        <f t="shared" si="292"/>
        <v>350</v>
      </c>
      <c r="AS151" s="5">
        <f t="shared" si="263"/>
        <v>2.8571428571428572</v>
      </c>
      <c r="AT151" s="5">
        <f t="shared" si="293"/>
        <v>0.51714325177569798</v>
      </c>
      <c r="AU151" s="5">
        <f t="shared" si="230"/>
        <v>2.3399996053671592</v>
      </c>
      <c r="AV151" s="5"/>
      <c r="AW151" s="177">
        <f t="shared" si="231"/>
        <v>0.18100013812149429</v>
      </c>
      <c r="AX151" s="177">
        <f t="shared" si="259"/>
        <v>0.62402000000000013</v>
      </c>
      <c r="AY151" s="177">
        <f t="shared" si="260"/>
        <v>6450.3768544599534</v>
      </c>
      <c r="AZ151" s="177">
        <f t="shared" si="264"/>
        <v>9.6741634493577986E-5</v>
      </c>
      <c r="BA151" s="469">
        <f t="shared" si="294"/>
        <v>3.7498921501997473</v>
      </c>
      <c r="BB151" s="469">
        <f t="shared" si="295"/>
        <v>0.51241216003260637</v>
      </c>
      <c r="BC151" s="5">
        <f t="shared" si="258"/>
        <v>6.6624988763926044E-2</v>
      </c>
      <c r="BD151" s="469">
        <f t="shared" si="296"/>
        <v>8.0974986516711258</v>
      </c>
      <c r="BF151" s="177">
        <f t="shared" si="265"/>
        <v>8.4683427733736147E-2</v>
      </c>
      <c r="BG151" s="177">
        <f t="shared" si="261"/>
        <v>8230.240809814135</v>
      </c>
      <c r="BI151" s="538">
        <f t="shared" si="236"/>
        <v>2.5099490264572193E-3</v>
      </c>
      <c r="BJ151" s="538">
        <f t="shared" si="237"/>
        <v>419.5622901019866</v>
      </c>
      <c r="BK151" s="538">
        <f t="shared" si="238"/>
        <v>4.3749999999999995E-3</v>
      </c>
      <c r="BL151" s="538">
        <f t="shared" si="239"/>
        <v>8462830.4513776898</v>
      </c>
      <c r="BM151">
        <f t="shared" si="240"/>
        <v>5.7999999999999996E-3</v>
      </c>
      <c r="BN151">
        <f t="shared" si="297"/>
        <v>1.3124999999999999E-5</v>
      </c>
      <c r="BO151" s="538">
        <f t="shared" si="298"/>
        <v>8467171.0516523588</v>
      </c>
      <c r="BP151" s="469">
        <f t="shared" si="243"/>
        <v>8463250026.3527412</v>
      </c>
      <c r="BQ151" s="538">
        <f t="shared" si="299"/>
        <v>51750963.945419431</v>
      </c>
      <c r="BT151" s="469">
        <f t="shared" si="245"/>
        <v>51750963945.419434</v>
      </c>
      <c r="BU151" s="538">
        <f t="shared" si="246"/>
        <v>7.1712829327349125E-4</v>
      </c>
      <c r="BV151" s="538">
        <f t="shared" si="247"/>
        <v>2032105.9136259009</v>
      </c>
      <c r="BW151" s="538">
        <f t="shared" si="248"/>
        <v>0</v>
      </c>
      <c r="BX151" s="538"/>
      <c r="BY151" s="538">
        <f t="shared" si="249"/>
        <v>2.080066666666667E-3</v>
      </c>
      <c r="BZ151" s="469">
        <f t="shared" si="250"/>
        <v>2032105916.4230959</v>
      </c>
      <c r="CA151" s="177">
        <f t="shared" si="251"/>
        <v>62246319.888195269</v>
      </c>
      <c r="CB151" s="5">
        <f t="shared" si="252"/>
        <v>0.61499999999999999</v>
      </c>
      <c r="CC151" s="177">
        <f t="shared" si="253"/>
        <v>9.8801020691404631E-9</v>
      </c>
      <c r="CD151" s="5">
        <f t="shared" si="254"/>
        <v>9.8801020691404625E-7</v>
      </c>
      <c r="CG151" s="571">
        <f t="shared" si="300"/>
        <v>-50</v>
      </c>
      <c r="CH151">
        <f t="shared" si="301"/>
        <v>-50</v>
      </c>
    </row>
    <row r="152" spans="5:86" x14ac:dyDescent="0.25">
      <c r="E152" s="174">
        <v>42</v>
      </c>
      <c r="F152" s="221">
        <f t="shared" si="302"/>
        <v>4.2000000000000003E-2</v>
      </c>
      <c r="G152" s="221"/>
      <c r="H152" s="221">
        <f t="shared" si="266"/>
        <v>0.63</v>
      </c>
      <c r="I152" s="551">
        <f t="shared" si="267"/>
        <v>20</v>
      </c>
      <c r="J152" s="451">
        <f t="shared" si="268"/>
        <v>695386.58000000007</v>
      </c>
      <c r="K152" s="451">
        <f t="shared" si="269"/>
        <v>695406.58000000007</v>
      </c>
      <c r="L152" s="451"/>
      <c r="M152" s="221">
        <f t="shared" si="270"/>
        <v>0.9999712398464794</v>
      </c>
      <c r="N152" s="176">
        <f t="shared" si="271"/>
        <v>6.9298006921361024</v>
      </c>
      <c r="O152" s="176">
        <f t="shared" si="262"/>
        <v>0.63</v>
      </c>
      <c r="P152" s="221">
        <f t="shared" si="272"/>
        <v>0.4619867128090735</v>
      </c>
      <c r="Q152" s="221">
        <f t="shared" si="273"/>
        <v>15</v>
      </c>
      <c r="R152" s="221"/>
      <c r="S152" s="176">
        <f t="shared" si="274"/>
        <v>160.71384857056239</v>
      </c>
      <c r="T152" s="176">
        <f t="shared" si="275"/>
        <v>15</v>
      </c>
      <c r="U152" s="221">
        <f t="shared" si="276"/>
        <v>7.0002013268648355E-2</v>
      </c>
      <c r="V152" s="221">
        <f t="shared" si="277"/>
        <v>0.10500301990297255</v>
      </c>
      <c r="W152" s="221">
        <f t="shared" si="278"/>
        <v>3.0199898279018423E-6</v>
      </c>
      <c r="X152" s="201">
        <f t="shared" si="279"/>
        <v>350</v>
      </c>
      <c r="Y152" s="451">
        <f t="shared" si="215"/>
        <v>350</v>
      </c>
      <c r="AA152" s="221">
        <f t="shared" si="280"/>
        <v>1.9047071235171036</v>
      </c>
      <c r="AB152" s="177">
        <f t="shared" si="281"/>
        <v>8.2171867201568798E-5</v>
      </c>
      <c r="AC152" s="177">
        <f t="shared" si="282"/>
        <v>1.2514141549591451</v>
      </c>
      <c r="AD152" s="177"/>
      <c r="AE152" s="177">
        <f t="shared" si="283"/>
        <v>6.4712206554230591E-6</v>
      </c>
      <c r="AF152" s="555">
        <f t="shared" si="284"/>
        <v>1894.0444444444449</v>
      </c>
      <c r="AG152" s="538">
        <f t="shared" si="285"/>
        <v>7.7611695137976321E-3</v>
      </c>
      <c r="AI152" s="177">
        <f t="shared" si="286"/>
        <v>0.34894125580103025</v>
      </c>
      <c r="AJ152" s="177">
        <f t="shared" si="287"/>
        <v>0.34894125580103025</v>
      </c>
      <c r="AK152" s="177">
        <f t="shared" si="288"/>
        <v>1.3326275038673534</v>
      </c>
      <c r="AM152" s="555">
        <f t="shared" si="289"/>
        <v>42</v>
      </c>
      <c r="AN152" s="469">
        <f t="shared" si="290"/>
        <v>350</v>
      </c>
      <c r="AP152" s="469">
        <f t="shared" si="291"/>
        <v>42</v>
      </c>
      <c r="AQ152" s="469">
        <f t="shared" si="292"/>
        <v>350</v>
      </c>
      <c r="AS152" s="5">
        <f t="shared" si="263"/>
        <v>2.8571428571428572</v>
      </c>
      <c r="AT152" s="5">
        <f t="shared" si="293"/>
        <v>0.52341188370154546</v>
      </c>
      <c r="AU152" s="5">
        <f t="shared" si="230"/>
        <v>2.3337309734413116</v>
      </c>
      <c r="AV152" s="5"/>
      <c r="AW152" s="177">
        <f t="shared" si="231"/>
        <v>0.18319415929554089</v>
      </c>
      <c r="AX152" s="177">
        <f t="shared" si="259"/>
        <v>0.63924000000000014</v>
      </c>
      <c r="AY152" s="177">
        <f t="shared" si="260"/>
        <v>6511.0767001466356</v>
      </c>
      <c r="AZ152" s="177">
        <f t="shared" si="264"/>
        <v>9.8177310672074226E-5</v>
      </c>
      <c r="BA152" s="469">
        <f t="shared" si="294"/>
        <v>3.7498921501997473</v>
      </c>
      <c r="BB152" s="469">
        <f t="shared" si="295"/>
        <v>0.53463953021863031</v>
      </c>
      <c r="BC152" s="5">
        <f t="shared" si="258"/>
        <v>6.806715339203824E-2</v>
      </c>
      <c r="BD152" s="469">
        <f t="shared" si="296"/>
        <v>8.2730584070445889</v>
      </c>
      <c r="BF152" s="177">
        <f t="shared" si="265"/>
        <v>8.6227839347906399E-2</v>
      </c>
      <c r="BG152" s="177">
        <f t="shared" si="261"/>
        <v>8318.8398268284982</v>
      </c>
      <c r="BI152" s="538">
        <f t="shared" si="236"/>
        <v>2.6023340975129244E-3</v>
      </c>
      <c r="BJ152" s="538">
        <f t="shared" si="237"/>
        <v>424.64807930562438</v>
      </c>
      <c r="BK152" s="538">
        <f t="shared" si="238"/>
        <v>4.3749999999999995E-3</v>
      </c>
      <c r="BL152" s="538">
        <f t="shared" si="239"/>
        <v>8462830.4513776898</v>
      </c>
      <c r="BM152">
        <f t="shared" si="240"/>
        <v>5.7999999999999996E-3</v>
      </c>
      <c r="BN152">
        <f t="shared" si="297"/>
        <v>1.3124999999999999E-5</v>
      </c>
      <c r="BO152" s="538">
        <f t="shared" si="298"/>
        <v>8467320.5326335784</v>
      </c>
      <c r="BP152" s="469">
        <f t="shared" si="243"/>
        <v>8463255112.2343302</v>
      </c>
      <c r="BQ152" s="538">
        <f t="shared" si="299"/>
        <v>52871165.405255981</v>
      </c>
      <c r="BT152" s="469">
        <f t="shared" si="245"/>
        <v>52871165405.255981</v>
      </c>
      <c r="BU152" s="538">
        <f t="shared" si="246"/>
        <v>7.4352402786083556E-4</v>
      </c>
      <c r="BV152" s="538">
        <f t="shared" si="247"/>
        <v>2076092.88193284</v>
      </c>
      <c r="BW152" s="538">
        <f t="shared" si="248"/>
        <v>0</v>
      </c>
      <c r="BX152" s="538"/>
      <c r="BY152" s="538">
        <f t="shared" si="249"/>
        <v>2.1308000000000004E-3</v>
      </c>
      <c r="BZ152" s="469">
        <f t="shared" si="250"/>
        <v>2076092884.807164</v>
      </c>
      <c r="CA152" s="177">
        <f t="shared" si="251"/>
        <v>63410513.402297474</v>
      </c>
      <c r="CB152" s="5">
        <f t="shared" si="252"/>
        <v>0.63</v>
      </c>
      <c r="CC152" s="177">
        <f t="shared" si="253"/>
        <v>9.9352608887402518E-9</v>
      </c>
      <c r="CD152" s="5">
        <f t="shared" si="254"/>
        <v>9.9352608887402521E-7</v>
      </c>
      <c r="CG152" s="571">
        <f t="shared" si="300"/>
        <v>-50</v>
      </c>
      <c r="CH152">
        <f t="shared" si="301"/>
        <v>-50</v>
      </c>
    </row>
    <row r="153" spans="5:86" x14ac:dyDescent="0.25">
      <c r="E153" s="174">
        <v>43</v>
      </c>
      <c r="F153" s="221">
        <f t="shared" si="302"/>
        <v>4.3000000000000003E-2</v>
      </c>
      <c r="G153" s="221"/>
      <c r="H153" s="221">
        <f t="shared" si="266"/>
        <v>0.64500000000000002</v>
      </c>
      <c r="I153" s="551">
        <f t="shared" si="267"/>
        <v>20</v>
      </c>
      <c r="J153" s="451">
        <f t="shared" si="268"/>
        <v>695386.58000000007</v>
      </c>
      <c r="K153" s="451">
        <f t="shared" si="269"/>
        <v>695406.58000000007</v>
      </c>
      <c r="L153" s="451"/>
      <c r="M153" s="221">
        <f t="shared" si="270"/>
        <v>0.9999712398464794</v>
      </c>
      <c r="N153" s="176">
        <f t="shared" si="271"/>
        <v>6.9298006921361024</v>
      </c>
      <c r="O153" s="176">
        <f t="shared" si="262"/>
        <v>0.64500000000000002</v>
      </c>
      <c r="P153" s="221">
        <f t="shared" si="272"/>
        <v>0.4619867128090735</v>
      </c>
      <c r="Q153" s="221">
        <f t="shared" si="273"/>
        <v>15</v>
      </c>
      <c r="R153" s="221"/>
      <c r="S153" s="176">
        <f t="shared" si="274"/>
        <v>156.97630705655101</v>
      </c>
      <c r="T153" s="176">
        <f t="shared" si="275"/>
        <v>15</v>
      </c>
      <c r="U153" s="221">
        <f t="shared" si="276"/>
        <v>7.1668727870282833E-2</v>
      </c>
      <c r="V153" s="221">
        <f t="shared" si="277"/>
        <v>0.10750309180542425</v>
      </c>
      <c r="W153" s="221">
        <f t="shared" si="278"/>
        <v>3.0918943476137905E-6</v>
      </c>
      <c r="X153" s="201">
        <f t="shared" si="279"/>
        <v>350</v>
      </c>
      <c r="Y153" s="451">
        <f t="shared" si="215"/>
        <v>350</v>
      </c>
      <c r="AA153" s="221">
        <f t="shared" si="280"/>
        <v>1.9047071235171036</v>
      </c>
      <c r="AB153" s="177">
        <f t="shared" si="281"/>
        <v>8.2171867201568798E-5</v>
      </c>
      <c r="AC153" s="177">
        <f t="shared" si="282"/>
        <v>1.2514141549591451</v>
      </c>
      <c r="AD153" s="177"/>
      <c r="AE153" s="177">
        <f t="shared" si="283"/>
        <v>6.4712206554230591E-6</v>
      </c>
      <c r="AF153" s="555">
        <f t="shared" si="284"/>
        <v>1939.1407407407414</v>
      </c>
      <c r="AG153" s="538">
        <f t="shared" si="285"/>
        <v>7.7611695137976321E-3</v>
      </c>
      <c r="AI153" s="177">
        <f t="shared" si="286"/>
        <v>0.35307088186233598</v>
      </c>
      <c r="AJ153" s="177">
        <f t="shared" si="287"/>
        <v>0.35307088186233598</v>
      </c>
      <c r="AK153" s="177">
        <f t="shared" si="288"/>
        <v>1.3353805879082239</v>
      </c>
      <c r="AM153" s="555">
        <f t="shared" si="289"/>
        <v>43</v>
      </c>
      <c r="AN153" s="469">
        <f t="shared" si="290"/>
        <v>350</v>
      </c>
      <c r="AP153" s="469">
        <f t="shared" si="291"/>
        <v>43</v>
      </c>
      <c r="AQ153" s="469">
        <f t="shared" si="292"/>
        <v>350</v>
      </c>
      <c r="AS153" s="5">
        <f t="shared" si="263"/>
        <v>2.8571428571428572</v>
      </c>
      <c r="AT153" s="5">
        <f t="shared" si="293"/>
        <v>0.52960632279350395</v>
      </c>
      <c r="AU153" s="5">
        <f t="shared" si="230"/>
        <v>2.3275365343493535</v>
      </c>
      <c r="AV153" s="5"/>
      <c r="AW153" s="177">
        <f t="shared" si="231"/>
        <v>0.18536221297772637</v>
      </c>
      <c r="AX153" s="177">
        <f t="shared" si="259"/>
        <v>0.65446000000000004</v>
      </c>
      <c r="AY153" s="177">
        <f t="shared" si="260"/>
        <v>6570.6466137041343</v>
      </c>
      <c r="AZ153" s="177">
        <f t="shared" si="264"/>
        <v>9.9603591317027923E-5</v>
      </c>
      <c r="BA153" s="469">
        <f t="shared" si="294"/>
        <v>3.7498921501997473</v>
      </c>
      <c r="BB153" s="469">
        <f t="shared" si="295"/>
        <v>0.55733021052961873</v>
      </c>
      <c r="BC153" s="5">
        <f t="shared" si="258"/>
        <v>6.9502827067376524E-2</v>
      </c>
      <c r="BD153" s="469">
        <f t="shared" si="296"/>
        <v>8.4478392480851827</v>
      </c>
      <c r="BF153" s="177">
        <f t="shared" si="265"/>
        <v>8.7763084369914965E-2</v>
      </c>
      <c r="BG153" s="177">
        <f t="shared" si="261"/>
        <v>8406.1126011912729</v>
      </c>
      <c r="BI153" s="538">
        <f t="shared" si="236"/>
        <v>2.6958256423422842E-3</v>
      </c>
      <c r="BJ153" s="538">
        <f t="shared" si="237"/>
        <v>429.67367529357443</v>
      </c>
      <c r="BK153" s="538">
        <f t="shared" si="238"/>
        <v>4.3749999999999995E-3</v>
      </c>
      <c r="BL153" s="538">
        <f t="shared" si="239"/>
        <v>8462830.4513776898</v>
      </c>
      <c r="BM153">
        <f t="shared" si="240"/>
        <v>5.7999999999999996E-3</v>
      </c>
      <c r="BN153">
        <f t="shared" si="297"/>
        <v>1.3124999999999999E-5</v>
      </c>
      <c r="BO153" s="538">
        <f t="shared" si="298"/>
        <v>8467471.6879381146</v>
      </c>
      <c r="BP153" s="469">
        <f t="shared" si="243"/>
        <v>8463260137.9238091</v>
      </c>
      <c r="BQ153" s="538">
        <f t="shared" si="299"/>
        <v>53986325.017144218</v>
      </c>
      <c r="BT153" s="469">
        <f t="shared" si="245"/>
        <v>53986325017.144218</v>
      </c>
      <c r="BU153" s="538">
        <f t="shared" si="246"/>
        <v>7.7023589781208127E-4</v>
      </c>
      <c r="BV153" s="538">
        <f t="shared" si="247"/>
        <v>2119881.8719172012</v>
      </c>
      <c r="BW153" s="538">
        <f t="shared" si="248"/>
        <v>0</v>
      </c>
      <c r="BX153" s="538"/>
      <c r="BY153" s="538">
        <f t="shared" si="249"/>
        <v>2.1815333333333334E-3</v>
      </c>
      <c r="BZ153" s="469">
        <f t="shared" si="250"/>
        <v>2119881874.8689704</v>
      </c>
      <c r="CA153" s="177">
        <f t="shared" si="251"/>
        <v>64569467.029936992</v>
      </c>
      <c r="CB153" s="5">
        <f t="shared" si="252"/>
        <v>0.64500000000000002</v>
      </c>
      <c r="CC153" s="177">
        <f t="shared" si="253"/>
        <v>9.9892414050419754E-9</v>
      </c>
      <c r="CD153" s="5">
        <f t="shared" si="254"/>
        <v>9.9892414050419762E-7</v>
      </c>
      <c r="CG153" s="571">
        <f t="shared" si="300"/>
        <v>-50</v>
      </c>
      <c r="CH153">
        <f t="shared" si="301"/>
        <v>-50</v>
      </c>
    </row>
    <row r="154" spans="5:86" x14ac:dyDescent="0.25">
      <c r="E154" s="174">
        <v>44</v>
      </c>
      <c r="F154" s="221">
        <f t="shared" si="302"/>
        <v>4.4000000000000004E-2</v>
      </c>
      <c r="G154" s="221"/>
      <c r="H154" s="221">
        <f t="shared" si="266"/>
        <v>0.66</v>
      </c>
      <c r="I154" s="551">
        <f t="shared" si="267"/>
        <v>20</v>
      </c>
      <c r="J154" s="451">
        <f t="shared" si="268"/>
        <v>695386.58000000007</v>
      </c>
      <c r="K154" s="451">
        <f t="shared" si="269"/>
        <v>695406.58000000007</v>
      </c>
      <c r="L154" s="451"/>
      <c r="M154" s="221">
        <f t="shared" si="270"/>
        <v>0.9999712398464794</v>
      </c>
      <c r="N154" s="176">
        <f t="shared" si="271"/>
        <v>6.9298006921361024</v>
      </c>
      <c r="O154" s="176">
        <f t="shared" si="262"/>
        <v>0.66</v>
      </c>
      <c r="P154" s="221">
        <f t="shared" si="272"/>
        <v>0.4619867128090735</v>
      </c>
      <c r="Q154" s="221">
        <f t="shared" si="273"/>
        <v>15</v>
      </c>
      <c r="R154" s="221"/>
      <c r="S154" s="176">
        <f t="shared" si="274"/>
        <v>153.40865379382225</v>
      </c>
      <c r="T154" s="176">
        <f t="shared" si="275"/>
        <v>15</v>
      </c>
      <c r="U154" s="221">
        <f t="shared" si="276"/>
        <v>7.3335442471917325E-2</v>
      </c>
      <c r="V154" s="221">
        <f t="shared" si="277"/>
        <v>0.11000316370787598</v>
      </c>
      <c r="W154" s="221">
        <f t="shared" si="278"/>
        <v>3.1637988673257391E-6</v>
      </c>
      <c r="X154" s="201">
        <f t="shared" si="279"/>
        <v>350</v>
      </c>
      <c r="Y154" s="451">
        <f t="shared" si="215"/>
        <v>350</v>
      </c>
      <c r="AA154" s="221">
        <f t="shared" si="280"/>
        <v>1.9047071235171036</v>
      </c>
      <c r="AB154" s="177">
        <f t="shared" si="281"/>
        <v>8.2171867201568798E-5</v>
      </c>
      <c r="AC154" s="177">
        <f t="shared" si="282"/>
        <v>1.2514141549591451</v>
      </c>
      <c r="AD154" s="177"/>
      <c r="AE154" s="177">
        <f t="shared" si="283"/>
        <v>6.4712206554230591E-6</v>
      </c>
      <c r="AF154" s="555">
        <f t="shared" si="284"/>
        <v>1984.2370370370377</v>
      </c>
      <c r="AG154" s="538">
        <f t="shared" si="285"/>
        <v>7.7611695137976321E-3</v>
      </c>
      <c r="AI154" s="177">
        <f t="shared" si="286"/>
        <v>0.35715276176741967</v>
      </c>
      <c r="AJ154" s="177">
        <f t="shared" si="287"/>
        <v>0.35715276176741967</v>
      </c>
      <c r="AK154" s="177">
        <f t="shared" si="288"/>
        <v>1.3381018411782797</v>
      </c>
      <c r="AM154" s="555">
        <f t="shared" si="289"/>
        <v>44.000000000000007</v>
      </c>
      <c r="AN154" s="469">
        <f t="shared" si="290"/>
        <v>350</v>
      </c>
      <c r="AP154" s="469">
        <f t="shared" si="291"/>
        <v>44.000000000000007</v>
      </c>
      <c r="AQ154" s="469">
        <f t="shared" si="292"/>
        <v>350</v>
      </c>
      <c r="AS154" s="5">
        <f t="shared" si="263"/>
        <v>2.8571428571428572</v>
      </c>
      <c r="AT154" s="5">
        <f t="shared" si="293"/>
        <v>0.53572914265112948</v>
      </c>
      <c r="AU154" s="5">
        <f t="shared" si="230"/>
        <v>2.3214137144917277</v>
      </c>
      <c r="AV154" s="5"/>
      <c r="AW154" s="177">
        <f t="shared" si="231"/>
        <v>0.1875051999278953</v>
      </c>
      <c r="AX154" s="177">
        <f t="shared" si="259"/>
        <v>0.66967999999999983</v>
      </c>
      <c r="AY154" s="177">
        <f t="shared" si="260"/>
        <v>6629.1257901958188</v>
      </c>
      <c r="AZ154" s="177">
        <f t="shared" si="264"/>
        <v>1.0102086175381175E-4</v>
      </c>
      <c r="BA154" s="469">
        <f t="shared" si="294"/>
        <v>3.7498921501997473</v>
      </c>
      <c r="BB154" s="469">
        <f t="shared" si="295"/>
        <v>0.58048420096557174</v>
      </c>
      <c r="BC154" s="5">
        <f t="shared" si="258"/>
        <v>7.0932085720580559E-2</v>
      </c>
      <c r="BD154" s="469">
        <f t="shared" si="296"/>
        <v>8.6218502864696696</v>
      </c>
      <c r="BF154" s="177">
        <f t="shared" si="265"/>
        <v>8.9289428545676772E-2</v>
      </c>
      <c r="BG154" s="177">
        <f t="shared" si="261"/>
        <v>8492.1045674072484</v>
      </c>
      <c r="BI154" s="538">
        <f t="shared" si="236"/>
        <v>2.7904107175047311E-3</v>
      </c>
      <c r="BJ154" s="538">
        <f t="shared" si="237"/>
        <v>434.64116604691321</v>
      </c>
      <c r="BK154" s="538">
        <f t="shared" si="238"/>
        <v>4.3749999999999995E-3</v>
      </c>
      <c r="BL154" s="538">
        <f t="shared" si="239"/>
        <v>8462830.4513776898</v>
      </c>
      <c r="BM154">
        <f t="shared" si="240"/>
        <v>5.7999999999999996E-3</v>
      </c>
      <c r="BN154">
        <f t="shared" si="297"/>
        <v>1.3124999999999999E-5</v>
      </c>
      <c r="BO154" s="538">
        <f t="shared" si="298"/>
        <v>8467624.4996026661</v>
      </c>
      <c r="BP154" s="469">
        <f t="shared" si="243"/>
        <v>8463265105.5091467</v>
      </c>
      <c r="BQ154" s="538">
        <f t="shared" si="299"/>
        <v>55096501.760213174</v>
      </c>
      <c r="BT154" s="469">
        <f t="shared" si="245"/>
        <v>55096501760.213173</v>
      </c>
      <c r="BU154" s="538">
        <f t="shared" si="246"/>
        <v>7.9726020500135188E-4</v>
      </c>
      <c r="BV154" s="538">
        <f t="shared" si="247"/>
        <v>2163475.1995133711</v>
      </c>
      <c r="BW154" s="538">
        <f t="shared" si="248"/>
        <v>0</v>
      </c>
      <c r="BX154" s="538"/>
      <c r="BY154" s="538">
        <f t="shared" si="249"/>
        <v>2.2322666666666664E-3</v>
      </c>
      <c r="BZ154" s="469">
        <f t="shared" si="250"/>
        <v>2163475202.5428977</v>
      </c>
      <c r="CA154" s="177">
        <f t="shared" si="251"/>
        <v>65723242.068265215</v>
      </c>
      <c r="CB154" s="5">
        <f t="shared" si="252"/>
        <v>0.66</v>
      </c>
      <c r="CC154" s="177">
        <f t="shared" si="253"/>
        <v>1.0042109497378127E-8</v>
      </c>
      <c r="CD154" s="5">
        <f t="shared" si="254"/>
        <v>1.0042109497378128E-6</v>
      </c>
      <c r="CG154" s="571">
        <f t="shared" si="300"/>
        <v>-50</v>
      </c>
      <c r="CH154">
        <f t="shared" si="301"/>
        <v>-50</v>
      </c>
    </row>
    <row r="155" spans="5:86" x14ac:dyDescent="0.25">
      <c r="E155" s="174">
        <v>45</v>
      </c>
      <c r="F155" s="221">
        <f t="shared" si="302"/>
        <v>4.5000000000000005E-2</v>
      </c>
      <c r="G155" s="221"/>
      <c r="H155" s="221">
        <f t="shared" si="266"/>
        <v>0.67500000000000004</v>
      </c>
      <c r="I155" s="551">
        <f t="shared" si="267"/>
        <v>20</v>
      </c>
      <c r="J155" s="451">
        <f t="shared" si="268"/>
        <v>695386.58000000007</v>
      </c>
      <c r="K155" s="451">
        <f t="shared" si="269"/>
        <v>695406.58000000007</v>
      </c>
      <c r="L155" s="451"/>
      <c r="M155" s="221">
        <f t="shared" si="270"/>
        <v>0.9999712398464794</v>
      </c>
      <c r="N155" s="176">
        <f t="shared" si="271"/>
        <v>6.9298006921361024</v>
      </c>
      <c r="O155" s="176">
        <f t="shared" si="262"/>
        <v>0.67500000000000004</v>
      </c>
      <c r="P155" s="221">
        <f t="shared" si="272"/>
        <v>0.4619867128090735</v>
      </c>
      <c r="Q155" s="221">
        <f t="shared" si="273"/>
        <v>15</v>
      </c>
      <c r="R155" s="221"/>
      <c r="S155" s="176">
        <f t="shared" si="274"/>
        <v>149.99956289895727</v>
      </c>
      <c r="T155" s="176">
        <f t="shared" si="275"/>
        <v>15</v>
      </c>
      <c r="U155" s="221">
        <f t="shared" si="276"/>
        <v>7.5002157073551817E-2</v>
      </c>
      <c r="V155" s="221">
        <f t="shared" si="277"/>
        <v>0.11250323561032773</v>
      </c>
      <c r="W155" s="221">
        <f t="shared" si="278"/>
        <v>3.2357033870376882E-6</v>
      </c>
      <c r="X155" s="201">
        <f t="shared" si="279"/>
        <v>350</v>
      </c>
      <c r="Y155" s="451">
        <f t="shared" si="215"/>
        <v>350</v>
      </c>
      <c r="AA155" s="221">
        <f t="shared" si="280"/>
        <v>1.9047071235171036</v>
      </c>
      <c r="AB155" s="177">
        <f t="shared" si="281"/>
        <v>8.2171867201568798E-5</v>
      </c>
      <c r="AC155" s="177">
        <f t="shared" si="282"/>
        <v>1.2514141549591451</v>
      </c>
      <c r="AD155" s="177"/>
      <c r="AE155" s="177">
        <f t="shared" si="283"/>
        <v>6.4712206554230591E-6</v>
      </c>
      <c r="AF155" s="555">
        <f t="shared" si="284"/>
        <v>2029.3333333333342</v>
      </c>
      <c r="AG155" s="538">
        <f t="shared" si="285"/>
        <v>7.7611695137976321E-3</v>
      </c>
      <c r="AI155" s="177">
        <f t="shared" si="286"/>
        <v>0.36118851429294219</v>
      </c>
      <c r="AJ155" s="177">
        <f t="shared" si="287"/>
        <v>0.36118851429294219</v>
      </c>
      <c r="AK155" s="177">
        <f t="shared" si="288"/>
        <v>1.3407923428619615</v>
      </c>
      <c r="AM155" s="555">
        <f t="shared" si="289"/>
        <v>45.000000000000007</v>
      </c>
      <c r="AN155" s="469">
        <f t="shared" si="290"/>
        <v>350</v>
      </c>
      <c r="AP155" s="469">
        <f t="shared" si="291"/>
        <v>45.000000000000007</v>
      </c>
      <c r="AQ155" s="469">
        <f t="shared" si="292"/>
        <v>350</v>
      </c>
      <c r="AS155" s="5">
        <f t="shared" si="263"/>
        <v>2.8571428571428572</v>
      </c>
      <c r="AT155" s="5">
        <f t="shared" si="293"/>
        <v>0.54178277143941334</v>
      </c>
      <c r="AU155" s="5">
        <f t="shared" si="230"/>
        <v>2.315360085703444</v>
      </c>
      <c r="AV155" s="5"/>
      <c r="AW155" s="177">
        <f t="shared" si="231"/>
        <v>0.18962397000379466</v>
      </c>
      <c r="AX155" s="177">
        <f t="shared" si="259"/>
        <v>0.68490000000000018</v>
      </c>
      <c r="AY155" s="177">
        <f t="shared" si="260"/>
        <v>6686.5512097651163</v>
      </c>
      <c r="AZ155" s="177">
        <f t="shared" si="264"/>
        <v>1.0242948547223632E-4</v>
      </c>
      <c r="BA155" s="469">
        <f t="shared" si="294"/>
        <v>3.7498921501997473</v>
      </c>
      <c r="BB155" s="469">
        <f t="shared" si="295"/>
        <v>0.604101501526489</v>
      </c>
      <c r="BC155" s="5">
        <f t="shared" si="258"/>
        <v>7.2355002678232611E-2</v>
      </c>
      <c r="BD155" s="469">
        <f t="shared" si="296"/>
        <v>8.7951003213879151</v>
      </c>
      <c r="BF155" s="177">
        <f t="shared" si="265"/>
        <v>9.0807124066935807E-2</v>
      </c>
      <c r="BG155" s="177">
        <f t="shared" si="261"/>
        <v>8576.8585959162265</v>
      </c>
      <c r="BI155" s="538">
        <f t="shared" si="236"/>
        <v>2.8860768234577555E-3</v>
      </c>
      <c r="BJ155" s="538">
        <f t="shared" si="237"/>
        <v>439.5525215545382</v>
      </c>
      <c r="BK155" s="538">
        <f t="shared" si="238"/>
        <v>4.3749999999999995E-3</v>
      </c>
      <c r="BL155" s="538">
        <f t="shared" si="239"/>
        <v>8462830.4513776898</v>
      </c>
      <c r="BM155">
        <f t="shared" si="240"/>
        <v>5.7999999999999996E-3</v>
      </c>
      <c r="BN155">
        <f t="shared" si="297"/>
        <v>1.3124999999999999E-5</v>
      </c>
      <c r="BO155" s="538">
        <f t="shared" si="298"/>
        <v>8467778.9502390511</v>
      </c>
      <c r="BP155" s="469">
        <f t="shared" si="243"/>
        <v>8463270016.9603214</v>
      </c>
      <c r="BQ155" s="538">
        <f t="shared" si="299"/>
        <v>56201752.590889826</v>
      </c>
      <c r="BT155" s="469">
        <f t="shared" si="245"/>
        <v>56201752590.889824</v>
      </c>
      <c r="BU155" s="538">
        <f t="shared" si="246"/>
        <v>8.245933781307873E-4</v>
      </c>
      <c r="BV155" s="538">
        <f t="shared" si="247"/>
        <v>2206875.1012302618</v>
      </c>
      <c r="BW155" s="538">
        <f t="shared" si="248"/>
        <v>0</v>
      </c>
      <c r="BX155" s="538"/>
      <c r="BY155" s="538">
        <f t="shared" si="249"/>
        <v>2.2830000000000012E-3</v>
      </c>
      <c r="BZ155" s="469">
        <f t="shared" si="250"/>
        <v>2206875104.3378553</v>
      </c>
      <c r="CA155" s="177">
        <f t="shared" si="251"/>
        <v>66871897.712188005</v>
      </c>
      <c r="CB155" s="5">
        <f t="shared" si="252"/>
        <v>0.67500000000000004</v>
      </c>
      <c r="CC155" s="177">
        <f t="shared" si="253"/>
        <v>1.0093926092717646E-8</v>
      </c>
      <c r="CD155" s="5">
        <f t="shared" si="254"/>
        <v>1.0093926092717646E-6</v>
      </c>
      <c r="CG155" s="571">
        <f t="shared" si="300"/>
        <v>-50</v>
      </c>
      <c r="CH155">
        <f t="shared" si="301"/>
        <v>-50</v>
      </c>
    </row>
    <row r="156" spans="5:86" s="77" customFormat="1" x14ac:dyDescent="0.25">
      <c r="E156" s="193">
        <v>46</v>
      </c>
      <c r="F156" s="333">
        <f t="shared" si="302"/>
        <v>4.6000000000000006E-2</v>
      </c>
      <c r="G156" s="333"/>
      <c r="H156" s="333">
        <f t="shared" si="266"/>
        <v>0.69000000000000006</v>
      </c>
      <c r="I156" s="551">
        <f t="shared" si="267"/>
        <v>20</v>
      </c>
      <c r="J156" s="451">
        <f t="shared" si="268"/>
        <v>695386.58000000007</v>
      </c>
      <c r="K156" s="545">
        <f t="shared" si="269"/>
        <v>695406.58000000007</v>
      </c>
      <c r="L156" s="545"/>
      <c r="M156" s="333">
        <f t="shared" si="270"/>
        <v>0.9999712398464794</v>
      </c>
      <c r="N156" s="176">
        <f t="shared" si="271"/>
        <v>6.9298006921361024</v>
      </c>
      <c r="O156" s="176">
        <f t="shared" si="262"/>
        <v>0.69000000000000006</v>
      </c>
      <c r="P156" s="333">
        <f t="shared" si="272"/>
        <v>0.4619867128090735</v>
      </c>
      <c r="Q156" s="333">
        <f t="shared" si="273"/>
        <v>15</v>
      </c>
      <c r="R156" s="333"/>
      <c r="S156" s="176">
        <f t="shared" si="274"/>
        <v>146.7386933479649</v>
      </c>
      <c r="T156" s="176">
        <f t="shared" si="275"/>
        <v>15</v>
      </c>
      <c r="U156" s="221">
        <f t="shared" si="276"/>
        <v>7.6668871675186295E-2</v>
      </c>
      <c r="V156" s="333">
        <f t="shared" si="277"/>
        <v>0.11500330751277944</v>
      </c>
      <c r="W156" s="333">
        <f t="shared" si="278"/>
        <v>3.3076079067496364E-6</v>
      </c>
      <c r="X156" s="547">
        <f t="shared" si="279"/>
        <v>350</v>
      </c>
      <c r="Y156" s="545">
        <f t="shared" si="215"/>
        <v>350</v>
      </c>
      <c r="AA156" s="333">
        <f t="shared" si="280"/>
        <v>1.9047071235171036</v>
      </c>
      <c r="AB156" s="548">
        <f t="shared" si="281"/>
        <v>8.2171867201568798E-5</v>
      </c>
      <c r="AC156" s="548">
        <f t="shared" si="282"/>
        <v>1.2514141549591451</v>
      </c>
      <c r="AD156" s="548"/>
      <c r="AE156" s="548">
        <f t="shared" si="283"/>
        <v>6.4712206554230591E-6</v>
      </c>
      <c r="AF156" s="555">
        <f t="shared" si="284"/>
        <v>2074.4296296296302</v>
      </c>
      <c r="AG156" s="590">
        <f t="shared" si="285"/>
        <v>7.7611695137976321E-3</v>
      </c>
      <c r="AI156" s="548">
        <f t="shared" si="286"/>
        <v>0.36517966876072178</v>
      </c>
      <c r="AJ156" s="548">
        <f t="shared" si="287"/>
        <v>0.36517966876072178</v>
      </c>
      <c r="AK156" s="177">
        <f t="shared" si="288"/>
        <v>1.3434531125071478</v>
      </c>
      <c r="AM156" s="573">
        <f t="shared" si="289"/>
        <v>46.000000000000007</v>
      </c>
      <c r="AN156" s="574">
        <f t="shared" si="290"/>
        <v>350</v>
      </c>
      <c r="AP156" s="77">
        <f t="shared" si="291"/>
        <v>46.000000000000007</v>
      </c>
      <c r="AQ156" s="77">
        <f t="shared" si="292"/>
        <v>350</v>
      </c>
      <c r="AS156" s="544">
        <f t="shared" si="263"/>
        <v>2.8571428571428572</v>
      </c>
      <c r="AT156" s="5">
        <f t="shared" si="293"/>
        <v>0.54776950314108264</v>
      </c>
      <c r="AU156" s="5">
        <f t="shared" si="230"/>
        <v>2.3093733540017745</v>
      </c>
      <c r="AV156" s="5"/>
      <c r="AW156" s="177">
        <f t="shared" si="231"/>
        <v>0.19171932609937892</v>
      </c>
      <c r="AX156" s="177">
        <f t="shared" si="259"/>
        <v>0.70012000000000008</v>
      </c>
      <c r="AY156" s="177">
        <f t="shared" si="260"/>
        <v>6742.9578090043078</v>
      </c>
      <c r="AZ156" s="177">
        <f t="shared" si="264"/>
        <v>1.0382980582572896E-4</v>
      </c>
      <c r="BA156" s="469">
        <f t="shared" si="294"/>
        <v>3.7498921501997473</v>
      </c>
      <c r="BB156" s="469">
        <f t="shared" si="295"/>
        <v>0.62818211221237075</v>
      </c>
      <c r="BC156" s="5">
        <f t="shared" si="258"/>
        <v>7.3771648808390017E-2</v>
      </c>
      <c r="BD156" s="469">
        <f t="shared" si="296"/>
        <v>8.9675978570068029</v>
      </c>
      <c r="BF156" s="177">
        <f t="shared" si="265"/>
        <v>9.2316410547774314E-2</v>
      </c>
      <c r="BG156" s="177">
        <f t="shared" si="261"/>
        <v>8660.4151913368933</v>
      </c>
      <c r="BI156" s="538">
        <f t="shared" si="236"/>
        <v>2.9828118797488256E-3</v>
      </c>
      <c r="BJ156" s="538">
        <f t="shared" si="237"/>
        <v>444.40960294224618</v>
      </c>
      <c r="BK156" s="538">
        <f t="shared" si="238"/>
        <v>4.3749999999999995E-3</v>
      </c>
      <c r="BL156" s="538">
        <f t="shared" si="239"/>
        <v>8462830.4513776898</v>
      </c>
      <c r="BM156">
        <f t="shared" si="240"/>
        <v>5.7999999999999996E-3</v>
      </c>
      <c r="BN156">
        <f t="shared" si="297"/>
        <v>1.3124999999999999E-5</v>
      </c>
      <c r="BO156" s="538">
        <f t="shared" si="298"/>
        <v>8467935.0230046138</v>
      </c>
      <c r="BP156" s="469">
        <f t="shared" si="243"/>
        <v>8463274874.138443</v>
      </c>
      <c r="BQ156" s="538">
        <f t="shared" si="299"/>
        <v>57302132.555941857</v>
      </c>
      <c r="BT156" s="469">
        <f t="shared" si="245"/>
        <v>57302132555.941856</v>
      </c>
      <c r="BU156" s="538">
        <f t="shared" si="246"/>
        <v>8.5223196564252173E-4</v>
      </c>
      <c r="BV156" s="538">
        <f t="shared" si="247"/>
        <v>2250083.738590165</v>
      </c>
      <c r="BW156" s="538">
        <f t="shared" si="248"/>
        <v>0</v>
      </c>
      <c r="BX156" s="538"/>
      <c r="BY156" s="538">
        <f t="shared" si="249"/>
        <v>2.3337333333333338E-3</v>
      </c>
      <c r="BZ156" s="469">
        <f t="shared" si="250"/>
        <v>2250083741.7761302</v>
      </c>
      <c r="CA156" s="177">
        <f t="shared" si="251"/>
        <v>68015491.171856433</v>
      </c>
      <c r="CB156" s="5">
        <f t="shared" si="252"/>
        <v>0.69000000000000006</v>
      </c>
      <c r="CC156" s="177">
        <f t="shared" si="253"/>
        <v>1.0144747631928204E-8</v>
      </c>
      <c r="CD156" s="5">
        <f t="shared" si="254"/>
        <v>1.0144747631928203E-6</v>
      </c>
      <c r="CG156" s="571">
        <f t="shared" si="300"/>
        <v>-50</v>
      </c>
      <c r="CH156">
        <f t="shared" si="301"/>
        <v>-50</v>
      </c>
    </row>
    <row r="157" spans="5:86" x14ac:dyDescent="0.25">
      <c r="E157" s="174">
        <v>47</v>
      </c>
      <c r="F157" s="221">
        <f t="shared" si="302"/>
        <v>4.7E-2</v>
      </c>
      <c r="G157" s="221"/>
      <c r="H157" s="221">
        <f t="shared" si="266"/>
        <v>0.70499999999999996</v>
      </c>
      <c r="I157" s="551">
        <f t="shared" si="267"/>
        <v>20</v>
      </c>
      <c r="J157" s="451">
        <f t="shared" si="268"/>
        <v>695386.58000000007</v>
      </c>
      <c r="K157" s="451">
        <f t="shared" si="269"/>
        <v>695406.58000000007</v>
      </c>
      <c r="L157" s="451"/>
      <c r="M157" s="221">
        <f t="shared" si="270"/>
        <v>0.9999712398464794</v>
      </c>
      <c r="N157" s="176">
        <f t="shared" si="271"/>
        <v>6.9298006921361024</v>
      </c>
      <c r="O157" s="176">
        <f t="shared" si="262"/>
        <v>0.70499999999999996</v>
      </c>
      <c r="P157" s="221">
        <f t="shared" si="272"/>
        <v>0.4619867128090735</v>
      </c>
      <c r="Q157" s="221">
        <f t="shared" si="273"/>
        <v>15</v>
      </c>
      <c r="R157" s="221"/>
      <c r="S157" s="176">
        <f t="shared" si="274"/>
        <v>143.61658420400215</v>
      </c>
      <c r="T157" s="176">
        <f t="shared" si="275"/>
        <v>15</v>
      </c>
      <c r="U157" s="221">
        <f t="shared" si="276"/>
        <v>7.8335586276820773E-2</v>
      </c>
      <c r="V157" s="221">
        <f t="shared" si="277"/>
        <v>0.11750337941523117</v>
      </c>
      <c r="W157" s="221">
        <f t="shared" si="278"/>
        <v>3.3795124264615851E-6</v>
      </c>
      <c r="X157" s="201">
        <f t="shared" si="279"/>
        <v>350</v>
      </c>
      <c r="Y157" s="451">
        <f t="shared" si="215"/>
        <v>350</v>
      </c>
      <c r="AA157" s="221">
        <f t="shared" si="280"/>
        <v>1.9047071235171036</v>
      </c>
      <c r="AB157" s="177">
        <f t="shared" si="281"/>
        <v>8.2171867201568798E-5</v>
      </c>
      <c r="AC157" s="177">
        <f t="shared" si="282"/>
        <v>1.2514141549591451</v>
      </c>
      <c r="AD157" s="177"/>
      <c r="AE157" s="177">
        <f t="shared" si="283"/>
        <v>6.4712206554230591E-6</v>
      </c>
      <c r="AF157" s="555">
        <f t="shared" si="284"/>
        <v>2119.5259259259265</v>
      </c>
      <c r="AG157" s="538">
        <f t="shared" si="285"/>
        <v>7.7611695137976321E-3</v>
      </c>
      <c r="AI157" s="177">
        <f t="shared" si="286"/>
        <v>0.36912767180914263</v>
      </c>
      <c r="AJ157" s="177">
        <f t="shared" si="287"/>
        <v>0.36912767180914263</v>
      </c>
      <c r="AK157" s="177">
        <f t="shared" si="288"/>
        <v>1.3460851145394284</v>
      </c>
      <c r="AM157" s="555">
        <f t="shared" si="289"/>
        <v>47</v>
      </c>
      <c r="AN157" s="469">
        <f t="shared" si="290"/>
        <v>350</v>
      </c>
      <c r="AP157">
        <f t="shared" si="291"/>
        <v>47</v>
      </c>
      <c r="AQ157">
        <f t="shared" si="292"/>
        <v>350</v>
      </c>
      <c r="AS157" s="5">
        <f t="shared" si="263"/>
        <v>2.8571428571428572</v>
      </c>
      <c r="AT157" s="5">
        <f t="shared" si="293"/>
        <v>0.553691507713714</v>
      </c>
      <c r="AU157" s="5">
        <f t="shared" si="230"/>
        <v>2.3034513494291433</v>
      </c>
      <c r="AV157" s="5"/>
      <c r="AW157" s="177">
        <f t="shared" si="231"/>
        <v>0.19379202769979989</v>
      </c>
      <c r="AX157" s="177">
        <f t="shared" si="259"/>
        <v>0.71534000000000009</v>
      </c>
      <c r="AY157" s="177">
        <f t="shared" si="260"/>
        <v>6798.3786356439596</v>
      </c>
      <c r="AZ157" s="177">
        <f t="shared" si="264"/>
        <v>1.0522214756463639E-4</v>
      </c>
      <c r="BA157" s="469">
        <f t="shared" si="294"/>
        <v>3.7498921501997473</v>
      </c>
      <c r="BB157" s="469">
        <f t="shared" si="295"/>
        <v>0.65272603302321675</v>
      </c>
      <c r="BC157" s="5">
        <f t="shared" si="258"/>
        <v>7.5182092654978966E-2</v>
      </c>
      <c r="BD157" s="469">
        <f t="shared" si="296"/>
        <v>9.1393511185974763</v>
      </c>
      <c r="BF157" s="177">
        <f t="shared" si="265"/>
        <v>9.3817515911111912E-2</v>
      </c>
      <c r="BG157" s="177">
        <f t="shared" si="261"/>
        <v>8742.8126714230202</v>
      </c>
      <c r="BI157" s="538">
        <f t="shared" si="236"/>
        <v>3.0806042021061077E-3</v>
      </c>
      <c r="BJ157" s="538">
        <f t="shared" si="237"/>
        <v>449.21417071327699</v>
      </c>
      <c r="BK157" s="538">
        <f t="shared" si="238"/>
        <v>4.3749999999999995E-3</v>
      </c>
      <c r="BL157" s="538">
        <f t="shared" si="239"/>
        <v>8462830.4513776898</v>
      </c>
      <c r="BM157">
        <f t="shared" si="240"/>
        <v>5.7999999999999996E-3</v>
      </c>
      <c r="BN157">
        <f t="shared" si="297"/>
        <v>1.3124999999999999E-5</v>
      </c>
      <c r="BO157" s="538">
        <f t="shared" si="298"/>
        <v>8468092.7015746869</v>
      </c>
      <c r="BP157" s="469">
        <f t="shared" si="243"/>
        <v>8463279678.8040066</v>
      </c>
      <c r="BQ157" s="538">
        <f t="shared" si="299"/>
        <v>58397694.896868013</v>
      </c>
      <c r="BT157" s="469">
        <f t="shared" si="245"/>
        <v>58397694896.868011</v>
      </c>
      <c r="BU157" s="538">
        <f t="shared" si="246"/>
        <v>8.8017262917317377E-4</v>
      </c>
      <c r="BV157" s="538">
        <f t="shared" si="247"/>
        <v>2293103.2022278481</v>
      </c>
      <c r="BW157" s="538">
        <f t="shared" si="248"/>
        <v>0</v>
      </c>
      <c r="BX157" s="538"/>
      <c r="BY157" s="538">
        <f t="shared" si="249"/>
        <v>2.3844666666666672E-3</v>
      </c>
      <c r="BZ157" s="469">
        <f t="shared" si="250"/>
        <v>2293103205.492487</v>
      </c>
      <c r="CA157" s="177">
        <f t="shared" si="251"/>
        <v>69154077.781164512</v>
      </c>
      <c r="CB157" s="5">
        <f t="shared" si="252"/>
        <v>0.70499999999999996</v>
      </c>
      <c r="CC157" s="177">
        <f t="shared" si="253"/>
        <v>1.0194626483831284E-8</v>
      </c>
      <c r="CD157" s="5">
        <f t="shared" si="254"/>
        <v>1.0194626483831284E-6</v>
      </c>
      <c r="CG157" s="571">
        <f t="shared" si="300"/>
        <v>-50</v>
      </c>
      <c r="CH157">
        <f t="shared" si="301"/>
        <v>-50</v>
      </c>
    </row>
    <row r="158" spans="5:86" x14ac:dyDescent="0.25">
      <c r="E158" s="174">
        <v>48</v>
      </c>
      <c r="F158" s="221">
        <f t="shared" si="302"/>
        <v>4.8000000000000001E-2</v>
      </c>
      <c r="G158" s="221"/>
      <c r="H158" s="221">
        <f t="shared" si="266"/>
        <v>0.72</v>
      </c>
      <c r="I158" s="551">
        <f t="shared" si="267"/>
        <v>20</v>
      </c>
      <c r="J158" s="451">
        <f t="shared" si="268"/>
        <v>695386.58000000007</v>
      </c>
      <c r="K158" s="451">
        <f t="shared" si="269"/>
        <v>695406.58000000007</v>
      </c>
      <c r="L158" s="451"/>
      <c r="M158" s="221">
        <f t="shared" si="270"/>
        <v>0.9999712398464794</v>
      </c>
      <c r="N158" s="176">
        <f t="shared" si="271"/>
        <v>6.9298006921361024</v>
      </c>
      <c r="O158" s="176">
        <f t="shared" si="262"/>
        <v>0.72</v>
      </c>
      <c r="P158" s="221">
        <f t="shared" si="272"/>
        <v>0.4619867128090735</v>
      </c>
      <c r="Q158" s="221">
        <f t="shared" si="273"/>
        <v>15</v>
      </c>
      <c r="R158" s="221"/>
      <c r="S158" s="176">
        <f t="shared" si="274"/>
        <v>140.62456294162956</v>
      </c>
      <c r="T158" s="176">
        <f t="shared" si="275"/>
        <v>15</v>
      </c>
      <c r="U158" s="221">
        <f t="shared" si="276"/>
        <v>8.0002300878455251E-2</v>
      </c>
      <c r="V158" s="221">
        <f t="shared" si="277"/>
        <v>0.12000345131768288</v>
      </c>
      <c r="W158" s="221">
        <f t="shared" si="278"/>
        <v>3.4514169461735333E-6</v>
      </c>
      <c r="X158" s="201">
        <f t="shared" si="279"/>
        <v>350</v>
      </c>
      <c r="Y158" s="451">
        <f t="shared" si="215"/>
        <v>350</v>
      </c>
      <c r="AA158" s="221">
        <f t="shared" si="280"/>
        <v>1.9047071235171036</v>
      </c>
      <c r="AB158" s="177">
        <f t="shared" si="281"/>
        <v>8.2171867201568798E-5</v>
      </c>
      <c r="AC158" s="177">
        <f t="shared" si="282"/>
        <v>1.2514141549591451</v>
      </c>
      <c r="AD158" s="177"/>
      <c r="AE158" s="177">
        <f t="shared" si="283"/>
        <v>6.4712206554230591E-6</v>
      </c>
      <c r="AF158" s="555">
        <f t="shared" si="284"/>
        <v>2164.6222222222232</v>
      </c>
      <c r="AG158" s="538">
        <f t="shared" si="285"/>
        <v>7.7611695137976321E-3</v>
      </c>
      <c r="AI158" s="177">
        <f t="shared" si="286"/>
        <v>0.3730338935194572</v>
      </c>
      <c r="AJ158" s="177">
        <f t="shared" si="287"/>
        <v>0.3730338935194572</v>
      </c>
      <c r="AK158" s="177">
        <f t="shared" si="288"/>
        <v>1.3486892623463047</v>
      </c>
      <c r="AM158" s="555">
        <f t="shared" si="289"/>
        <v>48</v>
      </c>
      <c r="AN158" s="469">
        <f t="shared" si="290"/>
        <v>350</v>
      </c>
      <c r="AP158">
        <f t="shared" si="291"/>
        <v>48</v>
      </c>
      <c r="AQ158">
        <f t="shared" si="292"/>
        <v>350</v>
      </c>
      <c r="AS158" s="5">
        <f t="shared" si="263"/>
        <v>2.8571428571428572</v>
      </c>
      <c r="AT158" s="5">
        <f t="shared" si="293"/>
        <v>0.55955084027918578</v>
      </c>
      <c r="AU158" s="5">
        <f t="shared" si="230"/>
        <v>2.2975920168636712</v>
      </c>
      <c r="AV158" s="5"/>
      <c r="AW158" s="177">
        <f t="shared" si="231"/>
        <v>0.19584279409771502</v>
      </c>
      <c r="AX158" s="177">
        <f t="shared" si="259"/>
        <v>0.7305600000000001</v>
      </c>
      <c r="AY158" s="177">
        <f t="shared" si="260"/>
        <v>6852.8449885052405</v>
      </c>
      <c r="AZ158" s="177">
        <f t="shared" si="264"/>
        <v>1.066068182230037E-4</v>
      </c>
      <c r="BA158" s="469">
        <f t="shared" si="294"/>
        <v>3.7498921501997473</v>
      </c>
      <c r="BB158" s="469">
        <f t="shared" si="295"/>
        <v>0.67773326395902722</v>
      </c>
      <c r="BC158" s="5">
        <f t="shared" si="258"/>
        <v>7.6586400562122348E-2</v>
      </c>
      <c r="BD158" s="469">
        <f t="shared" si="296"/>
        <v>9.310368067454684</v>
      </c>
      <c r="BF158" s="177">
        <f t="shared" si="265"/>
        <v>9.5310657195225662E-2</v>
      </c>
      <c r="BG158" s="177">
        <f t="shared" si="261"/>
        <v>8824.0873289774809</v>
      </c>
      <c r="BI158" s="538">
        <f t="shared" si="236"/>
        <v>3.1794424812450371E-3</v>
      </c>
      <c r="BJ158" s="538">
        <f t="shared" si="237"/>
        <v>453.9678922037873</v>
      </c>
      <c r="BK158" s="538">
        <f t="shared" si="238"/>
        <v>4.3749999999999995E-3</v>
      </c>
      <c r="BL158" s="538">
        <f t="shared" si="239"/>
        <v>8462830.4513776898</v>
      </c>
      <c r="BM158">
        <f t="shared" si="240"/>
        <v>5.7999999999999996E-3</v>
      </c>
      <c r="BN158">
        <f t="shared" si="297"/>
        <v>1.3124999999999999E-5</v>
      </c>
      <c r="BO158" s="538">
        <f t="shared" si="298"/>
        <v>8468251.9701169543</v>
      </c>
      <c r="BP158" s="469">
        <f t="shared" si="243"/>
        <v>8463284432.6243362</v>
      </c>
      <c r="BQ158" s="538">
        <f t="shared" si="299"/>
        <v>59488491.146469578</v>
      </c>
      <c r="BT158" s="469">
        <f t="shared" si="245"/>
        <v>59488491146.469582</v>
      </c>
      <c r="BU158" s="538">
        <f t="shared" si="246"/>
        <v>9.0841213749858212E-4</v>
      </c>
      <c r="BV158" s="538">
        <f t="shared" si="247"/>
        <v>2335935.5156826279</v>
      </c>
      <c r="BW158" s="538">
        <f t="shared" si="248"/>
        <v>0</v>
      </c>
      <c r="BX158" s="538"/>
      <c r="BY158" s="538">
        <f t="shared" si="249"/>
        <v>2.4352000000000002E-3</v>
      </c>
      <c r="BZ158" s="469">
        <f t="shared" si="250"/>
        <v>2335935519.0262399</v>
      </c>
      <c r="CA158" s="177">
        <f t="shared" si="251"/>
        <v>70287711.098120168</v>
      </c>
      <c r="CB158" s="5">
        <f t="shared" si="252"/>
        <v>0.72</v>
      </c>
      <c r="CC158" s="177">
        <f t="shared" si="253"/>
        <v>1.0243611313782789E-8</v>
      </c>
      <c r="CD158" s="5">
        <f t="shared" si="254"/>
        <v>1.0243611313782788E-6</v>
      </c>
      <c r="CG158" s="571">
        <f t="shared" si="300"/>
        <v>-50</v>
      </c>
      <c r="CH158">
        <f t="shared" si="301"/>
        <v>-50</v>
      </c>
    </row>
    <row r="159" spans="5:86" x14ac:dyDescent="0.25">
      <c r="E159" s="174">
        <v>49</v>
      </c>
      <c r="F159" s="221">
        <f t="shared" si="302"/>
        <v>4.9000000000000002E-2</v>
      </c>
      <c r="G159" s="221"/>
      <c r="H159" s="221">
        <f t="shared" si="266"/>
        <v>0.73499999999999999</v>
      </c>
      <c r="I159" s="551">
        <f t="shared" si="267"/>
        <v>20</v>
      </c>
      <c r="J159" s="451">
        <f t="shared" si="268"/>
        <v>695386.58000000007</v>
      </c>
      <c r="K159" s="451">
        <f t="shared" si="269"/>
        <v>695406.58000000007</v>
      </c>
      <c r="L159" s="451"/>
      <c r="M159" s="221">
        <f t="shared" si="270"/>
        <v>0.9999712398464794</v>
      </c>
      <c r="N159" s="176">
        <f t="shared" si="271"/>
        <v>6.9298006921361024</v>
      </c>
      <c r="O159" s="176">
        <f t="shared" si="262"/>
        <v>0.73499999999999999</v>
      </c>
      <c r="P159" s="221">
        <f t="shared" si="272"/>
        <v>0.4619867128090735</v>
      </c>
      <c r="Q159" s="221">
        <f t="shared" si="273"/>
        <v>15</v>
      </c>
      <c r="R159" s="221"/>
      <c r="S159" s="176">
        <f t="shared" si="274"/>
        <v>137.75466499666811</v>
      </c>
      <c r="T159" s="176">
        <f t="shared" si="275"/>
        <v>15</v>
      </c>
      <c r="U159" s="221">
        <f t="shared" si="276"/>
        <v>8.1669015480089743E-2</v>
      </c>
      <c r="V159" s="221">
        <f t="shared" si="277"/>
        <v>0.12250352322013461</v>
      </c>
      <c r="W159" s="221">
        <f t="shared" si="278"/>
        <v>3.5233214658854819E-6</v>
      </c>
      <c r="X159" s="201">
        <f t="shared" si="279"/>
        <v>350</v>
      </c>
      <c r="Y159" s="451">
        <f t="shared" si="215"/>
        <v>350</v>
      </c>
      <c r="AA159" s="221">
        <f t="shared" si="280"/>
        <v>1.9047071235171036</v>
      </c>
      <c r="AB159" s="177">
        <f t="shared" si="281"/>
        <v>8.2171867201568798E-5</v>
      </c>
      <c r="AC159" s="177">
        <f t="shared" si="282"/>
        <v>1.2514141549591451</v>
      </c>
      <c r="AD159" s="177"/>
      <c r="AE159" s="177">
        <f t="shared" si="283"/>
        <v>6.4712206554230591E-6</v>
      </c>
      <c r="AF159" s="555">
        <f t="shared" si="284"/>
        <v>2209.718518518519</v>
      </c>
      <c r="AG159" s="538">
        <f t="shared" si="285"/>
        <v>7.7611695137976321E-3</v>
      </c>
      <c r="AI159" s="177">
        <f t="shared" si="286"/>
        <v>0.3768996329705474</v>
      </c>
      <c r="AJ159" s="177">
        <f t="shared" si="287"/>
        <v>0.3768996329705474</v>
      </c>
      <c r="AK159" s="177">
        <f t="shared" si="288"/>
        <v>1.351266421980365</v>
      </c>
      <c r="AM159" s="555">
        <f t="shared" si="289"/>
        <v>49</v>
      </c>
      <c r="AN159" s="469">
        <f t="shared" si="290"/>
        <v>350</v>
      </c>
      <c r="AP159">
        <f t="shared" si="291"/>
        <v>49</v>
      </c>
      <c r="AQ159">
        <f t="shared" si="292"/>
        <v>350</v>
      </c>
      <c r="AS159" s="5">
        <f t="shared" si="263"/>
        <v>2.8571428571428572</v>
      </c>
      <c r="AT159" s="5">
        <f t="shared" si="293"/>
        <v>0.56534944945582122</v>
      </c>
      <c r="AU159" s="5">
        <f t="shared" si="230"/>
        <v>2.2917934076870359</v>
      </c>
      <c r="AV159" s="5"/>
      <c r="AW159" s="177">
        <f t="shared" si="231"/>
        <v>0.19787230730953742</v>
      </c>
      <c r="AX159" s="177">
        <f t="shared" si="259"/>
        <v>0.74578</v>
      </c>
      <c r="AY159" s="177">
        <f t="shared" si="260"/>
        <v>6906.3865443956702</v>
      </c>
      <c r="AZ159" s="177">
        <f t="shared" si="264"/>
        <v>1.0798410937557189E-4</v>
      </c>
      <c r="BA159" s="469">
        <f t="shared" si="294"/>
        <v>3.7498921501997473</v>
      </c>
      <c r="BB159" s="469">
        <f t="shared" si="295"/>
        <v>0.7032038050198024</v>
      </c>
      <c r="BC159" s="5">
        <f t="shared" si="258"/>
        <v>7.7984636789350512E-2</v>
      </c>
      <c r="BD159" s="469">
        <f t="shared" si="296"/>
        <v>9.4806564147220627</v>
      </c>
      <c r="BF159" s="177">
        <f t="shared" si="265"/>
        <v>9.6796041289020848E-2</v>
      </c>
      <c r="BG159" s="177">
        <f t="shared" si="261"/>
        <v>8904.2735786669382</v>
      </c>
      <c r="BI159" s="538">
        <f t="shared" si="236"/>
        <v>3.27931576322904E-3</v>
      </c>
      <c r="BJ159" s="538">
        <f t="shared" si="237"/>
        <v>458.67234834278139</v>
      </c>
      <c r="BK159" s="538">
        <f t="shared" si="238"/>
        <v>4.3749999999999995E-3</v>
      </c>
      <c r="BL159" s="538">
        <f t="shared" si="239"/>
        <v>8462830.4513776898</v>
      </c>
      <c r="BM159">
        <f t="shared" si="240"/>
        <v>5.7999999999999996E-3</v>
      </c>
      <c r="BN159">
        <f t="shared" si="297"/>
        <v>1.3124999999999999E-5</v>
      </c>
      <c r="BO159" s="538">
        <f t="shared" si="298"/>
        <v>8468412.8132675607</v>
      </c>
      <c r="BP159" s="469">
        <f t="shared" si="243"/>
        <v>8463289137.1803474</v>
      </c>
      <c r="BQ159" s="538">
        <f t="shared" si="299"/>
        <v>60574571.218340516</v>
      </c>
      <c r="BT159" s="469">
        <f t="shared" si="245"/>
        <v>60574571218.340515</v>
      </c>
      <c r="BU159" s="538">
        <f t="shared" si="246"/>
        <v>9.3694736092258298E-4</v>
      </c>
      <c r="BV159" s="538">
        <f t="shared" si="247"/>
        <v>2378582.6389123835</v>
      </c>
      <c r="BW159" s="538">
        <f t="shared" si="248"/>
        <v>0</v>
      </c>
      <c r="BX159" s="538"/>
      <c r="BY159" s="538">
        <f t="shared" si="249"/>
        <v>2.4859333333333337E-3</v>
      </c>
      <c r="BZ159" s="469">
        <f t="shared" si="250"/>
        <v>2378582642.3352642</v>
      </c>
      <c r="CA159" s="177">
        <f t="shared" si="251"/>
        <v>71416442.99785611</v>
      </c>
      <c r="CB159" s="5">
        <f t="shared" si="252"/>
        <v>0.73499999999999999</v>
      </c>
      <c r="CC159" s="177">
        <f t="shared" si="253"/>
        <v>1.0291747412533974E-8</v>
      </c>
      <c r="CD159" s="5">
        <f t="shared" si="254"/>
        <v>1.0291747412533975E-6</v>
      </c>
      <c r="CG159" s="571">
        <f t="shared" si="300"/>
        <v>-50</v>
      </c>
      <c r="CH159">
        <f t="shared" si="301"/>
        <v>-50</v>
      </c>
    </row>
    <row r="160" spans="5:86" x14ac:dyDescent="0.25">
      <c r="E160" s="174">
        <v>50</v>
      </c>
      <c r="F160" s="221">
        <f t="shared" si="302"/>
        <v>0.05</v>
      </c>
      <c r="G160" s="221"/>
      <c r="H160" s="221">
        <f t="shared" si="266"/>
        <v>0.75</v>
      </c>
      <c r="I160" s="551">
        <f t="shared" si="267"/>
        <v>20</v>
      </c>
      <c r="J160" s="451">
        <f t="shared" si="268"/>
        <v>695386.58000000007</v>
      </c>
      <c r="K160" s="451">
        <f t="shared" si="269"/>
        <v>695406.58000000007</v>
      </c>
      <c r="L160" s="451"/>
      <c r="M160" s="221">
        <f t="shared" si="270"/>
        <v>0.9999712398464794</v>
      </c>
      <c r="N160" s="176">
        <f t="shared" si="271"/>
        <v>6.9298006921361024</v>
      </c>
      <c r="O160" s="176">
        <f t="shared" si="262"/>
        <v>0.75</v>
      </c>
      <c r="P160" s="221">
        <f t="shared" si="272"/>
        <v>0.4619867128090735</v>
      </c>
      <c r="Q160" s="221">
        <f t="shared" si="273"/>
        <v>15</v>
      </c>
      <c r="R160" s="221"/>
      <c r="S160" s="176">
        <f t="shared" si="274"/>
        <v>134.9995629700731</v>
      </c>
      <c r="T160" s="176">
        <f t="shared" si="275"/>
        <v>15</v>
      </c>
      <c r="U160" s="221">
        <f t="shared" si="276"/>
        <v>8.3335730081724235E-2</v>
      </c>
      <c r="V160" s="221">
        <f t="shared" si="277"/>
        <v>0.12500359512258635</v>
      </c>
      <c r="W160" s="221">
        <f t="shared" si="278"/>
        <v>3.595225985597431E-6</v>
      </c>
      <c r="X160" s="201">
        <f t="shared" si="279"/>
        <v>350</v>
      </c>
      <c r="Y160" s="451">
        <f t="shared" si="215"/>
        <v>350</v>
      </c>
      <c r="AA160" s="221">
        <f t="shared" si="280"/>
        <v>1.9047071235171036</v>
      </c>
      <c r="AB160" s="177">
        <f t="shared" si="281"/>
        <v>8.2171867201568798E-5</v>
      </c>
      <c r="AC160" s="177">
        <f t="shared" si="282"/>
        <v>1.2514141549591451</v>
      </c>
      <c r="AD160" s="177"/>
      <c r="AE160" s="177">
        <f t="shared" si="283"/>
        <v>6.4712206554230591E-6</v>
      </c>
      <c r="AF160" s="555">
        <f t="shared" si="284"/>
        <v>2254.8148148148152</v>
      </c>
      <c r="AG160" s="538">
        <f t="shared" si="285"/>
        <v>7.7611695137976321E-3</v>
      </c>
      <c r="AI160" s="177">
        <f t="shared" si="286"/>
        <v>0.38072612328599276</v>
      </c>
      <c r="AJ160" s="177">
        <f t="shared" si="287"/>
        <v>0.38072612328599276</v>
      </c>
      <c r="AK160" s="177">
        <f t="shared" si="288"/>
        <v>1.353817415523995</v>
      </c>
      <c r="AM160" s="555">
        <f t="shared" si="289"/>
        <v>50</v>
      </c>
      <c r="AN160" s="469">
        <f t="shared" si="290"/>
        <v>350</v>
      </c>
      <c r="AP160">
        <f t="shared" si="291"/>
        <v>50</v>
      </c>
      <c r="AQ160">
        <f t="shared" si="292"/>
        <v>350</v>
      </c>
      <c r="AS160" s="5">
        <f t="shared" si="263"/>
        <v>2.8571428571428572</v>
      </c>
      <c r="AT160" s="5">
        <f t="shared" si="293"/>
        <v>0.57108918492898919</v>
      </c>
      <c r="AU160" s="5">
        <f t="shared" si="230"/>
        <v>2.286053672213868</v>
      </c>
      <c r="AV160" s="5"/>
      <c r="AW160" s="177">
        <f t="shared" si="231"/>
        <v>0.19988121472514622</v>
      </c>
      <c r="AX160" s="177">
        <f t="shared" si="259"/>
        <v>0.76100000000000001</v>
      </c>
      <c r="AY160" s="177">
        <f t="shared" si="260"/>
        <v>6959.0314734068616</v>
      </c>
      <c r="AZ160" s="177">
        <f t="shared" si="264"/>
        <v>1.0935429777952205E-4</v>
      </c>
      <c r="BA160" s="469">
        <f t="shared" si="294"/>
        <v>3.7498921501997473</v>
      </c>
      <c r="BB160" s="469">
        <f t="shared" si="295"/>
        <v>0.72913765620554205</v>
      </c>
      <c r="BC160" s="5">
        <f t="shared" si="258"/>
        <v>7.9376863618537075E-2</v>
      </c>
      <c r="BD160" s="469">
        <f t="shared" si="296"/>
        <v>9.6502236342244494</v>
      </c>
      <c r="BF160" s="177">
        <f t="shared" si="265"/>
        <v>9.8273865603669089E-2</v>
      </c>
      <c r="BG160" s="177">
        <f t="shared" si="261"/>
        <v>8983.4040904235681</v>
      </c>
      <c r="BI160" s="538">
        <f t="shared" si="236"/>
        <v>3.3802134312408052E-3</v>
      </c>
      <c r="BJ160" s="538">
        <f t="shared" si="237"/>
        <v>463.32903979419854</v>
      </c>
      <c r="BK160" s="538">
        <f t="shared" si="238"/>
        <v>4.3749999999999995E-3</v>
      </c>
      <c r="BL160" s="538">
        <f t="shared" si="239"/>
        <v>8462830.4513776898</v>
      </c>
      <c r="BM160">
        <f t="shared" si="240"/>
        <v>5.7999999999999996E-3</v>
      </c>
      <c r="BN160">
        <f t="shared" si="297"/>
        <v>1.3124999999999999E-5</v>
      </c>
      <c r="BO160" s="538">
        <f t="shared" si="298"/>
        <v>8468575.2161087636</v>
      </c>
      <c r="BP160" s="469">
        <f t="shared" si="243"/>
        <v>8463293793.9726973</v>
      </c>
      <c r="BQ160" s="538">
        <f t="shared" si="299"/>
        <v>61655983.489929892</v>
      </c>
      <c r="BT160" s="469">
        <f t="shared" si="245"/>
        <v>61655983489.929893</v>
      </c>
      <c r="BU160" s="538">
        <f t="shared" si="246"/>
        <v>9.6577526606880153E-4</v>
      </c>
      <c r="BV160" s="538">
        <f t="shared" si="247"/>
        <v>2421046.4715551664</v>
      </c>
      <c r="BW160" s="538">
        <f t="shared" si="248"/>
        <v>0</v>
      </c>
      <c r="BX160" s="538"/>
      <c r="BY160" s="538">
        <f t="shared" si="249"/>
        <v>2.5366666666666667E-3</v>
      </c>
      <c r="BZ160" s="469">
        <f t="shared" si="250"/>
        <v>2421046475.0576086</v>
      </c>
      <c r="CA160" s="177">
        <f t="shared" si="251"/>
        <v>72540323.758960202</v>
      </c>
      <c r="CB160" s="5">
        <f t="shared" si="252"/>
        <v>0.75</v>
      </c>
      <c r="CC160" s="177">
        <f t="shared" si="253"/>
        <v>1.0339076990307091E-8</v>
      </c>
      <c r="CD160" s="5">
        <f t="shared" si="254"/>
        <v>1.0339076990307092E-6</v>
      </c>
      <c r="CG160" s="571">
        <f t="shared" si="300"/>
        <v>-50</v>
      </c>
      <c r="CH160">
        <f t="shared" si="301"/>
        <v>-50</v>
      </c>
    </row>
    <row r="161" spans="5:86" x14ac:dyDescent="0.25">
      <c r="E161" s="174">
        <v>51</v>
      </c>
      <c r="F161" s="221">
        <f t="shared" si="302"/>
        <v>5.1000000000000004E-2</v>
      </c>
      <c r="G161" s="221"/>
      <c r="H161" s="221">
        <f t="shared" si="266"/>
        <v>0.76500000000000001</v>
      </c>
      <c r="I161" s="551">
        <f t="shared" si="267"/>
        <v>20</v>
      </c>
      <c r="J161" s="451">
        <f t="shared" si="268"/>
        <v>695386.58000000007</v>
      </c>
      <c r="K161" s="451">
        <f t="shared" si="269"/>
        <v>695406.58000000007</v>
      </c>
      <c r="L161" s="451"/>
      <c r="M161" s="221">
        <f t="shared" si="270"/>
        <v>0.9999712398464794</v>
      </c>
      <c r="N161" s="176">
        <f t="shared" si="271"/>
        <v>6.9298006921361024</v>
      </c>
      <c r="O161" s="176">
        <f t="shared" si="262"/>
        <v>0.76500000000000001</v>
      </c>
      <c r="P161" s="221">
        <f t="shared" si="272"/>
        <v>0.4619867128090735</v>
      </c>
      <c r="Q161" s="221">
        <f t="shared" si="273"/>
        <v>15</v>
      </c>
      <c r="R161" s="221"/>
      <c r="S161" s="176">
        <f t="shared" si="274"/>
        <v>132.35250416076406</v>
      </c>
      <c r="T161" s="176">
        <f t="shared" si="275"/>
        <v>15</v>
      </c>
      <c r="U161" s="221">
        <f t="shared" si="276"/>
        <v>8.5002444683358713E-2</v>
      </c>
      <c r="V161" s="221">
        <f t="shared" si="277"/>
        <v>0.12750366702503807</v>
      </c>
      <c r="W161" s="221">
        <f t="shared" si="278"/>
        <v>3.6671305053093797E-6</v>
      </c>
      <c r="X161" s="201">
        <f t="shared" si="279"/>
        <v>350</v>
      </c>
      <c r="Y161" s="451">
        <f t="shared" si="215"/>
        <v>350</v>
      </c>
      <c r="AA161" s="221">
        <f t="shared" si="280"/>
        <v>1.9047071235171036</v>
      </c>
      <c r="AB161" s="177">
        <f t="shared" si="281"/>
        <v>8.2171867201568798E-5</v>
      </c>
      <c r="AC161" s="177">
        <f t="shared" si="282"/>
        <v>1.2514141549591451</v>
      </c>
      <c r="AD161" s="177"/>
      <c r="AE161" s="177">
        <f t="shared" si="283"/>
        <v>6.4712206554230591E-6</v>
      </c>
      <c r="AF161" s="555">
        <f t="shared" si="284"/>
        <v>2299.9111111111119</v>
      </c>
      <c r="AG161" s="538">
        <f t="shared" si="285"/>
        <v>7.7611695137976321E-3</v>
      </c>
      <c r="AI161" s="177">
        <f t="shared" si="286"/>
        <v>0.38451453622903331</v>
      </c>
      <c r="AJ161" s="177">
        <f t="shared" si="287"/>
        <v>0.38451453622903331</v>
      </c>
      <c r="AK161" s="177">
        <f t="shared" si="288"/>
        <v>1.3563430241526888</v>
      </c>
      <c r="AM161" s="555">
        <f t="shared" si="289"/>
        <v>51.000000000000007</v>
      </c>
      <c r="AN161" s="469">
        <f t="shared" si="290"/>
        <v>350</v>
      </c>
      <c r="AP161">
        <f t="shared" si="291"/>
        <v>51.000000000000007</v>
      </c>
      <c r="AQ161">
        <f t="shared" si="292"/>
        <v>350</v>
      </c>
      <c r="AS161" s="5">
        <f t="shared" si="263"/>
        <v>2.8571428571428572</v>
      </c>
      <c r="AT161" s="5">
        <f t="shared" si="293"/>
        <v>0.57677180434354991</v>
      </c>
      <c r="AU161" s="5">
        <f t="shared" si="230"/>
        <v>2.2803710527993073</v>
      </c>
      <c r="AV161" s="5"/>
      <c r="AW161" s="177">
        <f t="shared" si="231"/>
        <v>0.20187013152024247</v>
      </c>
      <c r="AX161" s="177">
        <f t="shared" si="259"/>
        <v>0.77622000000000002</v>
      </c>
      <c r="AY161" s="177">
        <f t="shared" si="260"/>
        <v>7010.8065438841522</v>
      </c>
      <c r="AZ161" s="177">
        <f t="shared" si="264"/>
        <v>1.1071764641361161E-4</v>
      </c>
      <c r="BA161" s="469">
        <f t="shared" si="294"/>
        <v>3.7498921501997473</v>
      </c>
      <c r="BB161" s="469">
        <f t="shared" si="295"/>
        <v>0.75553481751624574</v>
      </c>
      <c r="BC161" s="5">
        <f t="shared" si="258"/>
        <v>8.0763141453308776E-2</v>
      </c>
      <c r="BD161" s="469">
        <f t="shared" si="296"/>
        <v>9.8190769743970545</v>
      </c>
      <c r="BF161" s="177">
        <f t="shared" si="265"/>
        <v>9.9744318687281674E-2</v>
      </c>
      <c r="BG161" s="177">
        <f t="shared" si="261"/>
        <v>9061.5099109020139</v>
      </c>
      <c r="BI161" s="538">
        <f t="shared" si="236"/>
        <v>3.4821251886365027E-3</v>
      </c>
      <c r="BJ161" s="538">
        <f t="shared" si="237"/>
        <v>467.93939254880695</v>
      </c>
      <c r="BK161" s="538">
        <f t="shared" si="238"/>
        <v>4.3749999999999995E-3</v>
      </c>
      <c r="BL161" s="538">
        <f t="shared" si="239"/>
        <v>8462830.4513776898</v>
      </c>
      <c r="BM161">
        <f t="shared" si="240"/>
        <v>5.7999999999999996E-3</v>
      </c>
      <c r="BN161">
        <f t="shared" si="297"/>
        <v>1.3124999999999999E-5</v>
      </c>
      <c r="BO161" s="538">
        <f t="shared" si="298"/>
        <v>8468739.1641480979</v>
      </c>
      <c r="BP161" s="469">
        <f t="shared" si="243"/>
        <v>8463298404.4273624</v>
      </c>
      <c r="BQ161" s="538">
        <f t="shared" si="299"/>
        <v>62732774.879758313</v>
      </c>
      <c r="BT161" s="469">
        <f t="shared" si="245"/>
        <v>62732774879.758316</v>
      </c>
      <c r="BU161" s="538">
        <f t="shared" si="246"/>
        <v>9.9489291103900079E-4</v>
      </c>
      <c r="BV161" s="538">
        <f t="shared" si="247"/>
        <v>2463328.8559612627</v>
      </c>
      <c r="BW161" s="538">
        <f t="shared" si="248"/>
        <v>0</v>
      </c>
      <c r="BX161" s="538"/>
      <c r="BY161" s="538">
        <f t="shared" si="249"/>
        <v>2.5874000000000006E-3</v>
      </c>
      <c r="BZ161" s="469">
        <f t="shared" si="250"/>
        <v>2463328859.5435553</v>
      </c>
      <c r="CA161" s="177">
        <f t="shared" si="251"/>
        <v>73659402.143729225</v>
      </c>
      <c r="CB161" s="5">
        <f t="shared" si="252"/>
        <v>0.76500000000000001</v>
      </c>
      <c r="CC161" s="177">
        <f t="shared" si="253"/>
        <v>1.0385639440329232E-8</v>
      </c>
      <c r="CD161" s="5">
        <f t="shared" si="254"/>
        <v>1.0385639440329233E-6</v>
      </c>
      <c r="CG161" s="571">
        <f t="shared" si="300"/>
        <v>-50</v>
      </c>
      <c r="CH161">
        <f t="shared" si="301"/>
        <v>-50</v>
      </c>
    </row>
    <row r="162" spans="5:86" x14ac:dyDescent="0.25">
      <c r="E162" s="174">
        <v>52</v>
      </c>
      <c r="F162" s="221">
        <f t="shared" si="302"/>
        <v>5.2000000000000005E-2</v>
      </c>
      <c r="G162" s="221"/>
      <c r="H162" s="221">
        <f t="shared" si="266"/>
        <v>0.78</v>
      </c>
      <c r="I162" s="551">
        <f t="shared" si="267"/>
        <v>20</v>
      </c>
      <c r="J162" s="451">
        <f t="shared" si="268"/>
        <v>695386.58000000007</v>
      </c>
      <c r="K162" s="451">
        <f t="shared" si="269"/>
        <v>695406.58000000007</v>
      </c>
      <c r="L162" s="451"/>
      <c r="M162" s="221">
        <f t="shared" si="270"/>
        <v>0.9999712398464794</v>
      </c>
      <c r="N162" s="176">
        <f t="shared" si="271"/>
        <v>6.9298006921361024</v>
      </c>
      <c r="O162" s="176">
        <f t="shared" si="262"/>
        <v>0.78</v>
      </c>
      <c r="P162" s="221">
        <f t="shared" si="272"/>
        <v>0.4619867128090735</v>
      </c>
      <c r="Q162" s="221">
        <f t="shared" si="273"/>
        <v>15</v>
      </c>
      <c r="R162" s="221"/>
      <c r="S162" s="176">
        <f t="shared" si="274"/>
        <v>129.80725530620529</v>
      </c>
      <c r="T162" s="176">
        <f t="shared" si="275"/>
        <v>15</v>
      </c>
      <c r="U162" s="221">
        <f t="shared" si="276"/>
        <v>8.6669159284993205E-2</v>
      </c>
      <c r="V162" s="221">
        <f t="shared" si="277"/>
        <v>0.13000373892748981</v>
      </c>
      <c r="W162" s="221">
        <f t="shared" si="278"/>
        <v>3.7390350250213283E-6</v>
      </c>
      <c r="X162" s="201">
        <f t="shared" si="279"/>
        <v>350</v>
      </c>
      <c r="Y162" s="451">
        <f t="shared" si="215"/>
        <v>350</v>
      </c>
      <c r="AA162" s="221">
        <f t="shared" si="280"/>
        <v>1.9047071235171036</v>
      </c>
      <c r="AB162" s="177">
        <f t="shared" si="281"/>
        <v>8.2171867201568798E-5</v>
      </c>
      <c r="AC162" s="177">
        <f t="shared" si="282"/>
        <v>1.2514141549591451</v>
      </c>
      <c r="AD162" s="177"/>
      <c r="AE162" s="177">
        <f t="shared" si="283"/>
        <v>6.4712206554230591E-6</v>
      </c>
      <c r="AF162" s="555">
        <f t="shared" si="284"/>
        <v>2345.0074074074082</v>
      </c>
      <c r="AG162" s="538">
        <f t="shared" si="285"/>
        <v>7.7611695137976321E-3</v>
      </c>
      <c r="AI162" s="177">
        <f t="shared" si="286"/>
        <v>0.38826598639396193</v>
      </c>
      <c r="AJ162" s="177">
        <f t="shared" si="287"/>
        <v>0.38826598639396193</v>
      </c>
      <c r="AK162" s="177">
        <f t="shared" si="288"/>
        <v>1.358843990929308</v>
      </c>
      <c r="AM162" s="555">
        <f t="shared" si="289"/>
        <v>52.000000000000007</v>
      </c>
      <c r="AN162" s="469">
        <f t="shared" si="290"/>
        <v>350</v>
      </c>
      <c r="AP162">
        <f t="shared" si="291"/>
        <v>52.000000000000007</v>
      </c>
      <c r="AQ162">
        <f t="shared" si="292"/>
        <v>350</v>
      </c>
      <c r="AS162" s="5">
        <f t="shared" si="263"/>
        <v>2.8571428571428572</v>
      </c>
      <c r="AT162" s="5">
        <f t="shared" si="293"/>
        <v>0.58239897959094289</v>
      </c>
      <c r="AU162" s="5">
        <f t="shared" si="230"/>
        <v>2.2747438775519142</v>
      </c>
      <c r="AV162" s="5"/>
      <c r="AW162" s="177">
        <f t="shared" si="231"/>
        <v>0.20383964285683001</v>
      </c>
      <c r="AX162" s="177">
        <f t="shared" si="259"/>
        <v>0.79144000000000025</v>
      </c>
      <c r="AY162" s="177">
        <f t="shared" si="260"/>
        <v>7061.7372181768633</v>
      </c>
      <c r="AZ162" s="177">
        <f t="shared" si="264"/>
        <v>1.1207440542574129E-4</v>
      </c>
      <c r="BA162" s="469">
        <f t="shared" si="294"/>
        <v>3.7498921501997473</v>
      </c>
      <c r="BB162" s="469">
        <f t="shared" si="295"/>
        <v>0.78239528895191413</v>
      </c>
      <c r="BC162" s="5">
        <f t="shared" si="258"/>
        <v>8.2143528911596889E-2</v>
      </c>
      <c r="BD162" s="469">
        <f t="shared" si="296"/>
        <v>9.987223469391628</v>
      </c>
      <c r="BF162" s="177">
        <f t="shared" si="265"/>
        <v>0.10120758078846949</v>
      </c>
      <c r="BG162" s="177">
        <f t="shared" si="261"/>
        <v>9138.6205742735438</v>
      </c>
      <c r="BI162" s="538">
        <f t="shared" si="236"/>
        <v>3.5850410431691022E-3</v>
      </c>
      <c r="BJ162" s="538">
        <f t="shared" si="237"/>
        <v>472.50476302496531</v>
      </c>
      <c r="BK162" s="538">
        <f t="shared" si="238"/>
        <v>4.3749999999999995E-3</v>
      </c>
      <c r="BL162" s="538">
        <f t="shared" si="239"/>
        <v>8462830.4513776898</v>
      </c>
      <c r="BM162">
        <f t="shared" si="240"/>
        <v>5.7999999999999996E-3</v>
      </c>
      <c r="BN162">
        <f t="shared" si="297"/>
        <v>1.3124999999999999E-5</v>
      </c>
      <c r="BO162" s="538">
        <f t="shared" si="298"/>
        <v>8468904.6432988197</v>
      </c>
      <c r="BP162" s="469">
        <f t="shared" si="243"/>
        <v>8463302969.9007549</v>
      </c>
      <c r="BQ162" s="538">
        <f t="shared" si="299"/>
        <v>63804990.919307269</v>
      </c>
      <c r="BT162" s="469">
        <f t="shared" si="245"/>
        <v>63804990919.307266</v>
      </c>
      <c r="BU162" s="538">
        <f t="shared" si="246"/>
        <v>1.0242974409054579E-3</v>
      </c>
      <c r="BV162" s="538">
        <f t="shared" si="247"/>
        <v>2505431.5800160714</v>
      </c>
      <c r="BW162" s="538">
        <f t="shared" si="248"/>
        <v>0</v>
      </c>
      <c r="BX162" s="538"/>
      <c r="BY162" s="538">
        <f t="shared" si="249"/>
        <v>2.6381333333333344E-3</v>
      </c>
      <c r="BZ162" s="469">
        <f t="shared" si="250"/>
        <v>2505431583.6785021</v>
      </c>
      <c r="CA162" s="177">
        <f t="shared" si="251"/>
        <v>74773725.472886518</v>
      </c>
      <c r="CB162" s="5">
        <f t="shared" si="252"/>
        <v>0.78</v>
      </c>
      <c r="CC162" s="177">
        <f t="shared" si="253"/>
        <v>1.0431471575483901E-8</v>
      </c>
      <c r="CD162" s="5">
        <f t="shared" si="254"/>
        <v>1.0431471575483902E-6</v>
      </c>
      <c r="CG162" s="571">
        <f t="shared" si="300"/>
        <v>-50</v>
      </c>
      <c r="CH162">
        <f t="shared" si="301"/>
        <v>-50</v>
      </c>
    </row>
    <row r="163" spans="5:86" x14ac:dyDescent="0.25">
      <c r="E163" s="174">
        <v>53</v>
      </c>
      <c r="F163" s="221">
        <f t="shared" si="302"/>
        <v>5.3000000000000005E-2</v>
      </c>
      <c r="G163" s="221"/>
      <c r="H163" s="221">
        <f t="shared" si="266"/>
        <v>0.79500000000000004</v>
      </c>
      <c r="I163" s="551">
        <f t="shared" si="267"/>
        <v>20</v>
      </c>
      <c r="J163" s="451">
        <f t="shared" si="268"/>
        <v>695386.58000000007</v>
      </c>
      <c r="K163" s="451">
        <f t="shared" si="269"/>
        <v>695406.58000000007</v>
      </c>
      <c r="L163" s="451"/>
      <c r="M163" s="221">
        <f t="shared" si="270"/>
        <v>0.9999712398464794</v>
      </c>
      <c r="N163" s="176">
        <f t="shared" si="271"/>
        <v>6.9298006921361024</v>
      </c>
      <c r="O163" s="176">
        <f t="shared" si="262"/>
        <v>0.79500000000000004</v>
      </c>
      <c r="P163" s="221">
        <f t="shared" si="272"/>
        <v>0.4619867128090735</v>
      </c>
      <c r="Q163" s="221">
        <f t="shared" si="273"/>
        <v>15</v>
      </c>
      <c r="R163" s="221"/>
      <c r="S163" s="176">
        <f t="shared" si="274"/>
        <v>127.35805357876926</v>
      </c>
      <c r="T163" s="176">
        <f t="shared" si="275"/>
        <v>15</v>
      </c>
      <c r="U163" s="221">
        <f t="shared" si="276"/>
        <v>8.8335873886627683E-2</v>
      </c>
      <c r="V163" s="221">
        <f t="shared" si="277"/>
        <v>0.13250381082994153</v>
      </c>
      <c r="W163" s="221">
        <f t="shared" si="278"/>
        <v>3.8109395447332769E-6</v>
      </c>
      <c r="X163" s="201">
        <f t="shared" si="279"/>
        <v>350</v>
      </c>
      <c r="Y163" s="451">
        <f t="shared" si="215"/>
        <v>350</v>
      </c>
      <c r="AA163" s="221">
        <f t="shared" si="280"/>
        <v>1.9047071235171036</v>
      </c>
      <c r="AB163" s="177">
        <f t="shared" si="281"/>
        <v>8.2171867201568798E-5</v>
      </c>
      <c r="AC163" s="177">
        <f t="shared" si="282"/>
        <v>1.2514141549591451</v>
      </c>
      <c r="AD163" s="177"/>
      <c r="AE163" s="177">
        <f t="shared" si="283"/>
        <v>6.4712206554230591E-6</v>
      </c>
      <c r="AF163" s="555">
        <f t="shared" si="284"/>
        <v>2390.1037037037049</v>
      </c>
      <c r="AG163" s="538">
        <f t="shared" si="285"/>
        <v>7.7611695137976321E-3</v>
      </c>
      <c r="AI163" s="177">
        <f t="shared" si="286"/>
        <v>0.39198153503643995</v>
      </c>
      <c r="AJ163" s="177">
        <f t="shared" si="287"/>
        <v>0.39198153503643995</v>
      </c>
      <c r="AK163" s="177">
        <f t="shared" si="288"/>
        <v>1.3613210233576267</v>
      </c>
      <c r="AM163" s="555">
        <f t="shared" si="289"/>
        <v>53.000000000000007</v>
      </c>
      <c r="AN163" s="469">
        <f t="shared" si="290"/>
        <v>350</v>
      </c>
      <c r="AP163">
        <f t="shared" si="291"/>
        <v>53.000000000000007</v>
      </c>
      <c r="AQ163">
        <f t="shared" si="292"/>
        <v>350</v>
      </c>
      <c r="AS163" s="5">
        <f t="shared" si="263"/>
        <v>2.8571428571428572</v>
      </c>
      <c r="AT163" s="5">
        <f t="shared" si="293"/>
        <v>0.58797230255465993</v>
      </c>
      <c r="AU163" s="5">
        <f t="shared" si="230"/>
        <v>2.2691705545881975</v>
      </c>
      <c r="AV163" s="5"/>
      <c r="AW163" s="177">
        <f t="shared" si="231"/>
        <v>0.20579030589413097</v>
      </c>
      <c r="AX163" s="177">
        <f t="shared" si="259"/>
        <v>0.80665999999999982</v>
      </c>
      <c r="AY163" s="177">
        <f t="shared" si="260"/>
        <v>7111.8477401399523</v>
      </c>
      <c r="AZ163" s="177">
        <f t="shared" si="264"/>
        <v>1.1342481299861543E-4</v>
      </c>
      <c r="BA163" s="469">
        <f t="shared" si="294"/>
        <v>3.7498921501997473</v>
      </c>
      <c r="BB163" s="469">
        <f t="shared" si="295"/>
        <v>0.80971907051254699</v>
      </c>
      <c r="BC163" s="5">
        <f t="shared" si="258"/>
        <v>8.3518082911926708E-2</v>
      </c>
      <c r="BD163" s="469">
        <f t="shared" si="296"/>
        <v>10.154669949431208</v>
      </c>
      <c r="BF163" s="177">
        <f t="shared" si="265"/>
        <v>0.1026638243739398</v>
      </c>
      <c r="BG163" s="177">
        <f t="shared" si="261"/>
        <v>9214.7642034798246</v>
      </c>
      <c r="BI163" s="538">
        <f t="shared" si="236"/>
        <v>3.6889512922791039E-3</v>
      </c>
      <c r="BJ163" s="538">
        <f t="shared" si="237"/>
        <v>477.02644272997162</v>
      </c>
      <c r="BK163" s="538">
        <f t="shared" si="238"/>
        <v>4.3749999999999995E-3</v>
      </c>
      <c r="BL163" s="538">
        <f t="shared" si="239"/>
        <v>8462830.4513776898</v>
      </c>
      <c r="BM163">
        <f t="shared" si="240"/>
        <v>5.7999999999999996E-3</v>
      </c>
      <c r="BN163">
        <f t="shared" si="297"/>
        <v>1.3124999999999999E-5</v>
      </c>
      <c r="BO163" s="538">
        <f t="shared" si="298"/>
        <v>8469071.6398616191</v>
      </c>
      <c r="BP163" s="469">
        <f t="shared" si="243"/>
        <v>8463307491.68437</v>
      </c>
      <c r="BQ163" s="538">
        <f t="shared" si="299"/>
        <v>64872675.820044622</v>
      </c>
      <c r="BT163" s="469">
        <f t="shared" si="245"/>
        <v>64872675820.044624</v>
      </c>
      <c r="BU163" s="538">
        <f t="shared" si="246"/>
        <v>1.0539860835083155E-3</v>
      </c>
      <c r="BV163" s="538">
        <f t="shared" si="247"/>
        <v>2547356.3797719949</v>
      </c>
      <c r="BW163" s="538">
        <f t="shared" si="248"/>
        <v>0</v>
      </c>
      <c r="BX163" s="538"/>
      <c r="BY163" s="538">
        <f t="shared" si="249"/>
        <v>2.6888666666666666E-3</v>
      </c>
      <c r="BZ163" s="469">
        <f t="shared" si="250"/>
        <v>2547356383.5148478</v>
      </c>
      <c r="CA163" s="177">
        <f t="shared" si="251"/>
        <v>75883339.695243835</v>
      </c>
      <c r="CB163" s="5">
        <f t="shared" si="252"/>
        <v>0.79500000000000004</v>
      </c>
      <c r="CC163" s="177">
        <f t="shared" si="253"/>
        <v>1.0476607841245623E-8</v>
      </c>
      <c r="CD163" s="5">
        <f t="shared" si="254"/>
        <v>1.0476607841245623E-6</v>
      </c>
      <c r="CG163" s="571">
        <f t="shared" si="300"/>
        <v>-50</v>
      </c>
      <c r="CH163">
        <f t="shared" si="301"/>
        <v>-50</v>
      </c>
    </row>
    <row r="164" spans="5:86" x14ac:dyDescent="0.25">
      <c r="E164" s="174">
        <v>54</v>
      </c>
      <c r="F164" s="221">
        <f t="shared" si="302"/>
        <v>5.4000000000000006E-2</v>
      </c>
      <c r="G164" s="221"/>
      <c r="H164" s="221">
        <f t="shared" si="266"/>
        <v>0.81</v>
      </c>
      <c r="I164" s="551">
        <f t="shared" si="267"/>
        <v>20</v>
      </c>
      <c r="J164" s="451">
        <f t="shared" si="268"/>
        <v>695386.58000000007</v>
      </c>
      <c r="K164" s="451">
        <f t="shared" si="269"/>
        <v>695406.58000000007</v>
      </c>
      <c r="L164" s="451"/>
      <c r="M164" s="221">
        <f t="shared" si="270"/>
        <v>0.9999712398464794</v>
      </c>
      <c r="N164" s="176">
        <f t="shared" si="271"/>
        <v>6.9298006921361024</v>
      </c>
      <c r="O164" s="176">
        <f t="shared" si="262"/>
        <v>0.81</v>
      </c>
      <c r="P164" s="221">
        <f t="shared" si="272"/>
        <v>0.4619867128090735</v>
      </c>
      <c r="Q164" s="221">
        <f t="shared" si="273"/>
        <v>15</v>
      </c>
      <c r="R164" s="221"/>
      <c r="S164" s="176">
        <f t="shared" si="274"/>
        <v>124.99956302694915</v>
      </c>
      <c r="T164" s="176">
        <f t="shared" si="275"/>
        <v>15</v>
      </c>
      <c r="U164" s="221">
        <f t="shared" si="276"/>
        <v>9.0002588488262175E-2</v>
      </c>
      <c r="V164" s="221">
        <f t="shared" si="277"/>
        <v>0.13500388273239325</v>
      </c>
      <c r="W164" s="221">
        <f t="shared" si="278"/>
        <v>3.8828440644452252E-6</v>
      </c>
      <c r="X164" s="201">
        <f t="shared" si="279"/>
        <v>350</v>
      </c>
      <c r="Y164" s="451">
        <f t="shared" si="215"/>
        <v>350</v>
      </c>
      <c r="AA164" s="221">
        <f t="shared" si="280"/>
        <v>1.9047071235171036</v>
      </c>
      <c r="AB164" s="177">
        <f t="shared" si="281"/>
        <v>8.2171867201568798E-5</v>
      </c>
      <c r="AC164" s="177">
        <f t="shared" si="282"/>
        <v>1.2514141549591451</v>
      </c>
      <c r="AD164" s="177"/>
      <c r="AE164" s="177">
        <f t="shared" si="283"/>
        <v>6.4712206554230591E-6</v>
      </c>
      <c r="AF164" s="555">
        <f t="shared" si="284"/>
        <v>2435.2000000000007</v>
      </c>
      <c r="AG164" s="538">
        <f t="shared" si="285"/>
        <v>7.7611695137976321E-3</v>
      </c>
      <c r="AI164" s="177">
        <f t="shared" si="286"/>
        <v>0.39566219358004306</v>
      </c>
      <c r="AJ164" s="177">
        <f t="shared" si="287"/>
        <v>0.39566219358004306</v>
      </c>
      <c r="AK164" s="177">
        <f t="shared" si="288"/>
        <v>1.3637747957200288</v>
      </c>
      <c r="AM164" s="555">
        <f t="shared" si="289"/>
        <v>54.000000000000007</v>
      </c>
      <c r="AN164" s="469">
        <f t="shared" si="290"/>
        <v>350</v>
      </c>
      <c r="AP164">
        <f t="shared" si="291"/>
        <v>54.000000000000007</v>
      </c>
      <c r="AQ164">
        <f t="shared" si="292"/>
        <v>350</v>
      </c>
      <c r="AS164" s="5">
        <f t="shared" si="263"/>
        <v>2.8571428571428572</v>
      </c>
      <c r="AT164" s="5">
        <f t="shared" si="293"/>
        <v>0.5934932903700646</v>
      </c>
      <c r="AU164" s="5">
        <f t="shared" si="230"/>
        <v>2.2636495667727927</v>
      </c>
      <c r="AV164" s="5"/>
      <c r="AW164" s="177">
        <f t="shared" si="231"/>
        <v>0.20772265162952261</v>
      </c>
      <c r="AX164" s="177">
        <f t="shared" si="259"/>
        <v>0.82188000000000028</v>
      </c>
      <c r="AY164" s="177">
        <f t="shared" si="260"/>
        <v>7161.1612152392936</v>
      </c>
      <c r="AZ164" s="177">
        <f t="shared" si="264"/>
        <v>1.1476909614197769E-4</v>
      </c>
      <c r="BA164" s="469">
        <f t="shared" si="294"/>
        <v>3.7498921501997473</v>
      </c>
      <c r="BB164" s="469">
        <f t="shared" si="295"/>
        <v>0.83750616219814411</v>
      </c>
      <c r="BC164" s="5">
        <f t="shared" si="258"/>
        <v>8.4886858753979708E-2</v>
      </c>
      <c r="BD164" s="469">
        <f t="shared" si="296"/>
        <v>10.321423050477566</v>
      </c>
      <c r="BF164" s="177">
        <f t="shared" si="265"/>
        <v>0.10411321460467381</v>
      </c>
      <c r="BG164" s="177">
        <f t="shared" si="261"/>
        <v>9289.9676029317452</v>
      </c>
      <c r="BI164" s="538">
        <f t="shared" si="236"/>
        <v>3.793846509361602E-3</v>
      </c>
      <c r="BJ164" s="538">
        <f t="shared" si="237"/>
        <v>481.50566252739253</v>
      </c>
      <c r="BK164" s="538">
        <f t="shared" si="238"/>
        <v>4.3749999999999995E-3</v>
      </c>
      <c r="BL164" s="538">
        <f t="shared" si="239"/>
        <v>8462830.4513776898</v>
      </c>
      <c r="BM164">
        <f t="shared" si="240"/>
        <v>5.7999999999999996E-3</v>
      </c>
      <c r="BN164">
        <f t="shared" si="297"/>
        <v>1.3124999999999999E-5</v>
      </c>
      <c r="BO164" s="538">
        <f t="shared" si="298"/>
        <v>8469240.1405074261</v>
      </c>
      <c r="BP164" s="469">
        <f t="shared" si="243"/>
        <v>8463311971.0090628</v>
      </c>
      <c r="BQ164" s="538">
        <f t="shared" si="299"/>
        <v>65935872.53600134</v>
      </c>
      <c r="BT164" s="469">
        <f t="shared" si="245"/>
        <v>65935872536.001343</v>
      </c>
      <c r="BU164" s="538">
        <f t="shared" si="246"/>
        <v>1.0839561455318863E-3</v>
      </c>
      <c r="BV164" s="538">
        <f t="shared" si="247"/>
        <v>2589104.9419056419</v>
      </c>
      <c r="BW164" s="538">
        <f t="shared" si="248"/>
        <v>0</v>
      </c>
      <c r="BX164" s="538"/>
      <c r="BY164" s="538">
        <f t="shared" si="249"/>
        <v>2.7396000000000013E-3</v>
      </c>
      <c r="BZ164" s="469">
        <f t="shared" si="250"/>
        <v>2589104945.729198</v>
      </c>
      <c r="CA164" s="177">
        <f t="shared" si="251"/>
        <v>76988289.452739596</v>
      </c>
      <c r="CB164" s="5">
        <f t="shared" si="252"/>
        <v>0.81</v>
      </c>
      <c r="CC164" s="177">
        <f t="shared" si="253"/>
        <v>1.0521080507642078E-8</v>
      </c>
      <c r="CD164" s="5">
        <f t="shared" si="254"/>
        <v>1.0521080507642078E-6</v>
      </c>
      <c r="CG164" s="571">
        <f t="shared" si="300"/>
        <v>-50</v>
      </c>
      <c r="CH164">
        <f t="shared" si="301"/>
        <v>-50</v>
      </c>
    </row>
    <row r="165" spans="5:86" x14ac:dyDescent="0.25">
      <c r="E165" s="174">
        <v>55</v>
      </c>
      <c r="F165" s="221">
        <f t="shared" si="302"/>
        <v>5.5000000000000007E-2</v>
      </c>
      <c r="G165" s="221"/>
      <c r="H165" s="221">
        <f t="shared" si="266"/>
        <v>0.82500000000000007</v>
      </c>
      <c r="I165" s="551">
        <f t="shared" si="267"/>
        <v>20</v>
      </c>
      <c r="J165" s="451">
        <f t="shared" si="268"/>
        <v>695386.58000000007</v>
      </c>
      <c r="K165" s="451">
        <f t="shared" si="269"/>
        <v>695406.58000000007</v>
      </c>
      <c r="L165" s="451"/>
      <c r="M165" s="221">
        <f t="shared" si="270"/>
        <v>0.9999712398464794</v>
      </c>
      <c r="N165" s="176">
        <f t="shared" si="271"/>
        <v>6.9298006921361024</v>
      </c>
      <c r="O165" s="176">
        <f t="shared" si="262"/>
        <v>0.82500000000000007</v>
      </c>
      <c r="P165" s="221">
        <f t="shared" si="272"/>
        <v>0.4619867128090735</v>
      </c>
      <c r="Q165" s="221">
        <f t="shared" si="273"/>
        <v>15</v>
      </c>
      <c r="R165" s="221"/>
      <c r="S165" s="176">
        <f t="shared" si="274"/>
        <v>122.72683576843855</v>
      </c>
      <c r="T165" s="176">
        <f t="shared" si="275"/>
        <v>15</v>
      </c>
      <c r="U165" s="221">
        <f t="shared" si="276"/>
        <v>9.1669303089896667E-2</v>
      </c>
      <c r="V165" s="221">
        <f t="shared" si="277"/>
        <v>0.13750395463484499</v>
      </c>
      <c r="W165" s="221">
        <f t="shared" si="278"/>
        <v>3.9547485841571751E-6</v>
      </c>
      <c r="X165" s="201">
        <f t="shared" si="279"/>
        <v>350</v>
      </c>
      <c r="Y165" s="451">
        <f t="shared" si="215"/>
        <v>350</v>
      </c>
      <c r="AA165" s="221">
        <f t="shared" si="280"/>
        <v>1.9047071235171036</v>
      </c>
      <c r="AB165" s="177">
        <f t="shared" si="281"/>
        <v>8.2171867201568798E-5</v>
      </c>
      <c r="AC165" s="177">
        <f t="shared" si="282"/>
        <v>1.2514141549591451</v>
      </c>
      <c r="AD165" s="177"/>
      <c r="AE165" s="177">
        <f t="shared" si="283"/>
        <v>6.4712206554230591E-6</v>
      </c>
      <c r="AF165" s="555">
        <f t="shared" si="284"/>
        <v>2480.296296296297</v>
      </c>
      <c r="AG165" s="538">
        <f t="shared" si="285"/>
        <v>7.7611695137976321E-3</v>
      </c>
      <c r="AI165" s="177">
        <f t="shared" si="286"/>
        <v>0.39930892683186919</v>
      </c>
      <c r="AJ165" s="177">
        <f t="shared" si="287"/>
        <v>0.39930892683186919</v>
      </c>
      <c r="AK165" s="177">
        <f t="shared" si="288"/>
        <v>1.3662059512212461</v>
      </c>
      <c r="AM165" s="555">
        <f t="shared" si="289"/>
        <v>55.000000000000007</v>
      </c>
      <c r="AN165" s="469">
        <f t="shared" si="290"/>
        <v>350</v>
      </c>
      <c r="AP165">
        <f t="shared" si="291"/>
        <v>55.000000000000007</v>
      </c>
      <c r="AQ165">
        <f t="shared" si="292"/>
        <v>350</v>
      </c>
      <c r="AS165" s="5">
        <f t="shared" si="263"/>
        <v>2.8571428571428572</v>
      </c>
      <c r="AT165" s="5">
        <f t="shared" si="293"/>
        <v>0.59896339024780376</v>
      </c>
      <c r="AU165" s="5">
        <f t="shared" si="230"/>
        <v>2.2581794668950534</v>
      </c>
      <c r="AV165" s="5"/>
      <c r="AW165" s="177">
        <f t="shared" si="231"/>
        <v>0.20963718658673131</v>
      </c>
      <c r="AX165" s="177">
        <f t="shared" si="259"/>
        <v>0.83710000000000007</v>
      </c>
      <c r="AY165" s="177">
        <f t="shared" si="260"/>
        <v>7209.6996840106367</v>
      </c>
      <c r="AZ165" s="177">
        <f t="shared" si="264"/>
        <v>1.1610747141888373E-4</v>
      </c>
      <c r="BA165" s="469">
        <f t="shared" si="294"/>
        <v>3.7498921501997473</v>
      </c>
      <c r="BB165" s="469">
        <f t="shared" si="295"/>
        <v>0.86575656400870582</v>
      </c>
      <c r="BC165" s="5">
        <f t="shared" si="258"/>
        <v>8.6249910193908291E-2</v>
      </c>
      <c r="BD165" s="469">
        <f t="shared" si="296"/>
        <v>10.487489223268996</v>
      </c>
      <c r="BF165" s="177">
        <f t="shared" si="265"/>
        <v>0.10555590977470308</v>
      </c>
      <c r="BG165" s="177">
        <f t="shared" si="261"/>
        <v>9364.2563435205739</v>
      </c>
      <c r="BI165" s="538">
        <f t="shared" si="236"/>
        <v>3.8997175309278403E-3</v>
      </c>
      <c r="BJ165" s="538">
        <f t="shared" si="237"/>
        <v>485.94359655033571</v>
      </c>
      <c r="BK165" s="538">
        <f t="shared" si="238"/>
        <v>4.3749999999999995E-3</v>
      </c>
      <c r="BL165" s="538">
        <f t="shared" si="239"/>
        <v>8462830.4513776898</v>
      </c>
      <c r="BM165">
        <f t="shared" si="240"/>
        <v>5.7999999999999996E-3</v>
      </c>
      <c r="BN165">
        <f t="shared" si="297"/>
        <v>1.3124999999999999E-5</v>
      </c>
      <c r="BO165" s="538">
        <f t="shared" si="298"/>
        <v>8469410.1322612967</v>
      </c>
      <c r="BP165" s="469">
        <f t="shared" si="243"/>
        <v>8463316409.0489578</v>
      </c>
      <c r="BQ165" s="538">
        <f t="shared" si="299"/>
        <v>66994622.822271772</v>
      </c>
      <c r="BT165" s="469">
        <f t="shared" si="245"/>
        <v>66994622822.271774</v>
      </c>
      <c r="BU165" s="538">
        <f t="shared" si="246"/>
        <v>1.114205008836526E-3</v>
      </c>
      <c r="BV165" s="538">
        <f t="shared" si="247"/>
        <v>2630678.9060149593</v>
      </c>
      <c r="BW165" s="538">
        <f t="shared" si="248"/>
        <v>0</v>
      </c>
      <c r="BX165" s="538"/>
      <c r="BY165" s="538">
        <f t="shared" si="249"/>
        <v>2.7903333333333335E-3</v>
      </c>
      <c r="BZ165" s="469">
        <f t="shared" si="250"/>
        <v>2630678909.9194975</v>
      </c>
      <c r="CA165" s="177">
        <f t="shared" si="251"/>
        <v>78088618.141240224</v>
      </c>
      <c r="CB165" s="5">
        <f t="shared" si="252"/>
        <v>0.82500000000000007</v>
      </c>
      <c r="CC165" s="177">
        <f t="shared" si="253"/>
        <v>1.0564919842629941E-8</v>
      </c>
      <c r="CD165" s="5">
        <f t="shared" si="254"/>
        <v>1.0564919842629941E-6</v>
      </c>
      <c r="CG165" s="571">
        <f t="shared" si="300"/>
        <v>-50</v>
      </c>
      <c r="CH165">
        <f t="shared" si="301"/>
        <v>-50</v>
      </c>
    </row>
    <row r="166" spans="5:86" x14ac:dyDescent="0.25">
      <c r="E166" s="174">
        <v>56</v>
      </c>
      <c r="F166" s="221">
        <f t="shared" si="302"/>
        <v>5.6000000000000008E-2</v>
      </c>
      <c r="G166" s="221"/>
      <c r="H166" s="221">
        <f t="shared" si="266"/>
        <v>0.84000000000000008</v>
      </c>
      <c r="I166" s="551">
        <f t="shared" si="267"/>
        <v>20</v>
      </c>
      <c r="J166" s="451">
        <f t="shared" si="268"/>
        <v>695386.58000000007</v>
      </c>
      <c r="K166" s="451">
        <f t="shared" si="269"/>
        <v>695406.58000000007</v>
      </c>
      <c r="L166" s="451"/>
      <c r="M166" s="221">
        <f t="shared" si="270"/>
        <v>0.9999712398464794</v>
      </c>
      <c r="N166" s="176">
        <f t="shared" si="271"/>
        <v>6.9298006921361024</v>
      </c>
      <c r="O166" s="176">
        <f t="shared" si="262"/>
        <v>0.84000000000000008</v>
      </c>
      <c r="P166" s="221">
        <f t="shared" si="272"/>
        <v>0.4619867128090735</v>
      </c>
      <c r="Q166" s="221">
        <f t="shared" si="273"/>
        <v>15</v>
      </c>
      <c r="R166" s="221"/>
      <c r="S166" s="176">
        <f t="shared" si="274"/>
        <v>120.53527734109589</v>
      </c>
      <c r="T166" s="176">
        <f t="shared" si="275"/>
        <v>15</v>
      </c>
      <c r="U166" s="221">
        <f t="shared" si="276"/>
        <v>9.3336017691531145E-2</v>
      </c>
      <c r="V166" s="221">
        <f t="shared" si="277"/>
        <v>0.14000402653729671</v>
      </c>
      <c r="W166" s="221">
        <f t="shared" si="278"/>
        <v>4.0266531038691225E-6</v>
      </c>
      <c r="X166" s="201">
        <f t="shared" si="279"/>
        <v>350</v>
      </c>
      <c r="Y166" s="451">
        <f t="shared" si="215"/>
        <v>350</v>
      </c>
      <c r="AA166" s="221">
        <f t="shared" si="280"/>
        <v>1.9047071235171036</v>
      </c>
      <c r="AB166" s="177">
        <f t="shared" si="281"/>
        <v>8.2171867201568798E-5</v>
      </c>
      <c r="AC166" s="177">
        <f t="shared" si="282"/>
        <v>1.2514141549591451</v>
      </c>
      <c r="AD166" s="177"/>
      <c r="AE166" s="177">
        <f t="shared" si="283"/>
        <v>6.4712206554230591E-6</v>
      </c>
      <c r="AF166" s="555">
        <f t="shared" si="284"/>
        <v>2525.3925925925937</v>
      </c>
      <c r="AG166" s="538">
        <f t="shared" si="285"/>
        <v>7.7611695137976321E-3</v>
      </c>
      <c r="AI166" s="177">
        <f t="shared" si="286"/>
        <v>0.40292265593618176</v>
      </c>
      <c r="AJ166" s="177">
        <f t="shared" si="287"/>
        <v>0.40292265593618176</v>
      </c>
      <c r="AK166" s="177">
        <f t="shared" si="288"/>
        <v>1.3686151039574546</v>
      </c>
      <c r="AM166" s="555">
        <f t="shared" si="289"/>
        <v>56.000000000000007</v>
      </c>
      <c r="AN166" s="469">
        <f t="shared" si="290"/>
        <v>350</v>
      </c>
      <c r="AP166">
        <f t="shared" si="291"/>
        <v>56.000000000000007</v>
      </c>
      <c r="AQ166">
        <f t="shared" si="292"/>
        <v>350</v>
      </c>
      <c r="AS166" s="5">
        <f t="shared" si="263"/>
        <v>2.8571428571428572</v>
      </c>
      <c r="AT166" s="5">
        <f t="shared" si="293"/>
        <v>0.60438398390427273</v>
      </c>
      <c r="AU166" s="5">
        <f t="shared" si="230"/>
        <v>2.2527588732385846</v>
      </c>
      <c r="AV166" s="5"/>
      <c r="AW166" s="177">
        <f t="shared" si="231"/>
        <v>0.21153439436649546</v>
      </c>
      <c r="AX166" s="177">
        <f t="shared" si="259"/>
        <v>0.85232000000000019</v>
      </c>
      <c r="AY166" s="177">
        <f t="shared" si="260"/>
        <v>7257.4841895341024</v>
      </c>
      <c r="AZ166" s="177">
        <f t="shared" si="264"/>
        <v>1.1744014561259627E-4</v>
      </c>
      <c r="BA166" s="469">
        <f t="shared" si="294"/>
        <v>3.7498921501997473</v>
      </c>
      <c r="BB166" s="469">
        <f t="shared" si="295"/>
        <v>0.89447027594423179</v>
      </c>
      <c r="BC166" s="5">
        <f t="shared" si="258"/>
        <v>8.7607289514833833E-2</v>
      </c>
      <c r="BD166" s="469">
        <f t="shared" si="296"/>
        <v>10.652874741780062</v>
      </c>
      <c r="BF166" s="177">
        <f t="shared" si="265"/>
        <v>0.10699206171604921</v>
      </c>
      <c r="BG166" s="177">
        <f t="shared" si="261"/>
        <v>9437.6548407067894</v>
      </c>
      <c r="BI166" s="538">
        <f t="shared" si="236"/>
        <v>4.0065554445878086E-3</v>
      </c>
      <c r="BJ166" s="538">
        <f t="shared" si="237"/>
        <v>490.34136579591956</v>
      </c>
      <c r="BK166" s="538">
        <f t="shared" si="238"/>
        <v>4.3749999999999995E-3</v>
      </c>
      <c r="BL166" s="538">
        <f t="shared" si="239"/>
        <v>8462830.4513776898</v>
      </c>
      <c r="BM166">
        <f t="shared" si="240"/>
        <v>5.7999999999999996E-3</v>
      </c>
      <c r="BN166">
        <f t="shared" si="297"/>
        <v>1.3124999999999999E-5</v>
      </c>
      <c r="BO166" s="538">
        <f t="shared" si="298"/>
        <v>8469581.6024872288</v>
      </c>
      <c r="BP166" s="469">
        <f t="shared" si="243"/>
        <v>8463320806.9250393</v>
      </c>
      <c r="BQ166" s="538">
        <f t="shared" si="299"/>
        <v>68048967.289773628</v>
      </c>
      <c r="BT166" s="469">
        <f t="shared" si="245"/>
        <v>68048967289.773628</v>
      </c>
      <c r="BU166" s="538">
        <f t="shared" si="246"/>
        <v>1.1447301270250882E-3</v>
      </c>
      <c r="BV166" s="538">
        <f t="shared" si="247"/>
        <v>2672079.8667694889</v>
      </c>
      <c r="BW166" s="538">
        <f t="shared" si="248"/>
        <v>0</v>
      </c>
      <c r="BX166" s="538"/>
      <c r="BY166" s="538">
        <f t="shared" si="249"/>
        <v>2.8410666666666673E-3</v>
      </c>
      <c r="BZ166" s="469">
        <f t="shared" si="250"/>
        <v>2672079870.7552853</v>
      </c>
      <c r="CA166" s="177">
        <f t="shared" si="251"/>
        <v>79184367.967453972</v>
      </c>
      <c r="CB166" s="5">
        <f t="shared" si="252"/>
        <v>0.84000000000000008</v>
      </c>
      <c r="CC166" s="177">
        <f t="shared" si="253"/>
        <v>1.060815426896384E-8</v>
      </c>
      <c r="CD166" s="5">
        <f t="shared" si="254"/>
        <v>1.060815426896384E-6</v>
      </c>
      <c r="CG166" s="571">
        <f t="shared" si="300"/>
        <v>-50</v>
      </c>
      <c r="CH166">
        <f t="shared" si="301"/>
        <v>-50</v>
      </c>
    </row>
    <row r="167" spans="5:86" x14ac:dyDescent="0.25">
      <c r="E167" s="174">
        <v>57</v>
      </c>
      <c r="F167" s="221">
        <f t="shared" si="302"/>
        <v>5.6999999999999995E-2</v>
      </c>
      <c r="G167" s="221"/>
      <c r="H167" s="221">
        <f t="shared" si="266"/>
        <v>0.85499999999999998</v>
      </c>
      <c r="I167" s="551">
        <f t="shared" si="267"/>
        <v>20</v>
      </c>
      <c r="J167" s="451">
        <f t="shared" si="268"/>
        <v>695386.58000000007</v>
      </c>
      <c r="K167" s="451">
        <f t="shared" si="269"/>
        <v>695406.58000000007</v>
      </c>
      <c r="L167" s="451"/>
      <c r="M167" s="221">
        <f t="shared" si="270"/>
        <v>0.9999712398464794</v>
      </c>
      <c r="N167" s="176">
        <f t="shared" si="271"/>
        <v>6.9298006921361024</v>
      </c>
      <c r="O167" s="176">
        <f t="shared" si="262"/>
        <v>0.85499999999999998</v>
      </c>
      <c r="P167" s="221">
        <f t="shared" si="272"/>
        <v>0.4619867128090735</v>
      </c>
      <c r="Q167" s="221">
        <f t="shared" si="273"/>
        <v>15</v>
      </c>
      <c r="R167" s="221"/>
      <c r="S167" s="176">
        <f t="shared" si="274"/>
        <v>118.42061570117545</v>
      </c>
      <c r="T167" s="176">
        <f t="shared" si="275"/>
        <v>15</v>
      </c>
      <c r="U167" s="221">
        <f t="shared" si="276"/>
        <v>9.5002732293165623E-2</v>
      </c>
      <c r="V167" s="221">
        <f t="shared" si="277"/>
        <v>0.14250409843974843</v>
      </c>
      <c r="W167" s="221">
        <f t="shared" si="278"/>
        <v>4.0985576235810715E-6</v>
      </c>
      <c r="X167" s="201">
        <f t="shared" si="279"/>
        <v>350</v>
      </c>
      <c r="Y167" s="451">
        <f t="shared" si="215"/>
        <v>350</v>
      </c>
      <c r="AA167" s="221">
        <f t="shared" si="280"/>
        <v>1.9047071235171036</v>
      </c>
      <c r="AB167" s="177">
        <f t="shared" si="281"/>
        <v>8.2171867201568798E-5</v>
      </c>
      <c r="AC167" s="177">
        <f t="shared" si="282"/>
        <v>1.2514141549591451</v>
      </c>
      <c r="AD167" s="177"/>
      <c r="AE167" s="177">
        <f t="shared" si="283"/>
        <v>6.4712206554230591E-6</v>
      </c>
      <c r="AF167" s="555">
        <f t="shared" si="284"/>
        <v>2570.4888888888895</v>
      </c>
      <c r="AG167" s="538">
        <f t="shared" si="285"/>
        <v>7.7611695137976321E-3</v>
      </c>
      <c r="AI167" s="177">
        <f t="shared" si="286"/>
        <v>0.40650426109170651</v>
      </c>
      <c r="AJ167" s="177">
        <f t="shared" si="287"/>
        <v>0.40650426109170651</v>
      </c>
      <c r="AK167" s="177">
        <f t="shared" si="288"/>
        <v>1.3710028407278043</v>
      </c>
      <c r="AM167" s="555">
        <f t="shared" si="289"/>
        <v>56.999999999999993</v>
      </c>
      <c r="AN167" s="469">
        <f t="shared" si="290"/>
        <v>350</v>
      </c>
      <c r="AP167">
        <f t="shared" si="291"/>
        <v>56.999999999999993</v>
      </c>
      <c r="AQ167">
        <f t="shared" si="292"/>
        <v>350</v>
      </c>
      <c r="AS167" s="5">
        <f t="shared" si="263"/>
        <v>2.8571428571428572</v>
      </c>
      <c r="AT167" s="5">
        <f t="shared" si="293"/>
        <v>0.60975639163755979</v>
      </c>
      <c r="AU167" s="5">
        <f t="shared" si="230"/>
        <v>2.2473864655052975</v>
      </c>
      <c r="AV167" s="5"/>
      <c r="AW167" s="177">
        <f t="shared" si="231"/>
        <v>0.21341473707314593</v>
      </c>
      <c r="AX167" s="177">
        <f t="shared" si="259"/>
        <v>0.86754000000000009</v>
      </c>
      <c r="AY167" s="177">
        <f t="shared" si="260"/>
        <v>7304.5348395094888</v>
      </c>
      <c r="AZ167" s="177">
        <f t="shared" si="264"/>
        <v>1.1876731633992135E-4</v>
      </c>
      <c r="BA167" s="469">
        <f t="shared" si="294"/>
        <v>3.7498921501997473</v>
      </c>
      <c r="BB167" s="469">
        <f t="shared" si="295"/>
        <v>0.9236472980047219</v>
      </c>
      <c r="BC167" s="5">
        <f t="shared" si="258"/>
        <v>8.895904759291802E-2</v>
      </c>
      <c r="BD167" s="469">
        <f t="shared" si="296"/>
        <v>10.817585711150162</v>
      </c>
      <c r="BF167" s="177">
        <f t="shared" si="265"/>
        <v>0.10842181617299153</v>
      </c>
      <c r="BG167" s="177">
        <f t="shared" si="261"/>
        <v>9510.1864263633543</v>
      </c>
      <c r="BI167" s="538">
        <f t="shared" si="236"/>
        <v>4.1143515777874876E-3</v>
      </c>
      <c r="BJ167" s="538">
        <f t="shared" si="237"/>
        <v>494.70004143211878</v>
      </c>
      <c r="BK167" s="538">
        <f t="shared" si="238"/>
        <v>4.3749999999999995E-3</v>
      </c>
      <c r="BL167" s="538">
        <f t="shared" si="239"/>
        <v>8462830.4513776898</v>
      </c>
      <c r="BM167">
        <f t="shared" si="240"/>
        <v>5.7999999999999996E-3</v>
      </c>
      <c r="BN167">
        <f t="shared" si="297"/>
        <v>1.3124999999999999E-5</v>
      </c>
      <c r="BO167" s="538">
        <f t="shared" si="298"/>
        <v>8469754.5388738997</v>
      </c>
      <c r="BP167" s="469">
        <f t="shared" si="243"/>
        <v>8463325165.7084732</v>
      </c>
      <c r="BQ167" s="538">
        <f t="shared" si="299"/>
        <v>69098945.456568435</v>
      </c>
      <c r="BT167" s="469">
        <f t="shared" si="245"/>
        <v>69098945456.568436</v>
      </c>
      <c r="BU167" s="538">
        <f t="shared" si="246"/>
        <v>1.1755290222249968E-3</v>
      </c>
      <c r="BV167" s="538">
        <f t="shared" si="247"/>
        <v>2713309.3759255735</v>
      </c>
      <c r="BW167" s="538">
        <f t="shared" si="248"/>
        <v>0</v>
      </c>
      <c r="BX167" s="538"/>
      <c r="BY167" s="538">
        <f t="shared" si="249"/>
        <v>2.8918000000000004E-3</v>
      </c>
      <c r="BZ167" s="469">
        <f t="shared" si="250"/>
        <v>2713309379.9929023</v>
      </c>
      <c r="CA167" s="177">
        <f t="shared" si="251"/>
        <v>80275580.00226979</v>
      </c>
      <c r="CB167" s="5">
        <f t="shared" si="252"/>
        <v>0.85499999999999998</v>
      </c>
      <c r="CC167" s="177">
        <f t="shared" si="253"/>
        <v>1.0650810506375436E-8</v>
      </c>
      <c r="CD167" s="5">
        <f t="shared" si="254"/>
        <v>1.0650810506375435E-6</v>
      </c>
      <c r="CG167" s="571">
        <f t="shared" si="300"/>
        <v>-50</v>
      </c>
      <c r="CH167">
        <f t="shared" si="301"/>
        <v>-50</v>
      </c>
    </row>
    <row r="168" spans="5:86" x14ac:dyDescent="0.25">
      <c r="E168" s="174">
        <v>58</v>
      </c>
      <c r="F168" s="221">
        <f t="shared" si="302"/>
        <v>5.7999999999999996E-2</v>
      </c>
      <c r="G168" s="221"/>
      <c r="H168" s="221">
        <f t="shared" si="266"/>
        <v>0.86999999999999988</v>
      </c>
      <c r="I168" s="551">
        <f t="shared" si="267"/>
        <v>20</v>
      </c>
      <c r="J168" s="451">
        <f t="shared" si="268"/>
        <v>695386.58000000007</v>
      </c>
      <c r="K168" s="451">
        <f t="shared" si="269"/>
        <v>695406.58000000007</v>
      </c>
      <c r="L168" s="451"/>
      <c r="M168" s="221">
        <f t="shared" si="270"/>
        <v>0.9999712398464794</v>
      </c>
      <c r="N168" s="176">
        <f t="shared" si="271"/>
        <v>6.9298006921361024</v>
      </c>
      <c r="O168" s="176">
        <f t="shared" si="262"/>
        <v>0.86999999999999988</v>
      </c>
      <c r="P168" s="221">
        <f t="shared" si="272"/>
        <v>0.4619867128090735</v>
      </c>
      <c r="Q168" s="221">
        <f t="shared" si="273"/>
        <v>15</v>
      </c>
      <c r="R168" s="221"/>
      <c r="S168" s="176">
        <f t="shared" si="274"/>
        <v>116.378873428638</v>
      </c>
      <c r="T168" s="176">
        <f t="shared" si="275"/>
        <v>15</v>
      </c>
      <c r="U168" s="221">
        <f t="shared" si="276"/>
        <v>9.6669446894800087E-2</v>
      </c>
      <c r="V168" s="221">
        <f t="shared" si="277"/>
        <v>0.14500417034220014</v>
      </c>
      <c r="W168" s="221">
        <f t="shared" si="278"/>
        <v>4.1704621432930189E-6</v>
      </c>
      <c r="X168" s="201">
        <f t="shared" si="279"/>
        <v>350</v>
      </c>
      <c r="Y168" s="451">
        <f t="shared" si="215"/>
        <v>350</v>
      </c>
      <c r="AA168" s="221">
        <f t="shared" si="280"/>
        <v>1.9047071235171036</v>
      </c>
      <c r="AB168" s="177">
        <f t="shared" si="281"/>
        <v>8.2171867201568798E-5</v>
      </c>
      <c r="AC168" s="177">
        <f t="shared" si="282"/>
        <v>1.2514141549591451</v>
      </c>
      <c r="AD168" s="177"/>
      <c r="AE168" s="177">
        <f t="shared" si="283"/>
        <v>6.4712206554230591E-6</v>
      </c>
      <c r="AF168" s="555">
        <f t="shared" si="284"/>
        <v>2615.5851851851858</v>
      </c>
      <c r="AG168" s="538">
        <f t="shared" si="285"/>
        <v>7.7611695137976321E-3</v>
      </c>
      <c r="AI168" s="177">
        <f t="shared" si="286"/>
        <v>0.4100545840552961</v>
      </c>
      <c r="AJ168" s="177">
        <f t="shared" si="287"/>
        <v>0.4100545840552961</v>
      </c>
      <c r="AK168" s="177">
        <f t="shared" si="288"/>
        <v>1.3733697227035306</v>
      </c>
      <c r="AM168" s="555">
        <f t="shared" si="289"/>
        <v>57.999999999999993</v>
      </c>
      <c r="AN168" s="469">
        <f t="shared" si="290"/>
        <v>350</v>
      </c>
      <c r="AP168">
        <f t="shared" si="291"/>
        <v>57.999999999999993</v>
      </c>
      <c r="AQ168">
        <f t="shared" si="292"/>
        <v>350</v>
      </c>
      <c r="AS168" s="5">
        <f t="shared" si="263"/>
        <v>2.8571428571428572</v>
      </c>
      <c r="AT168" s="5">
        <f t="shared" si="293"/>
        <v>0.61508187608294418</v>
      </c>
      <c r="AU168" s="5">
        <f t="shared" si="230"/>
        <v>2.2420609810599128</v>
      </c>
      <c r="AV168" s="5"/>
      <c r="AW168" s="177">
        <f t="shared" si="231"/>
        <v>0.21527865662903045</v>
      </c>
      <c r="AX168" s="177">
        <f t="shared" si="259"/>
        <v>0.88275999999999999</v>
      </c>
      <c r="AY168" s="177">
        <f t="shared" si="260"/>
        <v>7350.8708634512113</v>
      </c>
      <c r="AZ168" s="177">
        <f t="shared" si="264"/>
        <v>1.2008917261614727E-4</v>
      </c>
      <c r="BA168" s="469">
        <f t="shared" si="294"/>
        <v>3.7498921501997473</v>
      </c>
      <c r="BB168" s="469">
        <f t="shared" si="295"/>
        <v>0.9532876301901767</v>
      </c>
      <c r="BC168" s="5">
        <f t="shared" si="258"/>
        <v>9.0305233959357578E-2</v>
      </c>
      <c r="BD168" s="469">
        <f t="shared" si="296"/>
        <v>10.981628075122909</v>
      </c>
      <c r="BF168" s="177">
        <f t="shared" si="265"/>
        <v>0.10984531314848367</v>
      </c>
      <c r="BG168" s="177">
        <f t="shared" si="261"/>
        <v>9581.8734149734501</v>
      </c>
      <c r="BI168" s="538">
        <f t="shared" si="236"/>
        <v>4.2230974872409536E-3</v>
      </c>
      <c r="BJ168" s="538">
        <f t="shared" si="237"/>
        <v>499.02064784462806</v>
      </c>
      <c r="BK168" s="538">
        <f t="shared" si="238"/>
        <v>4.3749999999999995E-3</v>
      </c>
      <c r="BL168" s="538">
        <f t="shared" si="239"/>
        <v>8462830.4513776898</v>
      </c>
      <c r="BM168">
        <f t="shared" si="240"/>
        <v>5.7999999999999996E-3</v>
      </c>
      <c r="BN168">
        <f t="shared" si="297"/>
        <v>1.3124999999999999E-5</v>
      </c>
      <c r="BO168" s="538">
        <f t="shared" si="298"/>
        <v>8469928.9294211902</v>
      </c>
      <c r="BP168" s="469">
        <f t="shared" si="243"/>
        <v>8463329486.4236317</v>
      </c>
      <c r="BQ168" s="538">
        <f t="shared" si="299"/>
        <v>70144595.796016246</v>
      </c>
      <c r="BT168" s="469">
        <f t="shared" si="245"/>
        <v>70144595796.016251</v>
      </c>
      <c r="BU168" s="538">
        <f t="shared" si="246"/>
        <v>1.206599282068844E-3</v>
      </c>
      <c r="BV168" s="538">
        <f t="shared" si="247"/>
        <v>2754368.9442172488</v>
      </c>
      <c r="BW168" s="538">
        <f t="shared" si="248"/>
        <v>0</v>
      </c>
      <c r="BX168" s="538"/>
      <c r="BY168" s="538">
        <f t="shared" si="249"/>
        <v>2.9425333333333342E-3</v>
      </c>
      <c r="BZ168" s="469">
        <f t="shared" si="250"/>
        <v>2754368948.3663812</v>
      </c>
      <c r="CA168" s="177">
        <f t="shared" si="251"/>
        <v>81362294.230806261</v>
      </c>
      <c r="CB168" s="5">
        <f t="shared" si="252"/>
        <v>0.86999999999999988</v>
      </c>
      <c r="CC168" s="177">
        <f t="shared" si="253"/>
        <v>1.0692913700653197E-8</v>
      </c>
      <c r="CD168" s="5">
        <f t="shared" si="254"/>
        <v>1.0692913700653197E-6</v>
      </c>
      <c r="CG168" s="571">
        <f t="shared" si="300"/>
        <v>-50</v>
      </c>
      <c r="CH168">
        <f t="shared" si="301"/>
        <v>-50</v>
      </c>
    </row>
    <row r="169" spans="5:86" x14ac:dyDescent="0.25">
      <c r="E169" s="174">
        <v>59</v>
      </c>
      <c r="F169" s="221">
        <f t="shared" si="302"/>
        <v>5.8999999999999997E-2</v>
      </c>
      <c r="G169" s="221"/>
      <c r="H169" s="221">
        <f t="shared" si="266"/>
        <v>0.88500000000000001</v>
      </c>
      <c r="I169" s="551">
        <f t="shared" si="267"/>
        <v>20</v>
      </c>
      <c r="J169" s="451">
        <f t="shared" si="268"/>
        <v>695386.58000000007</v>
      </c>
      <c r="K169" s="451">
        <f t="shared" si="269"/>
        <v>695406.58000000007</v>
      </c>
      <c r="L169" s="451"/>
      <c r="M169" s="221">
        <f t="shared" si="270"/>
        <v>0.9999712398464794</v>
      </c>
      <c r="N169" s="176">
        <f t="shared" si="271"/>
        <v>6.9298006921361024</v>
      </c>
      <c r="O169" s="176">
        <f t="shared" si="262"/>
        <v>0.88500000000000001</v>
      </c>
      <c r="P169" s="221">
        <f t="shared" si="272"/>
        <v>0.4619867128090735</v>
      </c>
      <c r="Q169" s="221">
        <f t="shared" si="273"/>
        <v>15</v>
      </c>
      <c r="R169" s="221"/>
      <c r="S169" s="176">
        <f t="shared" si="274"/>
        <v>114.40634275904038</v>
      </c>
      <c r="T169" s="176">
        <f t="shared" si="275"/>
        <v>15</v>
      </c>
      <c r="U169" s="221">
        <f t="shared" si="276"/>
        <v>9.8336161496434593E-2</v>
      </c>
      <c r="V169" s="221">
        <f t="shared" si="277"/>
        <v>0.14750424224465189</v>
      </c>
      <c r="W169" s="221">
        <f t="shared" si="278"/>
        <v>4.242366663004968E-6</v>
      </c>
      <c r="X169" s="201">
        <f t="shared" si="279"/>
        <v>350</v>
      </c>
      <c r="Y169" s="451">
        <f t="shared" si="215"/>
        <v>350</v>
      </c>
      <c r="AA169" s="221">
        <f t="shared" si="280"/>
        <v>1.9047071235171036</v>
      </c>
      <c r="AB169" s="177">
        <f t="shared" si="281"/>
        <v>8.2171867201568798E-5</v>
      </c>
      <c r="AC169" s="177">
        <f t="shared" si="282"/>
        <v>1.2514141549591451</v>
      </c>
      <c r="AD169" s="177"/>
      <c r="AE169" s="177">
        <f t="shared" si="283"/>
        <v>6.4712206554230591E-6</v>
      </c>
      <c r="AF169" s="555">
        <f t="shared" si="284"/>
        <v>2660.681481481482</v>
      </c>
      <c r="AG169" s="538">
        <f t="shared" si="285"/>
        <v>7.7611695137976321E-3</v>
      </c>
      <c r="AI169" s="177">
        <f t="shared" si="286"/>
        <v>0.41357443045213699</v>
      </c>
      <c r="AJ169" s="177">
        <f t="shared" si="287"/>
        <v>0.41357443045213699</v>
      </c>
      <c r="AK169" s="177">
        <f t="shared" si="288"/>
        <v>1.3757162869680912</v>
      </c>
      <c r="AM169" s="555">
        <f t="shared" si="289"/>
        <v>59</v>
      </c>
      <c r="AN169" s="469">
        <f t="shared" si="290"/>
        <v>350</v>
      </c>
      <c r="AP169">
        <f t="shared" si="291"/>
        <v>59</v>
      </c>
      <c r="AQ169">
        <f t="shared" si="292"/>
        <v>350</v>
      </c>
      <c r="AS169" s="5">
        <f t="shared" si="263"/>
        <v>2.8571428571428572</v>
      </c>
      <c r="AT169" s="5">
        <f t="shared" si="293"/>
        <v>0.62036164567820551</v>
      </c>
      <c r="AU169" s="5">
        <f t="shared" si="230"/>
        <v>2.2367812114646517</v>
      </c>
      <c r="AV169" s="5"/>
      <c r="AW169" s="177">
        <f t="shared" si="231"/>
        <v>0.21712657598737192</v>
      </c>
      <c r="AX169" s="177">
        <f t="shared" si="259"/>
        <v>0.89797999999999978</v>
      </c>
      <c r="AY169" s="177">
        <f t="shared" si="260"/>
        <v>7396.5106654638439</v>
      </c>
      <c r="AZ169" s="177">
        <f t="shared" si="264"/>
        <v>1.2140589537616605E-4</v>
      </c>
      <c r="BA169" s="469">
        <f t="shared" si="294"/>
        <v>3.7498921501997473</v>
      </c>
      <c r="BB169" s="469">
        <f t="shared" si="295"/>
        <v>0.98339127250059621</v>
      </c>
      <c r="BC169" s="5">
        <f t="shared" si="258"/>
        <v>9.1645896858621137E-2</v>
      </c>
      <c r="BD169" s="469">
        <f t="shared" si="296"/>
        <v>11.145007623034537</v>
      </c>
      <c r="BF169" s="177">
        <f t="shared" si="265"/>
        <v>0.11126268722523437</v>
      </c>
      <c r="BG169" s="177">
        <f t="shared" si="261"/>
        <v>9652.7371647156579</v>
      </c>
      <c r="BI169" s="538">
        <f t="shared" si="236"/>
        <v>4.3327849490031158E-3</v>
      </c>
      <c r="BJ169" s="538">
        <f t="shared" si="237"/>
        <v>503.3041654482949</v>
      </c>
      <c r="BK169" s="538">
        <f t="shared" si="238"/>
        <v>4.3749999999999995E-3</v>
      </c>
      <c r="BL169" s="538">
        <f t="shared" si="239"/>
        <v>8462830.4513776898</v>
      </c>
      <c r="BM169">
        <f t="shared" si="240"/>
        <v>5.7999999999999996E-3</v>
      </c>
      <c r="BN169">
        <f t="shared" si="297"/>
        <v>1.3124999999999999E-5</v>
      </c>
      <c r="BO169" s="538">
        <f t="shared" si="298"/>
        <v>8470104.7624275163</v>
      </c>
      <c r="BP169" s="469">
        <f t="shared" si="243"/>
        <v>8463333770.0509224</v>
      </c>
      <c r="BQ169" s="538">
        <f t="shared" si="299"/>
        <v>71185955.782010794</v>
      </c>
      <c r="BT169" s="469">
        <f t="shared" si="245"/>
        <v>71185955782.010788</v>
      </c>
      <c r="BU169" s="538">
        <f t="shared" si="246"/>
        <v>1.2379385568580333E-3</v>
      </c>
      <c r="BV169" s="538">
        <f t="shared" si="247"/>
        <v>2795260.0431324863</v>
      </c>
      <c r="BW169" s="538">
        <f t="shared" si="248"/>
        <v>0</v>
      </c>
      <c r="BX169" s="538"/>
      <c r="BY169" s="538">
        <f t="shared" si="249"/>
        <v>2.9932666666666664E-3</v>
      </c>
      <c r="BZ169" s="469">
        <f t="shared" si="250"/>
        <v>2795260047.3636913</v>
      </c>
      <c r="CA169" s="177">
        <f t="shared" si="251"/>
        <v>82444549.59942542</v>
      </c>
      <c r="CB169" s="5">
        <f t="shared" si="252"/>
        <v>0.88500000000000001</v>
      </c>
      <c r="CC169" s="177">
        <f t="shared" si="253"/>
        <v>1.0734487541019283E-8</v>
      </c>
      <c r="CD169" s="5">
        <f t="shared" si="254"/>
        <v>1.0734487541019283E-6</v>
      </c>
      <c r="CG169" s="571">
        <f t="shared" si="300"/>
        <v>-50</v>
      </c>
      <c r="CH169">
        <f t="shared" si="301"/>
        <v>-50</v>
      </c>
    </row>
    <row r="170" spans="5:86" x14ac:dyDescent="0.25">
      <c r="E170" s="174">
        <v>60</v>
      </c>
      <c r="F170" s="221">
        <f t="shared" si="302"/>
        <v>0.06</v>
      </c>
      <c r="G170" s="221"/>
      <c r="H170" s="221">
        <f t="shared" si="266"/>
        <v>0.89999999999999991</v>
      </c>
      <c r="I170" s="551">
        <f t="shared" si="267"/>
        <v>20</v>
      </c>
      <c r="J170" s="451">
        <f t="shared" si="268"/>
        <v>695386.58000000007</v>
      </c>
      <c r="K170" s="451">
        <f t="shared" si="269"/>
        <v>695406.58000000007</v>
      </c>
      <c r="L170" s="451"/>
      <c r="M170" s="221">
        <f t="shared" si="270"/>
        <v>0.9999712398464794</v>
      </c>
      <c r="N170" s="176">
        <f t="shared" si="271"/>
        <v>6.9298006921361024</v>
      </c>
      <c r="O170" s="176">
        <f t="shared" si="262"/>
        <v>0.89999999999999991</v>
      </c>
      <c r="P170" s="221">
        <f t="shared" si="272"/>
        <v>0.4619867128090735</v>
      </c>
      <c r="Q170" s="221">
        <f t="shared" si="273"/>
        <v>15</v>
      </c>
      <c r="R170" s="221"/>
      <c r="S170" s="176">
        <f t="shared" si="274"/>
        <v>112.49956311223549</v>
      </c>
      <c r="T170" s="176">
        <f t="shared" si="275"/>
        <v>15</v>
      </c>
      <c r="U170" s="221">
        <f t="shared" si="276"/>
        <v>0.10000287609806907</v>
      </c>
      <c r="V170" s="221">
        <f t="shared" si="277"/>
        <v>0.15000431414710361</v>
      </c>
      <c r="W170" s="221">
        <f t="shared" si="278"/>
        <v>4.314271182716917E-6</v>
      </c>
      <c r="X170" s="201">
        <f t="shared" si="279"/>
        <v>350</v>
      </c>
      <c r="Y170" s="451">
        <f t="shared" ref="Y170:Y210" si="303">MIN(1/(V170+W170)*1000, 350)</f>
        <v>350</v>
      </c>
      <c r="AA170" s="221">
        <f t="shared" si="280"/>
        <v>1.9047071235171036</v>
      </c>
      <c r="AB170" s="177">
        <f t="shared" si="281"/>
        <v>8.2171867201568798E-5</v>
      </c>
      <c r="AC170" s="177">
        <f t="shared" si="282"/>
        <v>1.2514141549591451</v>
      </c>
      <c r="AD170" s="177"/>
      <c r="AE170" s="177">
        <f t="shared" si="283"/>
        <v>6.4712206554230591E-6</v>
      </c>
      <c r="AF170" s="555">
        <f t="shared" si="284"/>
        <v>2705.7777777777783</v>
      </c>
      <c r="AG170" s="538">
        <f t="shared" si="285"/>
        <v>7.7611695137976321E-3</v>
      </c>
      <c r="AI170" s="177">
        <f t="shared" si="286"/>
        <v>0.41706457191046226</v>
      </c>
      <c r="AJ170" s="177">
        <f t="shared" si="287"/>
        <v>0.41706457191046226</v>
      </c>
      <c r="AK170" s="177">
        <f t="shared" si="288"/>
        <v>1.3780430479403081</v>
      </c>
      <c r="AM170" s="555">
        <f t="shared" si="289"/>
        <v>60</v>
      </c>
      <c r="AN170" s="469">
        <f t="shared" si="290"/>
        <v>350</v>
      </c>
      <c r="AP170">
        <f t="shared" si="291"/>
        <v>60</v>
      </c>
      <c r="AQ170">
        <f t="shared" si="292"/>
        <v>350</v>
      </c>
      <c r="AS170" s="5">
        <f t="shared" si="263"/>
        <v>2.8571428571428572</v>
      </c>
      <c r="AT170" s="5">
        <f t="shared" si="293"/>
        <v>0.62559685786569341</v>
      </c>
      <c r="AU170" s="5">
        <f t="shared" ref="AU170:AU233" si="304">AS170-AT170</f>
        <v>2.2315459992771638</v>
      </c>
      <c r="AV170" s="5"/>
      <c r="AW170" s="177">
        <f t="shared" ref="AW170:AW233" si="305">AT170/AS170</f>
        <v>0.21895890025299269</v>
      </c>
      <c r="AX170" s="177">
        <f t="shared" si="259"/>
        <v>0.91320000000000012</v>
      </c>
      <c r="AY170" s="177">
        <f t="shared" si="260"/>
        <v>7441.4718730085542</v>
      </c>
      <c r="AZ170" s="177">
        <f t="shared" si="264"/>
        <v>1.2271765795585779E-4</v>
      </c>
      <c r="BA170" s="469">
        <f t="shared" si="294"/>
        <v>3.7498921501997473</v>
      </c>
      <c r="BB170" s="469">
        <f t="shared" si="295"/>
        <v>1.0139582249359802</v>
      </c>
      <c r="BC170" s="5">
        <f t="shared" si="258"/>
        <v>9.298108330321514E-2</v>
      </c>
      <c r="BD170" s="469">
        <f t="shared" si="296"/>
        <v>11.307729996385818</v>
      </c>
      <c r="BF170" s="177">
        <f t="shared" si="265"/>
        <v>0.11267406786370353</v>
      </c>
      <c r="BG170" s="177">
        <f t="shared" si="261"/>
        <v>9722.7981339111975</v>
      </c>
      <c r="BI170" s="538">
        <f t="shared" ref="BI170:BI210" si="306">Rdson*BF170^2</f>
        <v>4.443405949134064E-3</v>
      </c>
      <c r="BJ170" s="538">
        <f t="shared" ref="BJ170:BJ210" si="307">0.5*K170*AJ170*AN170*1000*Trise</f>
        <v>507.55153328498261</v>
      </c>
      <c r="BK170" s="538">
        <f t="shared" ref="BK170:BK210" si="308">Qg*Vdd*AN170*1000</f>
        <v>4.3749999999999995E-3</v>
      </c>
      <c r="BL170" s="538">
        <f t="shared" ref="BL170:BL210" si="309">0.5*(Coss+Csw)*K170^2*AN170*1000</f>
        <v>8462830.4513776898</v>
      </c>
      <c r="BM170">
        <f t="shared" ref="BM170:BM210" si="310">I170*IQ</f>
        <v>5.7999999999999996E-3</v>
      </c>
      <c r="BN170">
        <f t="shared" si="297"/>
        <v>1.3124999999999999E-5</v>
      </c>
      <c r="BO170" s="538">
        <f t="shared" si="298"/>
        <v>8470282.0264778398</v>
      </c>
      <c r="BP170" s="469">
        <f t="shared" ref="BP170:BP210" si="311">SUM(BI170:BM170)*1000</f>
        <v>8463338017.5293798</v>
      </c>
      <c r="BQ170" s="538">
        <f t="shared" si="299"/>
        <v>72223061.9315193</v>
      </c>
      <c r="BT170" s="469">
        <f t="shared" ref="BT170:BT210" si="312">SUM(BQ170:BS170)*1000</f>
        <v>72223061931.519302</v>
      </c>
      <c r="BU170" s="538">
        <f t="shared" ref="BU170:BU210" si="313">Rdcr_pri*BF170^2</f>
        <v>1.2695445568954469E-3</v>
      </c>
      <c r="BV170" s="538">
        <f t="shared" ref="BV170:BV210" si="314">Rdcr_sec*BG170^2</f>
        <v>2835984.106583612</v>
      </c>
      <c r="BW170" s="538">
        <f t="shared" ref="BW170:BW210" si="315">AJ170^2.5*AN170^2.5*k_core</f>
        <v>0</v>
      </c>
      <c r="BX170" s="538"/>
      <c r="BY170" s="538">
        <f t="shared" ref="BY170:BY210" si="316">0.5*Lleak*0.000000001*AJ170^2*AN170*1000</f>
        <v>3.0440000000000003E-3</v>
      </c>
      <c r="BZ170" s="469">
        <f t="shared" ref="BZ170:BZ210" si="317">SUM(BU170:BY170)*1000</f>
        <v>2835984110.8971562</v>
      </c>
      <c r="CA170" s="177">
        <f t="shared" ref="CA170:CA210" si="318">SUM(BI170:BM170,BQ170:BS170,BU170:BY170)</f>
        <v>83522384.059945837</v>
      </c>
      <c r="CB170" s="5">
        <f t="shared" ref="CB170:CB212" si="319">MIN(H170,O170)</f>
        <v>0.89999999999999991</v>
      </c>
      <c r="CC170" s="177">
        <f t="shared" ref="CC170:CC210" si="320">CB170/(CB170+CA170)</f>
        <v>1.0775554367031134E-8</v>
      </c>
      <c r="CD170" s="5">
        <f t="shared" ref="CD170:CD210" si="321">CC170*100</f>
        <v>1.0775554367031134E-6</v>
      </c>
      <c r="CG170" s="571">
        <f t="shared" si="300"/>
        <v>-50</v>
      </c>
      <c r="CH170">
        <f t="shared" si="301"/>
        <v>-50</v>
      </c>
    </row>
    <row r="171" spans="5:86" x14ac:dyDescent="0.25">
      <c r="E171" s="174">
        <v>61</v>
      </c>
      <c r="F171" s="221">
        <f t="shared" si="302"/>
        <v>6.0999999999999999E-2</v>
      </c>
      <c r="G171" s="221"/>
      <c r="H171" s="221">
        <f t="shared" si="266"/>
        <v>0.91500000000000004</v>
      </c>
      <c r="I171" s="551">
        <f t="shared" si="267"/>
        <v>20</v>
      </c>
      <c r="J171" s="451">
        <f t="shared" si="268"/>
        <v>695386.58000000007</v>
      </c>
      <c r="K171" s="451">
        <f t="shared" si="269"/>
        <v>695406.58000000007</v>
      </c>
      <c r="L171" s="451"/>
      <c r="M171" s="221">
        <f t="shared" si="270"/>
        <v>0.9999712398464794</v>
      </c>
      <c r="N171" s="176">
        <f t="shared" si="271"/>
        <v>6.9298006921361024</v>
      </c>
      <c r="O171" s="176">
        <f t="shared" si="262"/>
        <v>0.91500000000000004</v>
      </c>
      <c r="P171" s="221">
        <f t="shared" si="272"/>
        <v>0.4619867128090735</v>
      </c>
      <c r="Q171" s="221">
        <f t="shared" si="273"/>
        <v>15</v>
      </c>
      <c r="R171" s="221"/>
      <c r="S171" s="176">
        <f t="shared" si="274"/>
        <v>110.65530083136471</v>
      </c>
      <c r="T171" s="176">
        <f t="shared" si="275"/>
        <v>15</v>
      </c>
      <c r="U171" s="221">
        <f t="shared" si="276"/>
        <v>0.10166959069970356</v>
      </c>
      <c r="V171" s="221">
        <f t="shared" si="277"/>
        <v>0.15250438604955535</v>
      </c>
      <c r="W171" s="221">
        <f t="shared" si="278"/>
        <v>4.3861757024288661E-6</v>
      </c>
      <c r="X171" s="201">
        <f t="shared" si="279"/>
        <v>350</v>
      </c>
      <c r="Y171" s="451">
        <f t="shared" si="303"/>
        <v>350</v>
      </c>
      <c r="AA171" s="221">
        <f t="shared" si="280"/>
        <v>1.9047071235171036</v>
      </c>
      <c r="AB171" s="177">
        <f t="shared" si="281"/>
        <v>8.2171867201568798E-5</v>
      </c>
      <c r="AC171" s="177">
        <f t="shared" si="282"/>
        <v>1.2514141549591451</v>
      </c>
      <c r="AD171" s="177"/>
      <c r="AE171" s="177">
        <f t="shared" si="283"/>
        <v>6.4712206554230591E-6</v>
      </c>
      <c r="AF171" s="555">
        <f t="shared" si="284"/>
        <v>2750.8740740740745</v>
      </c>
      <c r="AG171" s="538">
        <f t="shared" si="285"/>
        <v>7.7611695137976321E-3</v>
      </c>
      <c r="AI171" s="177">
        <f t="shared" si="286"/>
        <v>0.42052574803679355</v>
      </c>
      <c r="AJ171" s="177">
        <f t="shared" si="287"/>
        <v>0.42052574803679355</v>
      </c>
      <c r="AK171" s="177">
        <f t="shared" si="288"/>
        <v>1.3803504986911956</v>
      </c>
      <c r="AM171" s="555">
        <f t="shared" si="289"/>
        <v>61</v>
      </c>
      <c r="AN171" s="469">
        <f t="shared" si="290"/>
        <v>350</v>
      </c>
      <c r="AP171">
        <f t="shared" si="291"/>
        <v>61</v>
      </c>
      <c r="AQ171">
        <f t="shared" si="292"/>
        <v>350</v>
      </c>
      <c r="AS171" s="5">
        <f t="shared" si="263"/>
        <v>2.8571428571428572</v>
      </c>
      <c r="AT171" s="5">
        <f t="shared" si="293"/>
        <v>0.63078862205519026</v>
      </c>
      <c r="AU171" s="5">
        <f t="shared" si="304"/>
        <v>2.2263542350876668</v>
      </c>
      <c r="AV171" s="5"/>
      <c r="AW171" s="177">
        <f t="shared" si="305"/>
        <v>0.2207760177193166</v>
      </c>
      <c r="AX171" s="177">
        <f t="shared" si="259"/>
        <v>0.92842000000000013</v>
      </c>
      <c r="AY171" s="177">
        <f t="shared" si="260"/>
        <v>7485.7713820265308</v>
      </c>
      <c r="AZ171" s="177">
        <f t="shared" si="264"/>
        <v>1.2402462653737369E-4</v>
      </c>
      <c r="BA171" s="469">
        <f t="shared" si="294"/>
        <v>3.7498921501997473</v>
      </c>
      <c r="BB171" s="469">
        <f t="shared" si="295"/>
        <v>1.0449884874963282</v>
      </c>
      <c r="BC171" s="5">
        <f t="shared" si="258"/>
        <v>9.4310839125241408E-2</v>
      </c>
      <c r="BD171" s="469">
        <f t="shared" si="296"/>
        <v>11.469800695028971</v>
      </c>
      <c r="BF171" s="177">
        <f t="shared" si="265"/>
        <v>0.11407957967902931</v>
      </c>
      <c r="BG171" s="177">
        <f t="shared" si="261"/>
        <v>9792.0759332564921</v>
      </c>
      <c r="BI171" s="538">
        <f t="shared" si="306"/>
        <v>4.5549526749103985E-3</v>
      </c>
      <c r="BJ171" s="538">
        <f t="shared" si="307"/>
        <v>511.76365142736466</v>
      </c>
      <c r="BK171" s="538">
        <f t="shared" si="308"/>
        <v>4.3749999999999995E-3</v>
      </c>
      <c r="BL171" s="538">
        <f t="shared" si="309"/>
        <v>8462830.4513776898</v>
      </c>
      <c r="BM171">
        <f t="shared" si="310"/>
        <v>5.7999999999999996E-3</v>
      </c>
      <c r="BN171">
        <f t="shared" si="297"/>
        <v>1.3124999999999999E-5</v>
      </c>
      <c r="BO171" s="538">
        <f t="shared" si="298"/>
        <v>8470460.7104323581</v>
      </c>
      <c r="BP171" s="469">
        <f t="shared" si="311"/>
        <v>8463342229.7590694</v>
      </c>
      <c r="BQ171" s="538">
        <f t="shared" si="299"/>
        <v>73255949.844629481</v>
      </c>
      <c r="BT171" s="469">
        <f t="shared" si="312"/>
        <v>73255949844.629486</v>
      </c>
      <c r="BU171" s="538">
        <f t="shared" si="313"/>
        <v>1.3014150499743998E-3</v>
      </c>
      <c r="BV171" s="538">
        <f t="shared" si="314"/>
        <v>2876542.5324798301</v>
      </c>
      <c r="BW171" s="538">
        <f t="shared" si="315"/>
        <v>0</v>
      </c>
      <c r="BX171" s="538"/>
      <c r="BY171" s="538">
        <f t="shared" si="316"/>
        <v>3.0947333333333341E-3</v>
      </c>
      <c r="BZ171" s="469">
        <f t="shared" si="317"/>
        <v>2876542536.8759785</v>
      </c>
      <c r="CA171" s="177">
        <f t="shared" si="318"/>
        <v>84595834.611264527</v>
      </c>
      <c r="CB171" s="5">
        <f t="shared" si="319"/>
        <v>0.91500000000000004</v>
      </c>
      <c r="CC171" s="177">
        <f t="shared" si="320"/>
        <v>1.0816135266090248E-8</v>
      </c>
      <c r="CD171" s="5">
        <f t="shared" si="321"/>
        <v>1.0816135266090248E-6</v>
      </c>
      <c r="CG171" s="571">
        <f t="shared" si="300"/>
        <v>-50</v>
      </c>
      <c r="CH171">
        <f t="shared" si="301"/>
        <v>-50</v>
      </c>
    </row>
    <row r="172" spans="5:86" x14ac:dyDescent="0.25">
      <c r="E172" s="174">
        <v>62</v>
      </c>
      <c r="F172" s="221">
        <f t="shared" si="302"/>
        <v>6.2E-2</v>
      </c>
      <c r="G172" s="221"/>
      <c r="H172" s="221">
        <f t="shared" si="266"/>
        <v>0.92999999999999994</v>
      </c>
      <c r="I172" s="551">
        <f t="shared" si="267"/>
        <v>20</v>
      </c>
      <c r="J172" s="451">
        <f t="shared" si="268"/>
        <v>695386.58000000007</v>
      </c>
      <c r="K172" s="451">
        <f t="shared" si="269"/>
        <v>695406.58000000007</v>
      </c>
      <c r="L172" s="451"/>
      <c r="M172" s="221">
        <f t="shared" si="270"/>
        <v>0.9999712398464794</v>
      </c>
      <c r="N172" s="176">
        <f t="shared" si="271"/>
        <v>6.9298006921361024</v>
      </c>
      <c r="O172" s="176">
        <f t="shared" si="262"/>
        <v>0.92999999999999994</v>
      </c>
      <c r="P172" s="221">
        <f t="shared" si="272"/>
        <v>0.4619867128090735</v>
      </c>
      <c r="Q172" s="221">
        <f t="shared" si="273"/>
        <v>15</v>
      </c>
      <c r="R172" s="221"/>
      <c r="S172" s="176">
        <f t="shared" si="274"/>
        <v>108.8705308825924</v>
      </c>
      <c r="T172" s="176">
        <f t="shared" si="275"/>
        <v>15</v>
      </c>
      <c r="U172" s="221">
        <f t="shared" si="276"/>
        <v>0.10333630530133804</v>
      </c>
      <c r="V172" s="221">
        <f t="shared" si="277"/>
        <v>0.15500445795200707</v>
      </c>
      <c r="W172" s="221">
        <f t="shared" si="278"/>
        <v>4.4580802221408143E-6</v>
      </c>
      <c r="X172" s="201">
        <f t="shared" si="279"/>
        <v>350</v>
      </c>
      <c r="Y172" s="451">
        <f t="shared" si="303"/>
        <v>350</v>
      </c>
      <c r="AA172" s="221">
        <f t="shared" si="280"/>
        <v>1.9047071235171036</v>
      </c>
      <c r="AB172" s="177">
        <f t="shared" si="281"/>
        <v>8.2171867201568798E-5</v>
      </c>
      <c r="AC172" s="177">
        <f t="shared" si="282"/>
        <v>1.2514141549591451</v>
      </c>
      <c r="AD172" s="177"/>
      <c r="AE172" s="177">
        <f t="shared" si="283"/>
        <v>6.4712206554230591E-6</v>
      </c>
      <c r="AF172" s="555">
        <f t="shared" si="284"/>
        <v>2795.9703703703713</v>
      </c>
      <c r="AG172" s="538">
        <f t="shared" si="285"/>
        <v>7.7611695137976321E-3</v>
      </c>
      <c r="AI172" s="177">
        <f t="shared" si="286"/>
        <v>0.42395866824603595</v>
      </c>
      <c r="AJ172" s="177">
        <f t="shared" si="287"/>
        <v>0.42395866824603595</v>
      </c>
      <c r="AK172" s="177">
        <f t="shared" si="288"/>
        <v>1.382639112164024</v>
      </c>
      <c r="AM172" s="555">
        <f t="shared" si="289"/>
        <v>62</v>
      </c>
      <c r="AN172" s="469">
        <f t="shared" si="290"/>
        <v>350</v>
      </c>
      <c r="AP172">
        <f t="shared" si="291"/>
        <v>62</v>
      </c>
      <c r="AQ172">
        <f t="shared" si="292"/>
        <v>350</v>
      </c>
      <c r="AS172" s="5">
        <f t="shared" si="263"/>
        <v>2.8571428571428572</v>
      </c>
      <c r="AT172" s="5">
        <f t="shared" si="293"/>
        <v>0.63593800236905385</v>
      </c>
      <c r="AU172" s="5">
        <f t="shared" si="304"/>
        <v>2.2212048547738035</v>
      </c>
      <c r="AV172" s="5"/>
      <c r="AW172" s="177">
        <f t="shared" si="305"/>
        <v>0.22257830082916885</v>
      </c>
      <c r="AX172" s="177">
        <f t="shared" si="259"/>
        <v>0.94363999999999992</v>
      </c>
      <c r="AY172" s="177">
        <f t="shared" si="260"/>
        <v>7529.4253987465681</v>
      </c>
      <c r="AZ172" s="177">
        <f t="shared" si="264"/>
        <v>1.253269605615707E-4</v>
      </c>
      <c r="BA172" s="469">
        <f t="shared" si="294"/>
        <v>3.7498921501997473</v>
      </c>
      <c r="BB172" s="469">
        <f t="shared" si="295"/>
        <v>1.0764820601816407</v>
      </c>
      <c r="BC172" s="5">
        <f t="shared" si="258"/>
        <v>9.5635209024983181E-2</v>
      </c>
      <c r="BD172" s="469">
        <f t="shared" si="296"/>
        <v>11.631225082997986</v>
      </c>
      <c r="BF172" s="177">
        <f t="shared" si="265"/>
        <v>0.11547934269869646</v>
      </c>
      <c r="BG172" s="177">
        <f t="shared" si="261"/>
        <v>9860.5893742195349</v>
      </c>
      <c r="BI172" s="538">
        <f t="shared" si="306"/>
        <v>4.6674175065430428E-3</v>
      </c>
      <c r="BJ172" s="538">
        <f t="shared" si="307"/>
        <v>515.9413832060784</v>
      </c>
      <c r="BK172" s="538">
        <f t="shared" si="308"/>
        <v>4.3749999999999995E-3</v>
      </c>
      <c r="BL172" s="538">
        <f t="shared" si="309"/>
        <v>8462830.4513776898</v>
      </c>
      <c r="BM172">
        <f t="shared" si="310"/>
        <v>5.7999999999999996E-3</v>
      </c>
      <c r="BN172">
        <f t="shared" si="297"/>
        <v>1.3124999999999999E-5</v>
      </c>
      <c r="BO172" s="538">
        <f t="shared" si="298"/>
        <v>8470640.8034157883</v>
      </c>
      <c r="BP172" s="469">
        <f t="shared" si="311"/>
        <v>8463346407.6033125</v>
      </c>
      <c r="BQ172" s="538">
        <f t="shared" si="299"/>
        <v>74284654.242288977</v>
      </c>
      <c r="BT172" s="469">
        <f t="shared" si="312"/>
        <v>74284654242.288971</v>
      </c>
      <c r="BU172" s="538">
        <f t="shared" si="313"/>
        <v>1.333547859012298E-3</v>
      </c>
      <c r="BV172" s="538">
        <f t="shared" si="314"/>
        <v>2916936.6842091358</v>
      </c>
      <c r="BW172" s="538">
        <f t="shared" si="315"/>
        <v>0</v>
      </c>
      <c r="BX172" s="538"/>
      <c r="BY172" s="538">
        <f t="shared" si="316"/>
        <v>3.1454666666666663E-3</v>
      </c>
      <c r="BZ172" s="469">
        <f t="shared" si="317"/>
        <v>2916936688.6881499</v>
      </c>
      <c r="CA172" s="177">
        <f t="shared" si="318"/>
        <v>85664937.338580444</v>
      </c>
      <c r="CB172" s="5">
        <f t="shared" si="319"/>
        <v>0.92999999999999994</v>
      </c>
      <c r="CC172" s="177">
        <f t="shared" si="320"/>
        <v>1.0856250162513669E-8</v>
      </c>
      <c r="CD172" s="5">
        <f t="shared" si="321"/>
        <v>1.0856250162513669E-6</v>
      </c>
      <c r="CG172" s="571">
        <f t="shared" si="300"/>
        <v>-50</v>
      </c>
      <c r="CH172">
        <f t="shared" si="301"/>
        <v>-50</v>
      </c>
    </row>
    <row r="173" spans="5:86" x14ac:dyDescent="0.25">
      <c r="E173" s="174">
        <v>63</v>
      </c>
      <c r="F173" s="221">
        <f t="shared" si="302"/>
        <v>6.3E-2</v>
      </c>
      <c r="G173" s="221"/>
      <c r="H173" s="221">
        <f t="shared" si="266"/>
        <v>0.94500000000000006</v>
      </c>
      <c r="I173" s="551">
        <f t="shared" si="267"/>
        <v>20</v>
      </c>
      <c r="J173" s="451">
        <f t="shared" si="268"/>
        <v>695386.58000000007</v>
      </c>
      <c r="K173" s="451">
        <f t="shared" si="269"/>
        <v>695406.58000000007</v>
      </c>
      <c r="L173" s="451"/>
      <c r="M173" s="221">
        <f t="shared" si="270"/>
        <v>0.9999712398464794</v>
      </c>
      <c r="N173" s="176">
        <f t="shared" si="271"/>
        <v>6.9298006921361024</v>
      </c>
      <c r="O173" s="176">
        <f t="shared" si="262"/>
        <v>0.94500000000000006</v>
      </c>
      <c r="P173" s="221">
        <f t="shared" si="272"/>
        <v>0.4619867128090735</v>
      </c>
      <c r="Q173" s="221">
        <f t="shared" si="273"/>
        <v>15</v>
      </c>
      <c r="R173" s="221"/>
      <c r="S173" s="176">
        <f t="shared" si="274"/>
        <v>107.14242029772338</v>
      </c>
      <c r="T173" s="176">
        <f t="shared" si="275"/>
        <v>15</v>
      </c>
      <c r="U173" s="221">
        <f t="shared" si="276"/>
        <v>0.10500301990297253</v>
      </c>
      <c r="V173" s="221">
        <f t="shared" si="277"/>
        <v>0.15750452985445881</v>
      </c>
      <c r="W173" s="221">
        <f t="shared" si="278"/>
        <v>4.5299847418527634E-6</v>
      </c>
      <c r="X173" s="201">
        <f t="shared" si="279"/>
        <v>350</v>
      </c>
      <c r="Y173" s="451">
        <f t="shared" si="303"/>
        <v>350</v>
      </c>
      <c r="AA173" s="221">
        <f t="shared" si="280"/>
        <v>1.9047071235171036</v>
      </c>
      <c r="AB173" s="177">
        <f t="shared" si="281"/>
        <v>8.2171867201568798E-5</v>
      </c>
      <c r="AC173" s="177">
        <f t="shared" si="282"/>
        <v>1.2514141549591451</v>
      </c>
      <c r="AD173" s="177"/>
      <c r="AE173" s="177">
        <f t="shared" si="283"/>
        <v>6.4712206554230591E-6</v>
      </c>
      <c r="AF173" s="555">
        <f t="shared" si="284"/>
        <v>2841.0666666666675</v>
      </c>
      <c r="AG173" s="538">
        <f t="shared" si="285"/>
        <v>7.7611695137976321E-3</v>
      </c>
      <c r="AI173" s="177">
        <f t="shared" si="286"/>
        <v>0.42736401345925235</v>
      </c>
      <c r="AJ173" s="177">
        <f t="shared" si="287"/>
        <v>0.42736401345925235</v>
      </c>
      <c r="AK173" s="177">
        <f t="shared" si="288"/>
        <v>1.3849093423061682</v>
      </c>
      <c r="AM173" s="555">
        <f t="shared" si="289"/>
        <v>63</v>
      </c>
      <c r="AN173" s="469">
        <f t="shared" si="290"/>
        <v>350</v>
      </c>
      <c r="AP173">
        <f t="shared" si="291"/>
        <v>63</v>
      </c>
      <c r="AQ173">
        <f t="shared" si="292"/>
        <v>350</v>
      </c>
      <c r="AS173" s="5">
        <f t="shared" si="263"/>
        <v>2.8571428571428572</v>
      </c>
      <c r="AT173" s="5">
        <f t="shared" si="293"/>
        <v>0.64104602018887857</v>
      </c>
      <c r="AU173" s="5">
        <f t="shared" si="304"/>
        <v>2.2160968369539784</v>
      </c>
      <c r="AV173" s="5"/>
      <c r="AW173" s="177">
        <f t="shared" si="305"/>
        <v>0.22436610706610749</v>
      </c>
      <c r="AX173" s="177">
        <f t="shared" si="259"/>
        <v>0.95886000000000016</v>
      </c>
      <c r="AY173" s="177">
        <f t="shared" si="260"/>
        <v>7572.44947846989</v>
      </c>
      <c r="AZ173" s="177">
        <f t="shared" si="264"/>
        <v>1.2662481311050624E-4</v>
      </c>
      <c r="BA173" s="469">
        <f t="shared" si="294"/>
        <v>3.7498921501997473</v>
      </c>
      <c r="BB173" s="469">
        <f t="shared" si="295"/>
        <v>1.1084389429919181</v>
      </c>
      <c r="BC173" s="5">
        <f t="shared" si="258"/>
        <v>9.695423661673655E-2</v>
      </c>
      <c r="BD173" s="469">
        <f t="shared" si="296"/>
        <v>11.792008394008386</v>
      </c>
      <c r="BF173" s="177">
        <f t="shared" si="265"/>
        <v>0.11687347260257404</v>
      </c>
      <c r="BG173" s="177">
        <f t="shared" si="261"/>
        <v>9928.3565139389302</v>
      </c>
      <c r="BI173" s="538">
        <f t="shared" si="306"/>
        <v>4.7807930093646187E-3</v>
      </c>
      <c r="BJ173" s="538">
        <f t="shared" si="307"/>
        <v>520.08555727585224</v>
      </c>
      <c r="BK173" s="538">
        <f t="shared" si="308"/>
        <v>4.3749999999999995E-3</v>
      </c>
      <c r="BL173" s="538">
        <f t="shared" si="309"/>
        <v>8462830.4513776898</v>
      </c>
      <c r="BM173">
        <f t="shared" si="310"/>
        <v>5.7999999999999996E-3</v>
      </c>
      <c r="BN173">
        <f t="shared" si="297"/>
        <v>1.3124999999999999E-5</v>
      </c>
      <c r="BO173" s="538">
        <f t="shared" si="298"/>
        <v>8470822.2948072422</v>
      </c>
      <c r="BP173" s="469">
        <f t="shared" si="311"/>
        <v>8463350551.8907585</v>
      </c>
      <c r="BQ173" s="538">
        <f t="shared" si="299"/>
        <v>75309209.001904905</v>
      </c>
      <c r="BT173" s="469">
        <f t="shared" si="312"/>
        <v>75309209001.904907</v>
      </c>
      <c r="BU173" s="538">
        <f t="shared" si="313"/>
        <v>1.3659408598184625E-3</v>
      </c>
      <c r="BV173" s="538">
        <f t="shared" si="314"/>
        <v>2957167.8920362075</v>
      </c>
      <c r="BW173" s="538">
        <f t="shared" si="315"/>
        <v>0</v>
      </c>
      <c r="BX173" s="538"/>
      <c r="BY173" s="538">
        <f t="shared" si="316"/>
        <v>3.196200000000001E-3</v>
      </c>
      <c r="BZ173" s="469">
        <f t="shared" si="317"/>
        <v>2957167896.5983486</v>
      </c>
      <c r="CA173" s="177">
        <f t="shared" si="318"/>
        <v>86729727.450394019</v>
      </c>
      <c r="CB173" s="5">
        <f t="shared" si="319"/>
        <v>0.94500000000000006</v>
      </c>
      <c r="CC173" s="177">
        <f t="shared" si="320"/>
        <v>1.0895917899014043E-8</v>
      </c>
      <c r="CD173" s="5">
        <f t="shared" si="321"/>
        <v>1.0895917899014043E-6</v>
      </c>
      <c r="CG173" s="571">
        <f t="shared" si="300"/>
        <v>-50</v>
      </c>
      <c r="CH173">
        <f t="shared" si="301"/>
        <v>-50</v>
      </c>
    </row>
    <row r="174" spans="5:86" x14ac:dyDescent="0.25">
      <c r="E174" s="174">
        <v>64</v>
      </c>
      <c r="F174" s="221">
        <f t="shared" si="302"/>
        <v>6.4000000000000001E-2</v>
      </c>
      <c r="G174" s="221"/>
      <c r="H174" s="221">
        <f t="shared" ref="H174:H205" si="322">F174*Vout</f>
        <v>0.96</v>
      </c>
      <c r="I174" s="551">
        <f t="shared" ref="I174:I212" si="323">VIN_min</f>
        <v>20</v>
      </c>
      <c r="J174" s="451">
        <f t="shared" ref="J174:J210" si="324">(T174+Vfwd1)*Nps</f>
        <v>695386.58000000007</v>
      </c>
      <c r="K174" s="451">
        <f t="shared" ref="K174:K210" si="325">(Vout+Vfwd1)*Nps+I174</f>
        <v>695406.58000000007</v>
      </c>
      <c r="L174" s="451"/>
      <c r="M174" s="221">
        <f t="shared" ref="M174:M210" si="326">(Vout+Vfwd1)*Nps/((Vout+Vfwd1)*Nps+I174)</f>
        <v>0.9999712398464794</v>
      </c>
      <c r="N174" s="176">
        <f t="shared" ref="N174:N205" si="327">M174*I174*(Isw_max+VIN_min/Lmag*ILIM_delay)*0.5*Efficiency</f>
        <v>6.9298006921361024</v>
      </c>
      <c r="O174" s="176">
        <f t="shared" si="262"/>
        <v>0.96</v>
      </c>
      <c r="P174" s="221">
        <f t="shared" ref="P174:P205" si="328">N174/Vout</f>
        <v>0.4619867128090735</v>
      </c>
      <c r="Q174" s="221">
        <f t="shared" ref="Q174:Q210" si="329">MIN(Vout,N174/F174)</f>
        <v>15</v>
      </c>
      <c r="R174" s="221"/>
      <c r="S174" s="176">
        <f t="shared" ref="S174:S210" si="330">(SQRT(Isw_max^2*Nps^2*I174^2+4*Isw_max*F174/Efficiency*(Nps^2*Vfwd1*I174-Nps*I174^2)+4*(F174/Efficiency)^2*Nps^2*Vfwd1^2+8*(F174/Efficiency)^2*Nps*Vfwd1*I174+4*(F174/Efficiency)^2*I174^2)-2*F174/Efficiency*I174-2*F174/Efficiency*Nps*Vfwd1+Isw_max*Nps*I174)/(4*F174/Efficiency*Nps)</f>
        <v>105.46831316907463</v>
      </c>
      <c r="T174" s="176">
        <f t="shared" ref="T174:T205" si="331">MIN(Vout, S174)</f>
        <v>15</v>
      </c>
      <c r="U174" s="221">
        <f t="shared" ref="U174:U210" si="332">MIN(2*Vout*F174/(Efficiency*I174*M174), Isw_max)</f>
        <v>0.10666973450460701</v>
      </c>
      <c r="V174" s="221">
        <f t="shared" ref="V174:V205" si="333">L*U174/I174*1000000</f>
        <v>0.1600046017569105</v>
      </c>
      <c r="W174" s="221">
        <f t="shared" ref="W174:W210" si="334">L*U174/J174*1000000</f>
        <v>4.6018892615647108E-6</v>
      </c>
      <c r="X174" s="201">
        <f t="shared" ref="X174:X210" si="335">IF(1/((350000*L)*(1/I174+1/J174))&gt;Isw_min, 350, 0.001/((Isw_min*L)*(1/I174+1/J174)))</f>
        <v>350</v>
      </c>
      <c r="Y174" s="451">
        <f t="shared" si="303"/>
        <v>350</v>
      </c>
      <c r="AA174" s="221">
        <f t="shared" ref="AA174:AA210" si="336">1/((X174*1000*L)*(1/I174+1/J174))</f>
        <v>1.9047071235171036</v>
      </c>
      <c r="AB174" s="177">
        <f t="shared" ref="AB174:AB205" si="337">L*AA174/J174*1000000</f>
        <v>8.2171867201568798E-5</v>
      </c>
      <c r="AC174" s="177">
        <f t="shared" ref="AC174:AC205" si="338">0.5*AB174*AA174*Nps*X174/1000</f>
        <v>1.2514141549591451</v>
      </c>
      <c r="AD174" s="177"/>
      <c r="AE174" s="177">
        <f t="shared" ref="AE174:AE210" si="339">L*Isw_min/J174*1000000</f>
        <v>6.4712206554230591E-6</v>
      </c>
      <c r="AF174" s="555">
        <f t="shared" ref="AF174:AF205" si="340">MAX(12000,F174/(0.5*AE174/1000000*Isw_min*Nps))/1000</f>
        <v>2886.1629629629638</v>
      </c>
      <c r="AG174" s="538">
        <f t="shared" ref="AG174:AG210" si="341">0.5*AE174/1000000*Isw_min*Nps*X174*1000</f>
        <v>7.7611695137976321E-3</v>
      </c>
      <c r="AI174" s="177">
        <f t="shared" ref="AI174:AI210" si="342">SQRT(F174/(0.5*L/J174*Fsw_DCM*Nps))</f>
        <v>0.43074243768062559</v>
      </c>
      <c r="AJ174" s="177">
        <f t="shared" ref="AJ174:AJ205" si="343">MAX(IF(F174&gt;AC174,U174,AI174),Isw_min)</f>
        <v>0.43074243768062559</v>
      </c>
      <c r="AK174" s="177">
        <f t="shared" ref="AK174:AK205" si="344">IF(F174&gt;AG174, (AJ174-Isw_min)/1.2*0.8+1.2, AF174*0.2/350+1)</f>
        <v>1.3871616251204171</v>
      </c>
      <c r="AM174" s="555">
        <f t="shared" ref="AM174:AM210" si="345">F174*1000</f>
        <v>64</v>
      </c>
      <c r="AN174" s="469">
        <f t="shared" ref="AN174:AN210" si="346">IF(F174&gt;AG174, Y174, AF174)</f>
        <v>350</v>
      </c>
      <c r="AP174">
        <f t="shared" ref="AP174:AP210" si="347">IF(H174&gt;N174, "",AM174)</f>
        <v>64</v>
      </c>
      <c r="AQ174">
        <f t="shared" ref="AQ174:AQ210" si="348">IF(H174&gt;N174, "",AN174)</f>
        <v>350</v>
      </c>
      <c r="AS174" s="5">
        <f t="shared" si="263"/>
        <v>2.8571428571428572</v>
      </c>
      <c r="AT174" s="5">
        <f t="shared" ref="AT174:AT210" si="349">L*AJ174/I174*1000000</f>
        <v>0.64611365652093844</v>
      </c>
      <c r="AU174" s="5">
        <f t="shared" si="304"/>
        <v>2.211029200621919</v>
      </c>
      <c r="AV174" s="5"/>
      <c r="AW174" s="177">
        <f t="shared" si="305"/>
        <v>0.22613977978232844</v>
      </c>
      <c r="AX174" s="177">
        <f t="shared" si="259"/>
        <v>0.97408000000000006</v>
      </c>
      <c r="AY174" s="177">
        <f t="shared" si="260"/>
        <v>7614.8585615950506</v>
      </c>
      <c r="AZ174" s="177">
        <f t="shared" si="264"/>
        <v>1.2791833126260508E-4</v>
      </c>
      <c r="BA174" s="469">
        <f t="shared" ref="BA174:BA210" si="350">L*Isw_max^2/(2*Vout_ripple*Vout)*1000000000*((1+M174)/2)^2</f>
        <v>3.7498921501997473</v>
      </c>
      <c r="BB174" s="469">
        <f t="shared" ref="BB174:BB210" si="351">L*F174^2/(2*Cout*Vout*Nps^2)*1000000000*((1+M174)/(1-M174))^2+F174*RCoutEsr</f>
        <v>1.1408591359271596</v>
      </c>
      <c r="BC174" s="5">
        <f t="shared" si="258"/>
        <v>9.8267964472085273E-2</v>
      </c>
      <c r="BD174" s="469">
        <f t="shared" ref="BD174:BD210" si="352">((CB174/I174/Efficiency)*AU174/Cin+(CB174/I174/Efficiency)*RCinEsr)*1000</f>
        <v>11.952155736650235</v>
      </c>
      <c r="BF174" s="177">
        <f t="shared" si="265"/>
        <v>0.11826208094678867</v>
      </c>
      <c r="BG174" s="177">
        <f t="shared" si="261"/>
        <v>9995.3946969296885</v>
      </c>
      <c r="BI174" s="538">
        <f t="shared" si="306"/>
        <v>4.8950719264526776E-3</v>
      </c>
      <c r="BJ174" s="538">
        <f t="shared" si="307"/>
        <v>524.19696953460732</v>
      </c>
      <c r="BK174" s="538">
        <f t="shared" si="308"/>
        <v>4.3749999999999995E-3</v>
      </c>
      <c r="BL174" s="538">
        <f t="shared" si="309"/>
        <v>8462830.4513776898</v>
      </c>
      <c r="BM174">
        <f t="shared" si="310"/>
        <v>5.7999999999999996E-3</v>
      </c>
      <c r="BN174">
        <f t="shared" ref="BN174:BN210" si="353">(I174-Vdd)*Qg*AN174</f>
        <v>1.3124999999999999E-5</v>
      </c>
      <c r="BO174" s="538">
        <f t="shared" ref="BO174:BO205" si="354">(BJ174+BK174+BL174+BM174+BN174+BI174*(1+RdsonTC*(Ta-25)))/(1-BI174*RdsonTC*ThetaJA)</f>
        <v>8471005.1742306314</v>
      </c>
      <c r="BP174" s="469">
        <f t="shared" si="311"/>
        <v>8463354663.4172964</v>
      </c>
      <c r="BQ174" s="538">
        <f t="shared" ref="BQ174:BQ210" si="355">(Vfwd2*F174+BG174^2*Rdiode)*(1+Diode_TC/1000*(Ta-25))</f>
        <v>76329647.190957323</v>
      </c>
      <c r="BT174" s="469">
        <f t="shared" si="312"/>
        <v>76329647190.957321</v>
      </c>
      <c r="BU174" s="538">
        <f t="shared" si="313"/>
        <v>1.3985919789864796E-3</v>
      </c>
      <c r="BV174" s="538">
        <f t="shared" si="314"/>
        <v>2997237.4544223039</v>
      </c>
      <c r="BW174" s="538">
        <f t="shared" si="315"/>
        <v>0</v>
      </c>
      <c r="BX174" s="538"/>
      <c r="BY174" s="538">
        <f t="shared" si="316"/>
        <v>3.2469333333333336E-3</v>
      </c>
      <c r="BZ174" s="469">
        <f t="shared" si="317"/>
        <v>2997237459.0678291</v>
      </c>
      <c r="CA174" s="177">
        <f t="shared" si="318"/>
        <v>87790239.313442454</v>
      </c>
      <c r="CB174" s="5">
        <f t="shared" si="319"/>
        <v>0.96</v>
      </c>
      <c r="CC174" s="177">
        <f t="shared" si="320"/>
        <v>1.0935156311337844E-8</v>
      </c>
      <c r="CD174" s="5">
        <f t="shared" si="321"/>
        <v>1.0935156311337845E-6</v>
      </c>
      <c r="CG174" s="571">
        <f t="shared" ref="CG174:CG210" si="356">IF(ABS(F174-Ioutmax_Vinmin)&lt;Iout/200, AN174, -50)</f>
        <v>-50</v>
      </c>
      <c r="CH174">
        <f t="shared" ref="CH174:CH210" si="357">IF(ABS(F174-Ioutmax_Vinmin)&lt;Iout/200, N174*CC174, -50)</f>
        <v>-50</v>
      </c>
    </row>
    <row r="175" spans="5:86" x14ac:dyDescent="0.25">
      <c r="E175" s="174">
        <v>65</v>
      </c>
      <c r="F175" s="221">
        <f t="shared" ref="F175:F206" si="358">IF(PLOT_TYPE=1, E175/100*Iout_max, min_I*EXP(N175*rr/100))</f>
        <v>6.5000000000000002E-2</v>
      </c>
      <c r="G175" s="221"/>
      <c r="H175" s="221">
        <f t="shared" si="322"/>
        <v>0.97500000000000009</v>
      </c>
      <c r="I175" s="551">
        <f t="shared" si="323"/>
        <v>20</v>
      </c>
      <c r="J175" s="451">
        <f t="shared" si="324"/>
        <v>695386.58000000007</v>
      </c>
      <c r="K175" s="451">
        <f t="shared" si="325"/>
        <v>695406.58000000007</v>
      </c>
      <c r="L175" s="451"/>
      <c r="M175" s="221">
        <f t="shared" si="326"/>
        <v>0.9999712398464794</v>
      </c>
      <c r="N175" s="176">
        <f t="shared" si="327"/>
        <v>6.9298006921361024</v>
      </c>
      <c r="O175" s="176">
        <f t="shared" si="262"/>
        <v>0.97500000000000009</v>
      </c>
      <c r="P175" s="221">
        <f t="shared" si="328"/>
        <v>0.4619867128090735</v>
      </c>
      <c r="Q175" s="221">
        <f t="shared" si="329"/>
        <v>15</v>
      </c>
      <c r="R175" s="221"/>
      <c r="S175" s="176">
        <f t="shared" si="330"/>
        <v>103.84571702943593</v>
      </c>
      <c r="T175" s="176">
        <f t="shared" si="331"/>
        <v>15</v>
      </c>
      <c r="U175" s="221">
        <f t="shared" si="332"/>
        <v>0.1083364491062415</v>
      </c>
      <c r="V175" s="221">
        <f t="shared" si="333"/>
        <v>0.16250467365936225</v>
      </c>
      <c r="W175" s="221">
        <f t="shared" si="334"/>
        <v>4.6737937812766607E-6</v>
      </c>
      <c r="X175" s="201">
        <f t="shared" si="335"/>
        <v>350</v>
      </c>
      <c r="Y175" s="451">
        <f t="shared" si="303"/>
        <v>350</v>
      </c>
      <c r="AA175" s="221">
        <f t="shared" si="336"/>
        <v>1.9047071235171036</v>
      </c>
      <c r="AB175" s="177">
        <f t="shared" si="337"/>
        <v>8.2171867201568798E-5</v>
      </c>
      <c r="AC175" s="177">
        <f t="shared" si="338"/>
        <v>1.2514141549591451</v>
      </c>
      <c r="AD175" s="177"/>
      <c r="AE175" s="177">
        <f t="shared" si="339"/>
        <v>6.4712206554230591E-6</v>
      </c>
      <c r="AF175" s="555">
        <f t="shared" si="340"/>
        <v>2931.25925925926</v>
      </c>
      <c r="AG175" s="538">
        <f t="shared" si="341"/>
        <v>7.7611695137976321E-3</v>
      </c>
      <c r="AI175" s="177">
        <f t="shared" si="342"/>
        <v>0.43409456946395358</v>
      </c>
      <c r="AJ175" s="177">
        <f t="shared" si="343"/>
        <v>0.43409456946395358</v>
      </c>
      <c r="AK175" s="177">
        <f t="shared" si="344"/>
        <v>1.3893963796426356</v>
      </c>
      <c r="AM175" s="555">
        <f t="shared" si="345"/>
        <v>65</v>
      </c>
      <c r="AN175" s="469">
        <f t="shared" si="346"/>
        <v>350</v>
      </c>
      <c r="AP175">
        <f t="shared" si="347"/>
        <v>65</v>
      </c>
      <c r="AQ175">
        <f t="shared" si="348"/>
        <v>350</v>
      </c>
      <c r="AS175" s="5">
        <f t="shared" si="263"/>
        <v>2.8571428571428572</v>
      </c>
      <c r="AT175" s="5">
        <f t="shared" si="349"/>
        <v>0.6511418541959304</v>
      </c>
      <c r="AU175" s="5">
        <f t="shared" si="304"/>
        <v>2.2060010029469268</v>
      </c>
      <c r="AV175" s="5"/>
      <c r="AW175" s="177">
        <f t="shared" si="305"/>
        <v>0.22789964896857565</v>
      </c>
      <c r="AX175" s="177">
        <f t="shared" si="259"/>
        <v>0.98929999999999985</v>
      </c>
      <c r="AY175" s="177">
        <f t="shared" si="260"/>
        <v>7656.6670071192884</v>
      </c>
      <c r="AZ175" s="177">
        <f t="shared" si="264"/>
        <v>1.2920765642284474E-4</v>
      </c>
      <c r="BA175" s="469">
        <f t="shared" si="350"/>
        <v>3.7498921501997473</v>
      </c>
      <c r="BB175" s="469">
        <f t="shared" si="351"/>
        <v>1.1737426389873657</v>
      </c>
      <c r="BC175" s="5">
        <f t="shared" si="258"/>
        <v>9.9576434160798782E-2</v>
      </c>
      <c r="BD175" s="469">
        <f t="shared" si="352"/>
        <v>12.111672099295854</v>
      </c>
      <c r="BF175" s="177">
        <f t="shared" si="265"/>
        <v>0.11964527537275751</v>
      </c>
      <c r="BG175" s="177">
        <f t="shared" si="261"/>
        <v>10061.72059386912</v>
      </c>
      <c r="BI175" s="538">
        <f t="shared" si="306"/>
        <v>5.0102471716580417E-3</v>
      </c>
      <c r="BJ175" s="538">
        <f t="shared" si="307"/>
        <v>528.27638490812581</v>
      </c>
      <c r="BK175" s="538">
        <f t="shared" si="308"/>
        <v>4.3749999999999995E-3</v>
      </c>
      <c r="BL175" s="538">
        <f t="shared" si="309"/>
        <v>8462830.4513776898</v>
      </c>
      <c r="BM175">
        <f t="shared" si="310"/>
        <v>5.7999999999999996E-3</v>
      </c>
      <c r="BN175">
        <f t="shared" si="353"/>
        <v>1.3124999999999999E-5</v>
      </c>
      <c r="BO175" s="538">
        <f t="shared" si="354"/>
        <v>8471189.4315455556</v>
      </c>
      <c r="BP175" s="469">
        <f t="shared" si="311"/>
        <v>8463358742.9478445</v>
      </c>
      <c r="BQ175" s="538">
        <f t="shared" si="355"/>
        <v>77346001.098767206</v>
      </c>
      <c r="BT175" s="469">
        <f t="shared" si="312"/>
        <v>77346001098.767212</v>
      </c>
      <c r="BU175" s="538">
        <f t="shared" si="313"/>
        <v>1.4314991919022978E-3</v>
      </c>
      <c r="BV175" s="538">
        <f t="shared" si="314"/>
        <v>3037146.6392726987</v>
      </c>
      <c r="BW175" s="538">
        <f t="shared" si="315"/>
        <v>0</v>
      </c>
      <c r="BX175" s="538"/>
      <c r="BY175" s="538">
        <f t="shared" si="316"/>
        <v>3.2976666666666666E-3</v>
      </c>
      <c r="BZ175" s="469">
        <f t="shared" si="317"/>
        <v>3037146644.0018644</v>
      </c>
      <c r="CA175" s="177">
        <f t="shared" si="318"/>
        <v>88846506.485716924</v>
      </c>
      <c r="CB175" s="5">
        <f t="shared" si="319"/>
        <v>0.97500000000000009</v>
      </c>
      <c r="CC175" s="177">
        <f t="shared" si="320"/>
        <v>1.097398229672778E-8</v>
      </c>
      <c r="CD175" s="5">
        <f t="shared" si="321"/>
        <v>1.097398229672778E-6</v>
      </c>
      <c r="CG175" s="571">
        <f t="shared" si="356"/>
        <v>-50</v>
      </c>
      <c r="CH175">
        <f t="shared" si="357"/>
        <v>-50</v>
      </c>
    </row>
    <row r="176" spans="5:86" x14ac:dyDescent="0.25">
      <c r="E176" s="174">
        <v>66</v>
      </c>
      <c r="F176" s="221">
        <f t="shared" si="358"/>
        <v>6.6000000000000003E-2</v>
      </c>
      <c r="G176" s="221"/>
      <c r="H176" s="221">
        <f t="shared" si="322"/>
        <v>0.99</v>
      </c>
      <c r="I176" s="551">
        <f t="shared" si="323"/>
        <v>20</v>
      </c>
      <c r="J176" s="451">
        <f t="shared" si="324"/>
        <v>695386.58000000007</v>
      </c>
      <c r="K176" s="451">
        <f t="shared" si="325"/>
        <v>695406.58000000007</v>
      </c>
      <c r="L176" s="451"/>
      <c r="M176" s="221">
        <f t="shared" si="326"/>
        <v>0.9999712398464794</v>
      </c>
      <c r="N176" s="176">
        <f t="shared" si="327"/>
        <v>6.9298006921361024</v>
      </c>
      <c r="O176" s="176">
        <f t="shared" si="262"/>
        <v>0.99</v>
      </c>
      <c r="P176" s="221">
        <f t="shared" si="328"/>
        <v>0.4619867128090735</v>
      </c>
      <c r="Q176" s="221">
        <f t="shared" si="329"/>
        <v>15</v>
      </c>
      <c r="R176" s="221"/>
      <c r="S176" s="176">
        <f t="shared" si="330"/>
        <v>102.27229047021591</v>
      </c>
      <c r="T176" s="546">
        <f t="shared" si="331"/>
        <v>15</v>
      </c>
      <c r="U176" s="221">
        <f t="shared" si="332"/>
        <v>0.11000316370787598</v>
      </c>
      <c r="V176" s="221">
        <f t="shared" si="333"/>
        <v>0.16500474556181399</v>
      </c>
      <c r="W176" s="221">
        <f t="shared" si="334"/>
        <v>4.7456983009886089E-6</v>
      </c>
      <c r="X176" s="201">
        <f t="shared" si="335"/>
        <v>350</v>
      </c>
      <c r="Y176" s="451">
        <f t="shared" si="303"/>
        <v>350</v>
      </c>
      <c r="AA176" s="221">
        <f t="shared" si="336"/>
        <v>1.9047071235171036</v>
      </c>
      <c r="AB176" s="177">
        <f t="shared" si="337"/>
        <v>8.2171867201568798E-5</v>
      </c>
      <c r="AC176" s="177">
        <f t="shared" si="338"/>
        <v>1.2514141549591451</v>
      </c>
      <c r="AD176" s="177"/>
      <c r="AE176" s="177">
        <f t="shared" si="339"/>
        <v>6.4712206554230591E-6</v>
      </c>
      <c r="AF176" s="555">
        <f t="shared" si="340"/>
        <v>2976.3555555555563</v>
      </c>
      <c r="AG176" s="538">
        <f t="shared" si="341"/>
        <v>7.7611695137976321E-3</v>
      </c>
      <c r="AI176" s="177">
        <f t="shared" si="342"/>
        <v>0.43742101327798927</v>
      </c>
      <c r="AJ176" s="177">
        <f t="shared" si="343"/>
        <v>0.43742101327798927</v>
      </c>
      <c r="AK176" s="177">
        <f t="shared" si="344"/>
        <v>1.3916140088519928</v>
      </c>
      <c r="AM176" s="555">
        <f t="shared" si="345"/>
        <v>66</v>
      </c>
      <c r="AN176" s="469">
        <f t="shared" si="346"/>
        <v>350</v>
      </c>
      <c r="AP176">
        <f t="shared" si="347"/>
        <v>66</v>
      </c>
      <c r="AQ176">
        <f t="shared" si="348"/>
        <v>350</v>
      </c>
      <c r="AS176" s="5">
        <f t="shared" si="263"/>
        <v>2.8571428571428572</v>
      </c>
      <c r="AT176" s="5">
        <f t="shared" si="349"/>
        <v>0.65613151991698393</v>
      </c>
      <c r="AU176" s="5">
        <f t="shared" si="304"/>
        <v>2.2010113372258733</v>
      </c>
      <c r="AV176" s="5"/>
      <c r="AW176" s="177">
        <f t="shared" si="305"/>
        <v>0.22964603197094438</v>
      </c>
      <c r="AX176" s="177">
        <f t="shared" si="259"/>
        <v>1.0045200000000001</v>
      </c>
      <c r="AY176" s="177">
        <f t="shared" si="260"/>
        <v>7697.8886238290261</v>
      </c>
      <c r="AZ176" s="177">
        <f t="shared" si="264"/>
        <v>1.3049292463007073E-4</v>
      </c>
      <c r="BA176" s="469">
        <f t="shared" si="350"/>
        <v>3.7498921501997473</v>
      </c>
      <c r="BB176" s="469">
        <f t="shared" si="351"/>
        <v>1.2070894521725362</v>
      </c>
      <c r="BC176" s="5">
        <f t="shared" si="258"/>
        <v>0.10087968628951915</v>
      </c>
      <c r="BD176" s="469">
        <f t="shared" si="352"/>
        <v>12.270562354742301</v>
      </c>
      <c r="BF176" s="177">
        <f t="shared" si="265"/>
        <v>0.12102315980257743</v>
      </c>
      <c r="BG176" s="177">
        <f t="shared" si="261"/>
        <v>10127.350237708846</v>
      </c>
      <c r="BI176" s="538">
        <f t="shared" si="306"/>
        <v>5.1263118230100669E-3</v>
      </c>
      <c r="BJ176" s="538">
        <f t="shared" si="307"/>
        <v>532.32453901161693</v>
      </c>
      <c r="BK176" s="538">
        <f t="shared" si="308"/>
        <v>4.3749999999999995E-3</v>
      </c>
      <c r="BL176" s="538">
        <f t="shared" si="309"/>
        <v>8462830.4513776898</v>
      </c>
      <c r="BM176">
        <f t="shared" si="310"/>
        <v>5.7999999999999996E-3</v>
      </c>
      <c r="BN176">
        <f t="shared" si="353"/>
        <v>1.3124999999999999E-5</v>
      </c>
      <c r="BO176" s="538">
        <f t="shared" si="354"/>
        <v>8471375.0568386726</v>
      </c>
      <c r="BP176" s="469">
        <f t="shared" si="311"/>
        <v>8463362791.2180128</v>
      </c>
      <c r="BQ176" s="538">
        <f t="shared" si="355"/>
        <v>78358302.26654616</v>
      </c>
      <c r="BT176" s="469">
        <f t="shared" si="312"/>
        <v>78358302266.546158</v>
      </c>
      <c r="BU176" s="538">
        <f t="shared" si="313"/>
        <v>1.4646605208600194E-3</v>
      </c>
      <c r="BV176" s="538">
        <f t="shared" si="314"/>
        <v>3076896.6851166426</v>
      </c>
      <c r="BW176" s="538">
        <f t="shared" si="315"/>
        <v>0</v>
      </c>
      <c r="BX176" s="538"/>
      <c r="BY176" s="538">
        <f t="shared" si="316"/>
        <v>3.3484000000000005E-3</v>
      </c>
      <c r="BZ176" s="469">
        <f t="shared" si="317"/>
        <v>3076896689.9297032</v>
      </c>
      <c r="CA176" s="177">
        <f t="shared" si="318"/>
        <v>89898561.747693881</v>
      </c>
      <c r="CB176" s="5">
        <f t="shared" si="319"/>
        <v>0.99</v>
      </c>
      <c r="CC176" s="177">
        <f t="shared" si="320"/>
        <v>1.1012411876801892E-8</v>
      </c>
      <c r="CD176" s="5">
        <f t="shared" si="321"/>
        <v>1.1012411876801892E-6</v>
      </c>
      <c r="CG176" s="571">
        <f t="shared" si="356"/>
        <v>-50</v>
      </c>
      <c r="CH176">
        <f t="shared" si="357"/>
        <v>-50</v>
      </c>
    </row>
    <row r="177" spans="5:86" x14ac:dyDescent="0.25">
      <c r="E177" s="174">
        <v>67</v>
      </c>
      <c r="F177" s="221">
        <f t="shared" si="358"/>
        <v>6.7000000000000004E-2</v>
      </c>
      <c r="G177" s="221"/>
      <c r="H177" s="221">
        <f t="shared" si="322"/>
        <v>1.0050000000000001</v>
      </c>
      <c r="I177" s="551">
        <f t="shared" si="323"/>
        <v>20</v>
      </c>
      <c r="J177" s="451">
        <f t="shared" si="324"/>
        <v>695386.58000000007</v>
      </c>
      <c r="K177" s="451">
        <f t="shared" si="325"/>
        <v>695406.58000000007</v>
      </c>
      <c r="L177" s="451"/>
      <c r="M177" s="221">
        <f t="shared" si="326"/>
        <v>0.9999712398464794</v>
      </c>
      <c r="N177" s="176">
        <f t="shared" si="327"/>
        <v>6.9298006921361024</v>
      </c>
      <c r="O177" s="176">
        <f t="shared" si="262"/>
        <v>1.0050000000000001</v>
      </c>
      <c r="P177" s="221">
        <f t="shared" si="328"/>
        <v>0.4619867128090735</v>
      </c>
      <c r="Q177" s="221">
        <f t="shared" si="329"/>
        <v>15</v>
      </c>
      <c r="R177" s="221"/>
      <c r="S177" s="176">
        <f t="shared" si="330"/>
        <v>100.74583186841066</v>
      </c>
      <c r="T177" s="546">
        <f t="shared" si="331"/>
        <v>15</v>
      </c>
      <c r="U177" s="221">
        <f t="shared" si="332"/>
        <v>0.11166987830951049</v>
      </c>
      <c r="V177" s="221">
        <f t="shared" si="333"/>
        <v>0.16750481746426574</v>
      </c>
      <c r="W177" s="221">
        <f t="shared" si="334"/>
        <v>4.817602820700558E-6</v>
      </c>
      <c r="X177" s="201">
        <f t="shared" si="335"/>
        <v>350</v>
      </c>
      <c r="Y177" s="451">
        <f t="shared" si="303"/>
        <v>350</v>
      </c>
      <c r="AA177" s="221">
        <f t="shared" si="336"/>
        <v>1.9047071235171036</v>
      </c>
      <c r="AB177" s="177">
        <f t="shared" si="337"/>
        <v>8.2171867201568798E-5</v>
      </c>
      <c r="AC177" s="177">
        <f t="shared" si="338"/>
        <v>1.2514141549591451</v>
      </c>
      <c r="AD177" s="177"/>
      <c r="AE177" s="177">
        <f t="shared" si="339"/>
        <v>6.4712206554230591E-6</v>
      </c>
      <c r="AF177" s="555">
        <f t="shared" si="340"/>
        <v>3021.4518518518526</v>
      </c>
      <c r="AG177" s="538">
        <f t="shared" si="341"/>
        <v>7.7611695137976321E-3</v>
      </c>
      <c r="AI177" s="177">
        <f t="shared" si="342"/>
        <v>0.44072235077902561</v>
      </c>
      <c r="AJ177" s="177">
        <f t="shared" si="343"/>
        <v>0.44072235077902561</v>
      </c>
      <c r="AK177" s="177">
        <f t="shared" si="344"/>
        <v>1.3938149005193505</v>
      </c>
      <c r="AM177" s="555">
        <f t="shared" si="345"/>
        <v>67</v>
      </c>
      <c r="AN177" s="469">
        <f t="shared" si="346"/>
        <v>350</v>
      </c>
      <c r="AP177">
        <f t="shared" si="347"/>
        <v>67</v>
      </c>
      <c r="AQ177">
        <f t="shared" si="348"/>
        <v>350</v>
      </c>
      <c r="AS177" s="5">
        <f t="shared" si="263"/>
        <v>2.8571428571428572</v>
      </c>
      <c r="AT177" s="5">
        <f t="shared" si="349"/>
        <v>0.66108352616853849</v>
      </c>
      <c r="AU177" s="5">
        <f t="shared" si="304"/>
        <v>2.1960593309743186</v>
      </c>
      <c r="AV177" s="5"/>
      <c r="AW177" s="177">
        <f t="shared" si="305"/>
        <v>0.23137923415898848</v>
      </c>
      <c r="AX177" s="177">
        <f t="shared" si="259"/>
        <v>1.0197400000000001</v>
      </c>
      <c r="AY177" s="177">
        <f t="shared" si="260"/>
        <v>7738.5366993714506</v>
      </c>
      <c r="AZ177" s="177">
        <f t="shared" si="264"/>
        <v>1.3177426684334606E-4</v>
      </c>
      <c r="BA177" s="469">
        <f t="shared" si="350"/>
        <v>3.7498921501997473</v>
      </c>
      <c r="BB177" s="469">
        <f t="shared" si="351"/>
        <v>1.240899575482671</v>
      </c>
      <c r="BC177" s="5">
        <f t="shared" si="258"/>
        <v>0.10217776053838842</v>
      </c>
      <c r="BD177" s="469">
        <f t="shared" si="352"/>
        <v>12.428831264606611</v>
      </c>
      <c r="BF177" s="177">
        <f t="shared" si="265"/>
        <v>0.12239583462185354</v>
      </c>
      <c r="BG177" s="177">
        <f t="shared" si="261"/>
        <v>10192.299057334945</v>
      </c>
      <c r="BI177" s="538">
        <f t="shared" si="306"/>
        <v>5.2432591164730423E-3</v>
      </c>
      <c r="BJ177" s="538">
        <f t="shared" si="307"/>
        <v>536.34213969840448</v>
      </c>
      <c r="BK177" s="538">
        <f t="shared" si="308"/>
        <v>4.3749999999999995E-3</v>
      </c>
      <c r="BL177" s="538">
        <f t="shared" si="309"/>
        <v>8462830.4513776898</v>
      </c>
      <c r="BM177">
        <f t="shared" si="310"/>
        <v>5.7999999999999996E-3</v>
      </c>
      <c r="BN177">
        <f t="shared" si="353"/>
        <v>1.3124999999999999E-5</v>
      </c>
      <c r="BO177" s="538">
        <f t="shared" si="354"/>
        <v>8471562.0404155087</v>
      </c>
      <c r="BP177" s="469">
        <f t="shared" si="311"/>
        <v>8463366808.9356461</v>
      </c>
      <c r="BQ177" s="538">
        <f t="shared" si="355"/>
        <v>79366581.515846699</v>
      </c>
      <c r="BT177" s="469">
        <f t="shared" si="312"/>
        <v>79366581515.846695</v>
      </c>
      <c r="BU177" s="538">
        <f t="shared" si="313"/>
        <v>1.4980740332780121E-3</v>
      </c>
      <c r="BV177" s="538">
        <f t="shared" si="314"/>
        <v>3116488.8022245243</v>
      </c>
      <c r="BW177" s="538">
        <f t="shared" si="315"/>
        <v>0</v>
      </c>
      <c r="BX177" s="538"/>
      <c r="BY177" s="538">
        <f t="shared" si="316"/>
        <v>3.399133333333334E-3</v>
      </c>
      <c r="BZ177" s="469">
        <f t="shared" si="317"/>
        <v>3116488807.1217313</v>
      </c>
      <c r="CA177" s="177">
        <f t="shared" si="318"/>
        <v>90946437.131904066</v>
      </c>
      <c r="CB177" s="5">
        <f t="shared" si="319"/>
        <v>1.0050000000000001</v>
      </c>
      <c r="CC177" s="177">
        <f t="shared" si="320"/>
        <v>1.1050460255377427E-8</v>
      </c>
      <c r="CD177" s="5">
        <f t="shared" si="321"/>
        <v>1.1050460255377427E-6</v>
      </c>
      <c r="CG177" s="571">
        <f t="shared" si="356"/>
        <v>-50</v>
      </c>
      <c r="CH177">
        <f t="shared" si="357"/>
        <v>-50</v>
      </c>
    </row>
    <row r="178" spans="5:86" x14ac:dyDescent="0.25">
      <c r="E178" s="174">
        <v>68</v>
      </c>
      <c r="F178" s="221">
        <f t="shared" si="358"/>
        <v>6.8000000000000005E-2</v>
      </c>
      <c r="G178" s="221"/>
      <c r="H178" s="221">
        <f t="shared" si="322"/>
        <v>1.02</v>
      </c>
      <c r="I178" s="551">
        <f t="shared" si="323"/>
        <v>20</v>
      </c>
      <c r="J178" s="451">
        <f t="shared" si="324"/>
        <v>695386.58000000007</v>
      </c>
      <c r="K178" s="451">
        <f t="shared" si="325"/>
        <v>695406.58000000007</v>
      </c>
      <c r="L178" s="451"/>
      <c r="M178" s="221">
        <f t="shared" si="326"/>
        <v>0.9999712398464794</v>
      </c>
      <c r="N178" s="176">
        <f t="shared" si="327"/>
        <v>6.9298006921361024</v>
      </c>
      <c r="O178" s="176">
        <f t="shared" si="262"/>
        <v>1.02</v>
      </c>
      <c r="P178" s="221">
        <f t="shared" si="328"/>
        <v>0.4619867128090735</v>
      </c>
      <c r="Q178" s="221">
        <f t="shared" si="329"/>
        <v>15</v>
      </c>
      <c r="R178" s="221"/>
      <c r="S178" s="176">
        <f t="shared" si="330"/>
        <v>99.264269108251895</v>
      </c>
      <c r="T178" s="546">
        <f t="shared" si="331"/>
        <v>15</v>
      </c>
      <c r="U178" s="221">
        <f t="shared" si="332"/>
        <v>0.11333659291114495</v>
      </c>
      <c r="V178" s="221">
        <f t="shared" si="333"/>
        <v>0.17000488936671743</v>
      </c>
      <c r="W178" s="221">
        <f t="shared" si="334"/>
        <v>4.8895073404125054E-6</v>
      </c>
      <c r="X178" s="201">
        <f t="shared" si="335"/>
        <v>350</v>
      </c>
      <c r="Y178" s="451">
        <f t="shared" si="303"/>
        <v>350</v>
      </c>
      <c r="AA178" s="221">
        <f t="shared" si="336"/>
        <v>1.9047071235171036</v>
      </c>
      <c r="AB178" s="177">
        <f t="shared" si="337"/>
        <v>8.2171867201568798E-5</v>
      </c>
      <c r="AC178" s="177">
        <f t="shared" si="338"/>
        <v>1.2514141549591451</v>
      </c>
      <c r="AD178" s="177"/>
      <c r="AE178" s="177">
        <f t="shared" si="339"/>
        <v>6.4712206554230591E-6</v>
      </c>
      <c r="AF178" s="555">
        <f t="shared" si="340"/>
        <v>3066.5481481481493</v>
      </c>
      <c r="AG178" s="538">
        <f t="shared" si="341"/>
        <v>7.7611695137976321E-3</v>
      </c>
      <c r="AI178" s="177">
        <f t="shared" si="342"/>
        <v>0.44399914199831303</v>
      </c>
      <c r="AJ178" s="177">
        <f t="shared" si="343"/>
        <v>0.44399914199831303</v>
      </c>
      <c r="AK178" s="177">
        <f t="shared" si="344"/>
        <v>1.3959994279988752</v>
      </c>
      <c r="AM178" s="555">
        <f t="shared" si="345"/>
        <v>68</v>
      </c>
      <c r="AN178" s="469">
        <f t="shared" si="346"/>
        <v>350</v>
      </c>
      <c r="AP178">
        <f t="shared" si="347"/>
        <v>68</v>
      </c>
      <c r="AQ178">
        <f t="shared" si="348"/>
        <v>350</v>
      </c>
      <c r="AS178" s="5">
        <f t="shared" si="263"/>
        <v>2.8571428571428572</v>
      </c>
      <c r="AT178" s="5">
        <f t="shared" si="349"/>
        <v>0.66599871299746949</v>
      </c>
      <c r="AU178" s="5">
        <f t="shared" si="304"/>
        <v>2.1911441441453876</v>
      </c>
      <c r="AV178" s="5"/>
      <c r="AW178" s="177">
        <f t="shared" si="305"/>
        <v>0.23309954954911433</v>
      </c>
      <c r="AX178" s="177">
        <f t="shared" si="259"/>
        <v>1.0349600000000003</v>
      </c>
      <c r="AY178" s="177">
        <f t="shared" si="260"/>
        <v>7778.6240273804615</v>
      </c>
      <c r="AZ178" s="177">
        <f t="shared" si="264"/>
        <v>1.3305180920905553E-4</v>
      </c>
      <c r="BA178" s="469">
        <f t="shared" si="350"/>
        <v>3.7498921501997473</v>
      </c>
      <c r="BB178" s="469">
        <f t="shared" si="351"/>
        <v>1.27517300891777</v>
      </c>
      <c r="BC178" s="5">
        <f t="shared" si="258"/>
        <v>0.10347069569575439</v>
      </c>
      <c r="BD178" s="469">
        <f t="shared" si="352"/>
        <v>12.586483483490531</v>
      </c>
      <c r="BF178" s="177">
        <f t="shared" si="265"/>
        <v>0.12376339685095025</v>
      </c>
      <c r="BG178" s="177">
        <f t="shared" si="261"/>
        <v>10256.581908976679</v>
      </c>
      <c r="BI178" s="538">
        <f t="shared" si="306"/>
        <v>5.3610824400300303E-3</v>
      </c>
      <c r="BJ178" s="538">
        <f t="shared" si="307"/>
        <v>540.32986850496729</v>
      </c>
      <c r="BK178" s="538">
        <f t="shared" si="308"/>
        <v>4.3749999999999995E-3</v>
      </c>
      <c r="BL178" s="538">
        <f t="shared" si="309"/>
        <v>8462830.4513776898</v>
      </c>
      <c r="BM178">
        <f t="shared" si="310"/>
        <v>5.7999999999999996E-3</v>
      </c>
      <c r="BN178">
        <f t="shared" si="353"/>
        <v>1.3124999999999999E-5</v>
      </c>
      <c r="BO178" s="538">
        <f t="shared" si="354"/>
        <v>8471750.3727926463</v>
      </c>
      <c r="BP178" s="469">
        <f t="shared" si="311"/>
        <v>8463370796.7822771</v>
      </c>
      <c r="BQ178" s="538">
        <f t="shared" si="355"/>
        <v>80370868.975520417</v>
      </c>
      <c r="BT178" s="469">
        <f t="shared" si="312"/>
        <v>80370868975.520416</v>
      </c>
      <c r="BU178" s="538">
        <f t="shared" si="313"/>
        <v>1.5317378400085803E-3</v>
      </c>
      <c r="BV178" s="538">
        <f t="shared" si="314"/>
        <v>3155924.1736664311</v>
      </c>
      <c r="BW178" s="538">
        <f t="shared" si="315"/>
        <v>0</v>
      </c>
      <c r="BX178" s="538"/>
      <c r="BY178" s="538">
        <f t="shared" si="316"/>
        <v>3.4498666666666678E-3</v>
      </c>
      <c r="BZ178" s="469">
        <f t="shared" si="317"/>
        <v>3155924178.6480355</v>
      </c>
      <c r="CA178" s="177">
        <f t="shared" si="318"/>
        <v>91990163.950950727</v>
      </c>
      <c r="CB178" s="5">
        <f t="shared" si="319"/>
        <v>1.02</v>
      </c>
      <c r="CC178" s="177">
        <f t="shared" si="320"/>
        <v>1.1088141871710988E-8</v>
      </c>
      <c r="CD178" s="5">
        <f t="shared" si="321"/>
        <v>1.1088141871710987E-6</v>
      </c>
      <c r="CG178" s="571">
        <f t="shared" si="356"/>
        <v>-50</v>
      </c>
      <c r="CH178">
        <f t="shared" si="357"/>
        <v>-50</v>
      </c>
    </row>
    <row r="179" spans="5:86" x14ac:dyDescent="0.25">
      <c r="E179" s="174">
        <v>69</v>
      </c>
      <c r="F179" s="221">
        <f t="shared" si="358"/>
        <v>6.8999999999999992E-2</v>
      </c>
      <c r="G179" s="221"/>
      <c r="H179" s="221">
        <f t="shared" si="322"/>
        <v>1.0349999999999999</v>
      </c>
      <c r="I179" s="551">
        <f t="shared" si="323"/>
        <v>20</v>
      </c>
      <c r="J179" s="451">
        <f t="shared" si="324"/>
        <v>695386.58000000007</v>
      </c>
      <c r="K179" s="451">
        <f t="shared" si="325"/>
        <v>695406.58000000007</v>
      </c>
      <c r="L179" s="451"/>
      <c r="M179" s="221">
        <f t="shared" si="326"/>
        <v>0.9999712398464794</v>
      </c>
      <c r="N179" s="176">
        <f t="shared" si="327"/>
        <v>6.9298006921361024</v>
      </c>
      <c r="O179" s="176">
        <f t="shared" si="262"/>
        <v>1.0349999999999999</v>
      </c>
      <c r="P179" s="221">
        <f t="shared" si="328"/>
        <v>0.4619867128090735</v>
      </c>
      <c r="Q179" s="221">
        <f t="shared" si="329"/>
        <v>15</v>
      </c>
      <c r="R179" s="221"/>
      <c r="S179" s="176">
        <f t="shared" si="330"/>
        <v>97.825650196624494</v>
      </c>
      <c r="T179" s="546">
        <f t="shared" si="331"/>
        <v>15</v>
      </c>
      <c r="U179" s="221">
        <f t="shared" si="332"/>
        <v>0.11500330751277943</v>
      </c>
      <c r="V179" s="221">
        <f t="shared" si="333"/>
        <v>0.17250496126916917</v>
      </c>
      <c r="W179" s="221">
        <f t="shared" si="334"/>
        <v>4.9614118601244544E-6</v>
      </c>
      <c r="X179" s="201">
        <f t="shared" si="335"/>
        <v>350</v>
      </c>
      <c r="Y179" s="451">
        <f t="shared" si="303"/>
        <v>350</v>
      </c>
      <c r="AA179" s="221">
        <f t="shared" si="336"/>
        <v>1.9047071235171036</v>
      </c>
      <c r="AB179" s="177">
        <f t="shared" si="337"/>
        <v>8.2171867201568798E-5</v>
      </c>
      <c r="AC179" s="177">
        <f t="shared" si="338"/>
        <v>1.2514141549591451</v>
      </c>
      <c r="AD179" s="177"/>
      <c r="AE179" s="177">
        <f t="shared" si="339"/>
        <v>6.4712206554230591E-6</v>
      </c>
      <c r="AF179" s="555">
        <f t="shared" si="340"/>
        <v>3111.6444444444451</v>
      </c>
      <c r="AG179" s="538">
        <f t="shared" si="341"/>
        <v>7.7611695137976321E-3</v>
      </c>
      <c r="AI179" s="177">
        <f t="shared" si="342"/>
        <v>0.44725192645117323</v>
      </c>
      <c r="AJ179" s="177">
        <f t="shared" si="343"/>
        <v>0.44725192645117323</v>
      </c>
      <c r="AK179" s="177">
        <f t="shared" si="344"/>
        <v>1.3981679509674487</v>
      </c>
      <c r="AM179" s="555">
        <f t="shared" si="345"/>
        <v>68.999999999999986</v>
      </c>
      <c r="AN179" s="469">
        <f t="shared" si="346"/>
        <v>350</v>
      </c>
      <c r="AP179">
        <f t="shared" si="347"/>
        <v>68.999999999999986</v>
      </c>
      <c r="AQ179">
        <f t="shared" si="348"/>
        <v>350</v>
      </c>
      <c r="AS179" s="5">
        <f t="shared" si="263"/>
        <v>2.8571428571428572</v>
      </c>
      <c r="AT179" s="5">
        <f t="shared" si="349"/>
        <v>0.67087788967675988</v>
      </c>
      <c r="AU179" s="5">
        <f t="shared" si="304"/>
        <v>2.1862649674660974</v>
      </c>
      <c r="AV179" s="5"/>
      <c r="AW179" s="177">
        <f t="shared" si="305"/>
        <v>0.23480726138686595</v>
      </c>
      <c r="AX179" s="177">
        <f t="shared" si="259"/>
        <v>1.0501799999999997</v>
      </c>
      <c r="AY179" s="177">
        <f t="shared" si="260"/>
        <v>7818.1629328138279</v>
      </c>
      <c r="AZ179" s="177">
        <f t="shared" si="264"/>
        <v>1.343256733103195E-4</v>
      </c>
      <c r="BA179" s="469">
        <f t="shared" si="350"/>
        <v>3.7498921501997473</v>
      </c>
      <c r="BB179" s="469">
        <f t="shared" si="351"/>
        <v>1.3099097524778336</v>
      </c>
      <c r="BC179" s="5">
        <f t="shared" si="258"/>
        <v>0.1047585296910838</v>
      </c>
      <c r="BD179" s="469">
        <f t="shared" si="352"/>
        <v>12.74352356293006</v>
      </c>
      <c r="BF179" s="177">
        <f t="shared" si="265"/>
        <v>0.12512594030555682</v>
      </c>
      <c r="BG179" s="177">
        <f t="shared" si="261"/>
        <v>10320.213105545197</v>
      </c>
      <c r="BI179" s="538">
        <f t="shared" si="306"/>
        <v>5.4797753280724183E-3</v>
      </c>
      <c r="BJ179" s="538">
        <f t="shared" si="307"/>
        <v>544.28838200068844</v>
      </c>
      <c r="BK179" s="538">
        <f t="shared" si="308"/>
        <v>4.3749999999999995E-3</v>
      </c>
      <c r="BL179" s="538">
        <f t="shared" si="309"/>
        <v>8462830.4513776898</v>
      </c>
      <c r="BM179">
        <f t="shared" si="310"/>
        <v>5.7999999999999996E-3</v>
      </c>
      <c r="BN179">
        <f t="shared" si="353"/>
        <v>1.3124999999999999E-5</v>
      </c>
      <c r="BO179" s="538">
        <f t="shared" si="354"/>
        <v>8471940.0446903333</v>
      </c>
      <c r="BP179" s="469">
        <f t="shared" si="311"/>
        <v>8463374755.4144659</v>
      </c>
      <c r="BQ179" s="538">
        <f t="shared" si="355"/>
        <v>81371194.107282743</v>
      </c>
      <c r="BT179" s="469">
        <f t="shared" si="312"/>
        <v>81371194107.282745</v>
      </c>
      <c r="BU179" s="538">
        <f t="shared" si="313"/>
        <v>1.5656500937349768E-3</v>
      </c>
      <c r="BV179" s="538">
        <f t="shared" si="314"/>
        <v>3195203.956316005</v>
      </c>
      <c r="BW179" s="538">
        <f t="shared" si="315"/>
        <v>0</v>
      </c>
      <c r="BX179" s="538"/>
      <c r="BY179" s="538">
        <f t="shared" si="316"/>
        <v>3.5005999999999991E-3</v>
      </c>
      <c r="BZ179" s="469">
        <f t="shared" si="317"/>
        <v>3195203961.3822551</v>
      </c>
      <c r="CA179" s="177">
        <f t="shared" si="318"/>
        <v>93029772.824079469</v>
      </c>
      <c r="CB179" s="5">
        <f t="shared" si="319"/>
        <v>1.0349999999999999</v>
      </c>
      <c r="CC179" s="177">
        <f t="shared" si="320"/>
        <v>1.112547044957679E-8</v>
      </c>
      <c r="CD179" s="5">
        <f t="shared" si="321"/>
        <v>1.1125470449576791E-6</v>
      </c>
      <c r="CG179" s="571">
        <f t="shared" si="356"/>
        <v>-50</v>
      </c>
      <c r="CH179">
        <f t="shared" si="357"/>
        <v>-50</v>
      </c>
    </row>
    <row r="180" spans="5:86" x14ac:dyDescent="0.25">
      <c r="E180" s="174">
        <v>70</v>
      </c>
      <c r="F180" s="221">
        <f t="shared" si="358"/>
        <v>6.9999999999999993E-2</v>
      </c>
      <c r="G180" s="221"/>
      <c r="H180" s="221">
        <f t="shared" si="322"/>
        <v>1.0499999999999998</v>
      </c>
      <c r="I180" s="551">
        <f t="shared" si="323"/>
        <v>20</v>
      </c>
      <c r="J180" s="451">
        <f t="shared" si="324"/>
        <v>695386.58000000007</v>
      </c>
      <c r="K180" s="451">
        <f t="shared" si="325"/>
        <v>695406.58000000007</v>
      </c>
      <c r="L180" s="451"/>
      <c r="M180" s="221">
        <f t="shared" si="326"/>
        <v>0.9999712398464794</v>
      </c>
      <c r="N180" s="176">
        <f t="shared" si="327"/>
        <v>6.9298006921361024</v>
      </c>
      <c r="O180" s="176">
        <f t="shared" si="262"/>
        <v>1.0499999999999998</v>
      </c>
      <c r="P180" s="221">
        <f t="shared" si="328"/>
        <v>0.4619867128090735</v>
      </c>
      <c r="Q180" s="221">
        <f t="shared" si="329"/>
        <v>15</v>
      </c>
      <c r="R180" s="221"/>
      <c r="S180" s="176">
        <f t="shared" si="330"/>
        <v>96.428134682877058</v>
      </c>
      <c r="T180" s="546">
        <f t="shared" si="331"/>
        <v>15</v>
      </c>
      <c r="U180" s="221">
        <f t="shared" si="332"/>
        <v>0.11667002211441391</v>
      </c>
      <c r="V180" s="221">
        <f t="shared" si="333"/>
        <v>0.17500503317162086</v>
      </c>
      <c r="W180" s="221">
        <f t="shared" si="334"/>
        <v>5.0333163798364026E-6</v>
      </c>
      <c r="X180" s="201">
        <f t="shared" si="335"/>
        <v>350</v>
      </c>
      <c r="Y180" s="451">
        <f t="shared" si="303"/>
        <v>350</v>
      </c>
      <c r="AA180" s="221">
        <f t="shared" si="336"/>
        <v>1.9047071235171036</v>
      </c>
      <c r="AB180" s="177">
        <f t="shared" si="337"/>
        <v>8.2171867201568798E-5</v>
      </c>
      <c r="AC180" s="177">
        <f t="shared" si="338"/>
        <v>1.2514141549591451</v>
      </c>
      <c r="AD180" s="177"/>
      <c r="AE180" s="177">
        <f t="shared" si="339"/>
        <v>6.4712206554230591E-6</v>
      </c>
      <c r="AF180" s="555">
        <f t="shared" si="340"/>
        <v>3156.7407407407413</v>
      </c>
      <c r="AG180" s="538">
        <f t="shared" si="341"/>
        <v>7.7611695137976321E-3</v>
      </c>
      <c r="AI180" s="177">
        <f t="shared" si="342"/>
        <v>0.45048122417403075</v>
      </c>
      <c r="AJ180" s="177">
        <f t="shared" si="343"/>
        <v>0.45048122417403075</v>
      </c>
      <c r="AK180" s="177">
        <f t="shared" si="344"/>
        <v>1.4003208161160206</v>
      </c>
      <c r="AM180" s="555">
        <f t="shared" si="345"/>
        <v>69.999999999999986</v>
      </c>
      <c r="AN180" s="469">
        <f t="shared" si="346"/>
        <v>350</v>
      </c>
      <c r="AP180">
        <f t="shared" si="347"/>
        <v>69.999999999999986</v>
      </c>
      <c r="AQ180">
        <f t="shared" si="348"/>
        <v>350</v>
      </c>
      <c r="AS180" s="5">
        <f t="shared" si="263"/>
        <v>2.8571428571428572</v>
      </c>
      <c r="AT180" s="5">
        <f t="shared" si="349"/>
        <v>0.6757218362610462</v>
      </c>
      <c r="AU180" s="5">
        <f t="shared" si="304"/>
        <v>2.1814210208818112</v>
      </c>
      <c r="AV180" s="5"/>
      <c r="AW180" s="177">
        <f t="shared" si="305"/>
        <v>0.23650264269136617</v>
      </c>
      <c r="AX180" s="177">
        <f t="shared" si="259"/>
        <v>1.0654000000000001</v>
      </c>
      <c r="AY180" s="177">
        <f t="shared" si="260"/>
        <v>7857.1652956436455</v>
      </c>
      <c r="AZ180" s="177">
        <f t="shared" si="264"/>
        <v>1.3559597640012795E-4</v>
      </c>
      <c r="BA180" s="469">
        <f t="shared" si="350"/>
        <v>3.7498921501997473</v>
      </c>
      <c r="BB180" s="469">
        <f t="shared" si="351"/>
        <v>1.3451098061628617</v>
      </c>
      <c r="BC180" s="5">
        <f t="shared" si="258"/>
        <v>0.10604129962619913</v>
      </c>
      <c r="BD180" s="469">
        <f t="shared" si="352"/>
        <v>12.899955955143895</v>
      </c>
      <c r="BF180" s="177">
        <f t="shared" si="265"/>
        <v>0.12648355574737935</v>
      </c>
      <c r="BG180" s="177">
        <f t="shared" si="261"/>
        <v>10383.206444066625</v>
      </c>
      <c r="BI180" s="538">
        <f t="shared" si="306"/>
        <v>5.5993314560751463E-3</v>
      </c>
      <c r="BJ180" s="538">
        <f t="shared" si="307"/>
        <v>548.21831304988325</v>
      </c>
      <c r="BK180" s="538">
        <f t="shared" si="308"/>
        <v>4.3749999999999995E-3</v>
      </c>
      <c r="BL180" s="538">
        <f t="shared" si="309"/>
        <v>8462830.4513776898</v>
      </c>
      <c r="BM180">
        <f t="shared" si="310"/>
        <v>5.7999999999999996E-3</v>
      </c>
      <c r="BN180">
        <f t="shared" si="353"/>
        <v>1.3124999999999999E-5</v>
      </c>
      <c r="BO180" s="538">
        <f t="shared" si="354"/>
        <v>8472131.0470254142</v>
      </c>
      <c r="BP180" s="469">
        <f t="shared" si="311"/>
        <v>8463378685.4650717</v>
      </c>
      <c r="BQ180" s="538">
        <f t="shared" si="355"/>
        <v>82367585.729976505</v>
      </c>
      <c r="BT180" s="469">
        <f t="shared" si="312"/>
        <v>82367585729.976501</v>
      </c>
      <c r="BU180" s="538">
        <f t="shared" si="313"/>
        <v>1.5998089874500422E-3</v>
      </c>
      <c r="BV180" s="538">
        <f t="shared" si="314"/>
        <v>3234329.281803201</v>
      </c>
      <c r="BW180" s="538">
        <f t="shared" si="315"/>
        <v>0</v>
      </c>
      <c r="BX180" s="538"/>
      <c r="BY180" s="538">
        <f t="shared" si="316"/>
        <v>3.5513333333333339E-3</v>
      </c>
      <c r="BZ180" s="469">
        <f t="shared" si="317"/>
        <v>3234329286.9543433</v>
      </c>
      <c r="CA180" s="177">
        <f t="shared" si="318"/>
        <v>94065293.702395916</v>
      </c>
      <c r="CB180" s="5">
        <f t="shared" si="319"/>
        <v>1.0499999999999998</v>
      </c>
      <c r="CC180" s="177">
        <f t="shared" si="320"/>
        <v>1.1162459042560492E-8</v>
      </c>
      <c r="CD180" s="5">
        <f t="shared" si="321"/>
        <v>1.1162459042560492E-6</v>
      </c>
      <c r="CG180" s="571">
        <f t="shared" si="356"/>
        <v>-50</v>
      </c>
      <c r="CH180">
        <f t="shared" si="357"/>
        <v>-50</v>
      </c>
    </row>
    <row r="181" spans="5:86" x14ac:dyDescent="0.25">
      <c r="E181" s="174">
        <v>71</v>
      </c>
      <c r="F181" s="221">
        <f t="shared" si="358"/>
        <v>7.0999999999999994E-2</v>
      </c>
      <c r="G181" s="221"/>
      <c r="H181" s="221">
        <f t="shared" si="322"/>
        <v>1.0649999999999999</v>
      </c>
      <c r="I181" s="551">
        <f t="shared" si="323"/>
        <v>20</v>
      </c>
      <c r="J181" s="451">
        <f t="shared" si="324"/>
        <v>695386.58000000007</v>
      </c>
      <c r="K181" s="451">
        <f t="shared" si="325"/>
        <v>695406.58000000007</v>
      </c>
      <c r="L181" s="451"/>
      <c r="M181" s="221">
        <f t="shared" si="326"/>
        <v>0.9999712398464794</v>
      </c>
      <c r="N181" s="176">
        <f t="shared" si="327"/>
        <v>6.9298006921361024</v>
      </c>
      <c r="O181" s="176">
        <f t="shared" si="262"/>
        <v>1.0649999999999999</v>
      </c>
      <c r="P181" s="221">
        <f t="shared" si="328"/>
        <v>0.4619867128090735</v>
      </c>
      <c r="Q181" s="221">
        <f t="shared" si="329"/>
        <v>15</v>
      </c>
      <c r="R181" s="221"/>
      <c r="S181" s="176">
        <f t="shared" si="330"/>
        <v>95.069985803718836</v>
      </c>
      <c r="T181" s="546">
        <f t="shared" si="331"/>
        <v>15</v>
      </c>
      <c r="U181" s="221">
        <f t="shared" si="332"/>
        <v>0.1183367367160484</v>
      </c>
      <c r="V181" s="221">
        <f t="shared" si="333"/>
        <v>0.17750510507407261</v>
      </c>
      <c r="W181" s="221">
        <f t="shared" si="334"/>
        <v>5.1052208995483517E-6</v>
      </c>
      <c r="X181" s="201">
        <f t="shared" si="335"/>
        <v>350</v>
      </c>
      <c r="Y181" s="451">
        <f t="shared" si="303"/>
        <v>350</v>
      </c>
      <c r="AA181" s="221">
        <f t="shared" si="336"/>
        <v>1.9047071235171036</v>
      </c>
      <c r="AB181" s="177">
        <f t="shared" si="337"/>
        <v>8.2171867201568798E-5</v>
      </c>
      <c r="AC181" s="177">
        <f t="shared" si="338"/>
        <v>1.2514141549591451</v>
      </c>
      <c r="AD181" s="177"/>
      <c r="AE181" s="177">
        <f t="shared" si="339"/>
        <v>6.4712206554230591E-6</v>
      </c>
      <c r="AF181" s="555">
        <f t="shared" si="340"/>
        <v>3201.8370370370376</v>
      </c>
      <c r="AG181" s="538">
        <f t="shared" si="341"/>
        <v>7.7611695137976321E-3</v>
      </c>
      <c r="AI181" s="177">
        <f t="shared" si="342"/>
        <v>0.45368753669500439</v>
      </c>
      <c r="AJ181" s="177">
        <f t="shared" si="343"/>
        <v>0.45368753669500439</v>
      </c>
      <c r="AK181" s="177">
        <f t="shared" si="344"/>
        <v>1.4024583577966696</v>
      </c>
      <c r="AM181" s="555">
        <f t="shared" si="345"/>
        <v>71</v>
      </c>
      <c r="AN181" s="469">
        <f t="shared" si="346"/>
        <v>350</v>
      </c>
      <c r="AP181">
        <f t="shared" si="347"/>
        <v>71</v>
      </c>
      <c r="AQ181">
        <f t="shared" si="348"/>
        <v>350</v>
      </c>
      <c r="AS181" s="5">
        <f t="shared" si="263"/>
        <v>2.8571428571428572</v>
      </c>
      <c r="AT181" s="5">
        <f t="shared" si="349"/>
        <v>0.68053130504250658</v>
      </c>
      <c r="AU181" s="5">
        <f t="shared" si="304"/>
        <v>2.1766115521003506</v>
      </c>
      <c r="AV181" s="5"/>
      <c r="AW181" s="177">
        <f t="shared" si="305"/>
        <v>0.2381859567648773</v>
      </c>
      <c r="AX181" s="177">
        <f t="shared" si="259"/>
        <v>1.0806199999999999</v>
      </c>
      <c r="AY181" s="177">
        <f t="shared" si="260"/>
        <v>7895.6425730290275</v>
      </c>
      <c r="AZ181" s="177">
        <f t="shared" si="264"/>
        <v>1.3686283161947117E-4</v>
      </c>
      <c r="BA181" s="469">
        <f t="shared" si="350"/>
        <v>3.7498921501997473</v>
      </c>
      <c r="BB181" s="469">
        <f t="shared" si="351"/>
        <v>1.380773169972854</v>
      </c>
      <c r="BC181" s="5">
        <f t="shared" ref="BC181:BC244" si="359">H181/Efficiency/I181*AU181/Vinripple1</f>
        <v>0.10731904180494782</v>
      </c>
      <c r="BD181" s="469">
        <f t="shared" si="352"/>
        <v>13.05578501659374</v>
      </c>
      <c r="BF181" s="177">
        <f t="shared" si="265"/>
        <v>0.12783633102569805</v>
      </c>
      <c r="BG181" s="177">
        <f t="shared" si="261"/>
        <v>10445.575231358664</v>
      </c>
      <c r="BI181" s="538">
        <f t="shared" si="306"/>
        <v>5.7197446355391479E-3</v>
      </c>
      <c r="BJ181" s="538">
        <f t="shared" si="307"/>
        <v>552.12027199297074</v>
      </c>
      <c r="BK181" s="538">
        <f t="shared" si="308"/>
        <v>4.3749999999999995E-3</v>
      </c>
      <c r="BL181" s="538">
        <f t="shared" si="309"/>
        <v>8462830.4513776898</v>
      </c>
      <c r="BM181">
        <f t="shared" si="310"/>
        <v>5.7999999999999996E-3</v>
      </c>
      <c r="BN181">
        <f t="shared" si="353"/>
        <v>1.3124999999999999E-5</v>
      </c>
      <c r="BO181" s="538">
        <f t="shared" si="354"/>
        <v>8472323.3709046301</v>
      </c>
      <c r="BP181" s="469">
        <f t="shared" si="311"/>
        <v>8463382587.544426</v>
      </c>
      <c r="BQ181" s="538">
        <f t="shared" si="355"/>
        <v>83360072.042617306</v>
      </c>
      <c r="BT181" s="469">
        <f t="shared" si="312"/>
        <v>83360072042.61731</v>
      </c>
      <c r="BU181" s="538">
        <f t="shared" si="313"/>
        <v>1.6342127530111852E-3</v>
      </c>
      <c r="BV181" s="538">
        <f t="shared" si="314"/>
        <v>3273301.2574192081</v>
      </c>
      <c r="BW181" s="538">
        <f t="shared" si="315"/>
        <v>0</v>
      </c>
      <c r="BX181" s="538"/>
      <c r="BY181" s="538">
        <f t="shared" si="316"/>
        <v>3.6020666666666673E-3</v>
      </c>
      <c r="BZ181" s="469">
        <f t="shared" si="317"/>
        <v>3273301262.6554871</v>
      </c>
      <c r="CA181" s="177">
        <f t="shared" si="318"/>
        <v>95096755.892817229</v>
      </c>
      <c r="CB181" s="5">
        <f t="shared" si="319"/>
        <v>1.0649999999999999</v>
      </c>
      <c r="CC181" s="177">
        <f t="shared" si="320"/>
        <v>1.1199120075907635E-8</v>
      </c>
      <c r="CD181" s="5">
        <f t="shared" si="321"/>
        <v>1.1199120075907634E-6</v>
      </c>
      <c r="CG181" s="571">
        <f t="shared" si="356"/>
        <v>-50</v>
      </c>
      <c r="CH181">
        <f t="shared" si="357"/>
        <v>-50</v>
      </c>
    </row>
    <row r="182" spans="5:86" x14ac:dyDescent="0.25">
      <c r="E182" s="174">
        <v>72</v>
      </c>
      <c r="F182" s="221">
        <f t="shared" si="358"/>
        <v>7.1999999999999995E-2</v>
      </c>
      <c r="G182" s="221"/>
      <c r="H182" s="221">
        <f t="shared" si="322"/>
        <v>1.0799999999999998</v>
      </c>
      <c r="I182" s="551">
        <f t="shared" si="323"/>
        <v>20</v>
      </c>
      <c r="J182" s="451">
        <f t="shared" si="324"/>
        <v>695386.58000000007</v>
      </c>
      <c r="K182" s="451">
        <f t="shared" si="325"/>
        <v>695406.58000000007</v>
      </c>
      <c r="L182" s="451"/>
      <c r="M182" s="221">
        <f t="shared" si="326"/>
        <v>0.9999712398464794</v>
      </c>
      <c r="N182" s="176">
        <f t="shared" si="327"/>
        <v>6.9298006921361024</v>
      </c>
      <c r="O182" s="176">
        <f t="shared" si="262"/>
        <v>1.0799999999999998</v>
      </c>
      <c r="P182" s="221">
        <f t="shared" si="328"/>
        <v>0.4619867128090735</v>
      </c>
      <c r="Q182" s="221">
        <f t="shared" si="329"/>
        <v>15</v>
      </c>
      <c r="R182" s="221"/>
      <c r="S182" s="176">
        <f t="shared" si="330"/>
        <v>93.749563282708579</v>
      </c>
      <c r="T182" s="546">
        <f t="shared" si="331"/>
        <v>15</v>
      </c>
      <c r="U182" s="221">
        <f t="shared" si="332"/>
        <v>0.12000345131768288</v>
      </c>
      <c r="V182" s="221">
        <f t="shared" si="333"/>
        <v>0.18000517697652432</v>
      </c>
      <c r="W182" s="221">
        <f t="shared" si="334"/>
        <v>5.1771254192602991E-6</v>
      </c>
      <c r="X182" s="201">
        <f t="shared" si="335"/>
        <v>350</v>
      </c>
      <c r="Y182" s="451">
        <f t="shared" si="303"/>
        <v>350</v>
      </c>
      <c r="AA182" s="221">
        <f t="shared" si="336"/>
        <v>1.9047071235171036</v>
      </c>
      <c r="AB182" s="177">
        <f t="shared" si="337"/>
        <v>8.2171867201568798E-5</v>
      </c>
      <c r="AC182" s="177">
        <f t="shared" si="338"/>
        <v>1.2514141549591451</v>
      </c>
      <c r="AD182" s="177"/>
      <c r="AE182" s="177">
        <f t="shared" si="339"/>
        <v>6.4712206554230591E-6</v>
      </c>
      <c r="AF182" s="555">
        <f t="shared" si="340"/>
        <v>3246.9333333333338</v>
      </c>
      <c r="AG182" s="538">
        <f t="shared" si="341"/>
        <v>7.7611695137976321E-3</v>
      </c>
      <c r="AI182" s="177">
        <f t="shared" si="342"/>
        <v>0.45687134794319129</v>
      </c>
      <c r="AJ182" s="177">
        <f t="shared" si="343"/>
        <v>0.45687134794319129</v>
      </c>
      <c r="AK182" s="177">
        <f t="shared" si="344"/>
        <v>1.4045808986287942</v>
      </c>
      <c r="AM182" s="555">
        <f t="shared" si="345"/>
        <v>72</v>
      </c>
      <c r="AN182" s="469">
        <f t="shared" si="346"/>
        <v>350</v>
      </c>
      <c r="AP182">
        <f t="shared" si="347"/>
        <v>72</v>
      </c>
      <c r="AQ182">
        <f t="shared" si="348"/>
        <v>350</v>
      </c>
      <c r="AS182" s="5">
        <f t="shared" si="263"/>
        <v>2.8571428571428572</v>
      </c>
      <c r="AT182" s="5">
        <f t="shared" si="349"/>
        <v>0.68530702191478687</v>
      </c>
      <c r="AU182" s="5">
        <f t="shared" si="304"/>
        <v>2.1718358352280704</v>
      </c>
      <c r="AV182" s="5"/>
      <c r="AW182" s="177">
        <f t="shared" si="305"/>
        <v>0.23985745767017541</v>
      </c>
      <c r="AX182" s="177">
        <f t="shared" si="259"/>
        <v>1.0958400000000001</v>
      </c>
      <c r="AY182" s="177">
        <f t="shared" si="260"/>
        <v>7933.6058200882344</v>
      </c>
      <c r="AZ182" s="177">
        <f t="shared" si="264"/>
        <v>1.3812634820163181E-4</v>
      </c>
      <c r="BA182" s="469">
        <f t="shared" si="350"/>
        <v>3.7498921501997473</v>
      </c>
      <c r="BB182" s="469">
        <f t="shared" si="351"/>
        <v>1.4168998439078113</v>
      </c>
      <c r="BC182" s="5">
        <f t="shared" si="359"/>
        <v>0.10859179176140348</v>
      </c>
      <c r="BD182" s="469">
        <f t="shared" si="352"/>
        <v>13.211015011368421</v>
      </c>
      <c r="BF182" s="177">
        <f t="shared" si="265"/>
        <v>0.12918435121046545</v>
      </c>
      <c r="BG182" s="177">
        <f t="shared" si="261"/>
        <v>10507.332308086274</v>
      </c>
      <c r="BI182" s="538">
        <f t="shared" si="306"/>
        <v>5.8410088091841103E-3</v>
      </c>
      <c r="BJ182" s="538">
        <f t="shared" si="307"/>
        <v>555.99484775303836</v>
      </c>
      <c r="BK182" s="538">
        <f t="shared" si="308"/>
        <v>4.3749999999999995E-3</v>
      </c>
      <c r="BL182" s="538">
        <f t="shared" si="309"/>
        <v>8462830.4513776898</v>
      </c>
      <c r="BM182">
        <f t="shared" si="310"/>
        <v>5.7999999999999996E-3</v>
      </c>
      <c r="BN182">
        <f t="shared" si="353"/>
        <v>1.3124999999999999E-5</v>
      </c>
      <c r="BO182" s="538">
        <f t="shared" si="354"/>
        <v>8472517.0076182038</v>
      </c>
      <c r="BP182" s="469">
        <f t="shared" si="311"/>
        <v>8463386462.2414503</v>
      </c>
      <c r="BQ182" s="538">
        <f t="shared" si="355"/>
        <v>84348680.64629893</v>
      </c>
      <c r="BT182" s="469">
        <f t="shared" si="312"/>
        <v>84348680646.298935</v>
      </c>
      <c r="BU182" s="538">
        <f t="shared" si="313"/>
        <v>1.6688596597668887E-3</v>
      </c>
      <c r="BV182" s="538">
        <f t="shared" si="314"/>
        <v>3312120.9669766081</v>
      </c>
      <c r="BW182" s="538">
        <f t="shared" si="315"/>
        <v>0</v>
      </c>
      <c r="BX182" s="538"/>
      <c r="BY182" s="538">
        <f t="shared" si="316"/>
        <v>3.6527999999999999E-3</v>
      </c>
      <c r="BZ182" s="469">
        <f t="shared" si="317"/>
        <v>3312120972.2982678</v>
      </c>
      <c r="CA182" s="177">
        <f t="shared" si="318"/>
        <v>96124188.08083865</v>
      </c>
      <c r="CB182" s="5">
        <f t="shared" si="319"/>
        <v>1.0799999999999998</v>
      </c>
      <c r="CC182" s="177">
        <f t="shared" si="320"/>
        <v>1.1235465385231003E-8</v>
      </c>
      <c r="CD182" s="5">
        <f t="shared" si="321"/>
        <v>1.1235465385231004E-6</v>
      </c>
      <c r="CG182" s="571">
        <f t="shared" si="356"/>
        <v>-50</v>
      </c>
      <c r="CH182">
        <f t="shared" si="357"/>
        <v>-50</v>
      </c>
    </row>
    <row r="183" spans="5:86" x14ac:dyDescent="0.25">
      <c r="E183" s="174">
        <v>73</v>
      </c>
      <c r="F183" s="221">
        <f t="shared" si="358"/>
        <v>7.2999999999999995E-2</v>
      </c>
      <c r="G183" s="221"/>
      <c r="H183" s="221">
        <f t="shared" si="322"/>
        <v>1.095</v>
      </c>
      <c r="I183" s="551">
        <f t="shared" si="323"/>
        <v>20</v>
      </c>
      <c r="J183" s="451">
        <f t="shared" si="324"/>
        <v>695386.58000000007</v>
      </c>
      <c r="K183" s="451">
        <f t="shared" si="325"/>
        <v>695406.58000000007</v>
      </c>
      <c r="L183" s="451"/>
      <c r="M183" s="221">
        <f t="shared" si="326"/>
        <v>0.9999712398464794</v>
      </c>
      <c r="N183" s="176">
        <f t="shared" si="327"/>
        <v>6.9298006921361024</v>
      </c>
      <c r="O183" s="176">
        <f t="shared" si="262"/>
        <v>1.095</v>
      </c>
      <c r="P183" s="221">
        <f t="shared" si="328"/>
        <v>0.4619867128090735</v>
      </c>
      <c r="Q183" s="221">
        <f t="shared" si="329"/>
        <v>15</v>
      </c>
      <c r="R183" s="221"/>
      <c r="S183" s="176">
        <f t="shared" si="330"/>
        <v>92.465316721566211</v>
      </c>
      <c r="T183" s="546">
        <f t="shared" si="331"/>
        <v>15</v>
      </c>
      <c r="U183" s="221">
        <f t="shared" si="332"/>
        <v>0.12167016591931737</v>
      </c>
      <c r="V183" s="221">
        <f t="shared" si="333"/>
        <v>0.18250524887897604</v>
      </c>
      <c r="W183" s="221">
        <f t="shared" si="334"/>
        <v>5.249029938972249E-6</v>
      </c>
      <c r="X183" s="201">
        <f t="shared" si="335"/>
        <v>350</v>
      </c>
      <c r="Y183" s="451">
        <f t="shared" si="303"/>
        <v>350</v>
      </c>
      <c r="AA183" s="221">
        <f t="shared" si="336"/>
        <v>1.9047071235171036</v>
      </c>
      <c r="AB183" s="177">
        <f t="shared" si="337"/>
        <v>8.2171867201568798E-5</v>
      </c>
      <c r="AC183" s="177">
        <f t="shared" si="338"/>
        <v>1.2514141549591451</v>
      </c>
      <c r="AD183" s="177"/>
      <c r="AE183" s="177">
        <f t="shared" si="339"/>
        <v>6.4712206554230591E-6</v>
      </c>
      <c r="AF183" s="555">
        <f t="shared" si="340"/>
        <v>3292.0296296296301</v>
      </c>
      <c r="AG183" s="538">
        <f t="shared" si="341"/>
        <v>7.7611695137976321E-3</v>
      </c>
      <c r="AI183" s="177">
        <f t="shared" si="342"/>
        <v>0.4600331251013085</v>
      </c>
      <c r="AJ183" s="177">
        <f t="shared" si="343"/>
        <v>0.4600331251013085</v>
      </c>
      <c r="AK183" s="177">
        <f t="shared" si="344"/>
        <v>1.4066887500675391</v>
      </c>
      <c r="AM183" s="555">
        <f t="shared" si="345"/>
        <v>73</v>
      </c>
      <c r="AN183" s="469">
        <f t="shared" si="346"/>
        <v>350</v>
      </c>
      <c r="AP183">
        <f t="shared" si="347"/>
        <v>73</v>
      </c>
      <c r="AQ183">
        <f t="shared" si="348"/>
        <v>350</v>
      </c>
      <c r="AS183" s="5">
        <f t="shared" si="263"/>
        <v>2.8571428571428572</v>
      </c>
      <c r="AT183" s="5">
        <f t="shared" si="349"/>
        <v>0.69004968765196284</v>
      </c>
      <c r="AU183" s="5">
        <f t="shared" si="304"/>
        <v>2.1670931694908946</v>
      </c>
      <c r="AV183" s="5"/>
      <c r="AW183" s="177">
        <f t="shared" si="305"/>
        <v>0.24151739067818698</v>
      </c>
      <c r="AX183" s="177">
        <f t="shared" si="259"/>
        <v>1.1110599999999999</v>
      </c>
      <c r="AY183" s="177">
        <f t="shared" si="260"/>
        <v>7971.0657093768423</v>
      </c>
      <c r="AZ183" s="177">
        <f t="shared" si="264"/>
        <v>1.3938663166369254E-4</v>
      </c>
      <c r="BA183" s="469">
        <f t="shared" si="350"/>
        <v>3.7498921501997473</v>
      </c>
      <c r="BB183" s="469">
        <f t="shared" si="351"/>
        <v>1.4534898279677324</v>
      </c>
      <c r="BC183" s="5">
        <f t="shared" si="359"/>
        <v>0.10985958428669117</v>
      </c>
      <c r="BD183" s="469">
        <f t="shared" si="352"/>
        <v>13.365650114402941</v>
      </c>
      <c r="BF183" s="177">
        <f t="shared" si="265"/>
        <v>0.13052769871755954</v>
      </c>
      <c r="BG183" s="177">
        <f t="shared" si="261"/>
        <v>10568.490071319813</v>
      </c>
      <c r="BI183" s="538">
        <f t="shared" si="306"/>
        <v>5.9631180463756974E-3</v>
      </c>
      <c r="BJ183" s="538">
        <f t="shared" si="307"/>
        <v>559.84260887347295</v>
      </c>
      <c r="BK183" s="538">
        <f t="shared" si="308"/>
        <v>4.3749999999999995E-3</v>
      </c>
      <c r="BL183" s="538">
        <f t="shared" si="309"/>
        <v>8462830.4513776898</v>
      </c>
      <c r="BM183">
        <f t="shared" si="310"/>
        <v>5.7999999999999996E-3</v>
      </c>
      <c r="BN183">
        <f t="shared" si="353"/>
        <v>1.3124999999999999E-5</v>
      </c>
      <c r="BO183" s="538">
        <f t="shared" si="354"/>
        <v>8472711.9486337546</v>
      </c>
      <c r="BP183" s="469">
        <f t="shared" si="311"/>
        <v>8463390310.1246805</v>
      </c>
      <c r="BQ183" s="538">
        <f t="shared" si="355"/>
        <v>85333438.56502977</v>
      </c>
      <c r="BT183" s="469">
        <f t="shared" si="312"/>
        <v>85333438565.02977</v>
      </c>
      <c r="BU183" s="538">
        <f t="shared" si="313"/>
        <v>1.7037480132501993E-3</v>
      </c>
      <c r="BV183" s="538">
        <f t="shared" si="314"/>
        <v>3350789.4716275637</v>
      </c>
      <c r="BW183" s="538">
        <f t="shared" si="315"/>
        <v>0</v>
      </c>
      <c r="BX183" s="538"/>
      <c r="BY183" s="538">
        <f t="shared" si="316"/>
        <v>3.7035333333333333E-3</v>
      </c>
      <c r="BZ183" s="469">
        <f t="shared" si="317"/>
        <v>3350789477.0348449</v>
      </c>
      <c r="CA183" s="177">
        <f t="shared" si="318"/>
        <v>97147618.352189302</v>
      </c>
      <c r="CB183" s="5">
        <f t="shared" si="319"/>
        <v>1.095</v>
      </c>
      <c r="CC183" s="177">
        <f t="shared" si="320"/>
        <v>1.1271506252350899E-8</v>
      </c>
      <c r="CD183" s="5">
        <f t="shared" si="321"/>
        <v>1.1271506252350899E-6</v>
      </c>
      <c r="CG183" s="571">
        <f t="shared" si="356"/>
        <v>-50</v>
      </c>
      <c r="CH183">
        <f t="shared" si="357"/>
        <v>-50</v>
      </c>
    </row>
    <row r="184" spans="5:86" x14ac:dyDescent="0.25">
      <c r="E184" s="174">
        <v>74</v>
      </c>
      <c r="F184" s="221">
        <f t="shared" si="358"/>
        <v>7.3999999999999996E-2</v>
      </c>
      <c r="G184" s="221"/>
      <c r="H184" s="221">
        <f t="shared" si="322"/>
        <v>1.1099999999999999</v>
      </c>
      <c r="I184" s="551">
        <f t="shared" si="323"/>
        <v>20</v>
      </c>
      <c r="J184" s="451">
        <f t="shared" si="324"/>
        <v>695386.58000000007</v>
      </c>
      <c r="K184" s="451">
        <f t="shared" si="325"/>
        <v>695406.58000000007</v>
      </c>
      <c r="L184" s="451"/>
      <c r="M184" s="221">
        <f t="shared" si="326"/>
        <v>0.9999712398464794</v>
      </c>
      <c r="N184" s="176">
        <f t="shared" si="327"/>
        <v>6.9298006921361024</v>
      </c>
      <c r="O184" s="176">
        <f t="shared" si="262"/>
        <v>1.1099999999999999</v>
      </c>
      <c r="P184" s="221">
        <f t="shared" si="328"/>
        <v>0.4619867128090735</v>
      </c>
      <c r="Q184" s="221">
        <f t="shared" si="329"/>
        <v>15</v>
      </c>
      <c r="R184" s="221"/>
      <c r="S184" s="176">
        <f t="shared" si="330"/>
        <v>91.215779527324074</v>
      </c>
      <c r="T184" s="546">
        <f t="shared" si="331"/>
        <v>15</v>
      </c>
      <c r="U184" s="221">
        <f t="shared" si="332"/>
        <v>0.12333688052095185</v>
      </c>
      <c r="V184" s="221">
        <f t="shared" si="333"/>
        <v>0.18500532078142778</v>
      </c>
      <c r="W184" s="221">
        <f t="shared" si="334"/>
        <v>5.3209344586841972E-6</v>
      </c>
      <c r="X184" s="201">
        <f t="shared" si="335"/>
        <v>350</v>
      </c>
      <c r="Y184" s="451">
        <f t="shared" si="303"/>
        <v>350</v>
      </c>
      <c r="AA184" s="221">
        <f t="shared" si="336"/>
        <v>1.9047071235171036</v>
      </c>
      <c r="AB184" s="177">
        <f t="shared" si="337"/>
        <v>8.2171867201568798E-5</v>
      </c>
      <c r="AC184" s="177">
        <f t="shared" si="338"/>
        <v>1.2514141549591451</v>
      </c>
      <c r="AD184" s="177"/>
      <c r="AE184" s="177">
        <f t="shared" si="339"/>
        <v>6.4712206554230591E-6</v>
      </c>
      <c r="AF184" s="555">
        <f t="shared" si="340"/>
        <v>3337.1259259259268</v>
      </c>
      <c r="AG184" s="538">
        <f t="shared" si="341"/>
        <v>7.7611695137976321E-3</v>
      </c>
      <c r="AI184" s="177">
        <f t="shared" si="342"/>
        <v>0.46317331940594741</v>
      </c>
      <c r="AJ184" s="177">
        <f t="shared" si="343"/>
        <v>0.46317331940594741</v>
      </c>
      <c r="AK184" s="177">
        <f t="shared" si="344"/>
        <v>1.4087822129372982</v>
      </c>
      <c r="AM184" s="555">
        <f t="shared" si="345"/>
        <v>74</v>
      </c>
      <c r="AN184" s="469">
        <f t="shared" si="346"/>
        <v>350</v>
      </c>
      <c r="AP184">
        <f t="shared" si="347"/>
        <v>74</v>
      </c>
      <c r="AQ184">
        <f t="shared" si="348"/>
        <v>350</v>
      </c>
      <c r="AS184" s="5">
        <f t="shared" si="263"/>
        <v>2.8571428571428572</v>
      </c>
      <c r="AT184" s="5">
        <f t="shared" si="349"/>
        <v>0.69475997910892107</v>
      </c>
      <c r="AU184" s="5">
        <f t="shared" si="304"/>
        <v>2.1623828780339363</v>
      </c>
      <c r="AV184" s="5"/>
      <c r="AW184" s="177">
        <f t="shared" si="305"/>
        <v>0.24316599268812236</v>
      </c>
      <c r="AX184" s="177">
        <f t="shared" si="259"/>
        <v>1.1262799999999999</v>
      </c>
      <c r="AY184" s="177">
        <f t="shared" si="260"/>
        <v>8008.0325491691674</v>
      </c>
      <c r="AZ184" s="177">
        <f t="shared" si="264"/>
        <v>1.4064378398622411E-4</v>
      </c>
      <c r="BA184" s="469">
        <f t="shared" si="350"/>
        <v>3.7498921501997473</v>
      </c>
      <c r="BB184" s="469">
        <f t="shared" si="351"/>
        <v>1.4905431221526184</v>
      </c>
      <c r="BC184" s="5">
        <f t="shared" si="359"/>
        <v>0.11112245345452169</v>
      </c>
      <c r="BD184" s="469">
        <f t="shared" si="352"/>
        <v>13.519694414542606</v>
      </c>
      <c r="BF184" s="177">
        <f t="shared" si="265"/>
        <v>0.13186645342675676</v>
      </c>
      <c r="BG184" s="177">
        <f t="shared" si="261"/>
        <v>10629.060495708038</v>
      </c>
      <c r="BI184" s="538">
        <f t="shared" si="306"/>
        <v>6.0860665387728538E-3</v>
      </c>
      <c r="BJ184" s="538">
        <f t="shared" si="307"/>
        <v>563.6641044918407</v>
      </c>
      <c r="BK184" s="538">
        <f t="shared" si="308"/>
        <v>4.3749999999999995E-3</v>
      </c>
      <c r="BL184" s="538">
        <f t="shared" si="309"/>
        <v>8462830.4513776898</v>
      </c>
      <c r="BM184">
        <f t="shared" si="310"/>
        <v>5.7999999999999996E-3</v>
      </c>
      <c r="BN184">
        <f t="shared" si="353"/>
        <v>1.3124999999999999E-5</v>
      </c>
      <c r="BO184" s="538">
        <f t="shared" si="354"/>
        <v>8472908.185590459</v>
      </c>
      <c r="BP184" s="469">
        <f t="shared" si="311"/>
        <v>8463394131.7432489</v>
      </c>
      <c r="BQ184" s="538">
        <f t="shared" si="355"/>
        <v>86314372.265566781</v>
      </c>
      <c r="BT184" s="469">
        <f t="shared" si="312"/>
        <v>86314372265.566788</v>
      </c>
      <c r="BU184" s="538">
        <f t="shared" si="313"/>
        <v>1.7388761539351011E-3</v>
      </c>
      <c r="BV184" s="538">
        <f t="shared" si="314"/>
        <v>3389307.8106426359</v>
      </c>
      <c r="BW184" s="538">
        <f t="shared" si="315"/>
        <v>0</v>
      </c>
      <c r="BX184" s="538"/>
      <c r="BY184" s="538">
        <f t="shared" si="316"/>
        <v>3.7542666666666668E-3</v>
      </c>
      <c r="BZ184" s="469">
        <f t="shared" si="317"/>
        <v>3389307816.1357784</v>
      </c>
      <c r="CA184" s="177">
        <f t="shared" si="318"/>
        <v>98167074.213445812</v>
      </c>
      <c r="CB184" s="5">
        <f t="shared" si="319"/>
        <v>1.1099999999999999</v>
      </c>
      <c r="CC184" s="177">
        <f t="shared" si="320"/>
        <v>1.1307253438515063E-8</v>
      </c>
      <c r="CD184" s="5">
        <f t="shared" si="321"/>
        <v>1.1307253438515063E-6</v>
      </c>
      <c r="CG184" s="571">
        <f t="shared" si="356"/>
        <v>-50</v>
      </c>
      <c r="CH184">
        <f t="shared" si="357"/>
        <v>-50</v>
      </c>
    </row>
    <row r="185" spans="5:86" x14ac:dyDescent="0.25">
      <c r="E185" s="174">
        <v>75</v>
      </c>
      <c r="F185" s="221">
        <f t="shared" si="358"/>
        <v>7.5000000000000011E-2</v>
      </c>
      <c r="G185" s="221"/>
      <c r="H185" s="221">
        <f t="shared" si="322"/>
        <v>1.1250000000000002</v>
      </c>
      <c r="I185" s="551">
        <f t="shared" si="323"/>
        <v>20</v>
      </c>
      <c r="J185" s="451">
        <f t="shared" si="324"/>
        <v>695386.58000000007</v>
      </c>
      <c r="K185" s="451">
        <f t="shared" si="325"/>
        <v>695406.58000000007</v>
      </c>
      <c r="L185" s="451"/>
      <c r="M185" s="221">
        <f t="shared" si="326"/>
        <v>0.9999712398464794</v>
      </c>
      <c r="N185" s="176">
        <f t="shared" si="327"/>
        <v>6.9298006921361024</v>
      </c>
      <c r="O185" s="176">
        <f t="shared" si="262"/>
        <v>1.1250000000000002</v>
      </c>
      <c r="P185" s="221">
        <f t="shared" si="328"/>
        <v>0.4619867128090735</v>
      </c>
      <c r="Q185" s="221">
        <f t="shared" si="329"/>
        <v>15</v>
      </c>
      <c r="R185" s="221"/>
      <c r="S185" s="176">
        <f t="shared" si="330"/>
        <v>89.999563325306084</v>
      </c>
      <c r="T185" s="546">
        <f t="shared" si="331"/>
        <v>15</v>
      </c>
      <c r="U185" s="221">
        <f t="shared" si="332"/>
        <v>0.12500359512258638</v>
      </c>
      <c r="V185" s="221">
        <f t="shared" si="333"/>
        <v>0.18750539268387958</v>
      </c>
      <c r="W185" s="221">
        <f t="shared" si="334"/>
        <v>5.392838978396148E-6</v>
      </c>
      <c r="X185" s="201">
        <f t="shared" si="335"/>
        <v>350</v>
      </c>
      <c r="Y185" s="451">
        <f t="shared" si="303"/>
        <v>350</v>
      </c>
      <c r="AA185" s="221">
        <f t="shared" si="336"/>
        <v>1.9047071235171036</v>
      </c>
      <c r="AB185" s="177">
        <f t="shared" si="337"/>
        <v>8.2171867201568798E-5</v>
      </c>
      <c r="AC185" s="177">
        <f t="shared" si="338"/>
        <v>1.2514141549591451</v>
      </c>
      <c r="AD185" s="177"/>
      <c r="AE185" s="177">
        <f t="shared" si="339"/>
        <v>6.4712206554230591E-6</v>
      </c>
      <c r="AF185" s="555">
        <f t="shared" si="340"/>
        <v>3382.2222222222235</v>
      </c>
      <c r="AG185" s="538">
        <f t="shared" si="341"/>
        <v>7.7611695137976321E-3</v>
      </c>
      <c r="AI185" s="177">
        <f t="shared" si="342"/>
        <v>0.46629236689932152</v>
      </c>
      <c r="AJ185" s="177">
        <f t="shared" si="343"/>
        <v>0.46629236689932152</v>
      </c>
      <c r="AK185" s="177">
        <f t="shared" si="344"/>
        <v>1.410861577932881</v>
      </c>
      <c r="AM185" s="555">
        <f t="shared" si="345"/>
        <v>75.000000000000014</v>
      </c>
      <c r="AN185" s="469">
        <f t="shared" si="346"/>
        <v>350</v>
      </c>
      <c r="AP185">
        <f t="shared" si="347"/>
        <v>75.000000000000014</v>
      </c>
      <c r="AQ185">
        <f t="shared" si="348"/>
        <v>350</v>
      </c>
      <c r="AS185" s="5">
        <f t="shared" si="263"/>
        <v>2.8571428571428572</v>
      </c>
      <c r="AT185" s="5">
        <f t="shared" si="349"/>
        <v>0.69943855034898239</v>
      </c>
      <c r="AU185" s="5">
        <f t="shared" si="304"/>
        <v>2.1577043067938746</v>
      </c>
      <c r="AV185" s="5"/>
      <c r="AW185" s="177">
        <f t="shared" si="305"/>
        <v>0.24480349262214382</v>
      </c>
      <c r="AX185" s="177">
        <f t="shared" si="259"/>
        <v>1.1415000000000004</v>
      </c>
      <c r="AY185" s="177">
        <f t="shared" si="260"/>
        <v>8044.5163006315497</v>
      </c>
      <c r="AZ185" s="177">
        <f t="shared" si="264"/>
        <v>1.418979037820316E-4</v>
      </c>
      <c r="BA185" s="469">
        <f t="shared" si="350"/>
        <v>3.7498921501997473</v>
      </c>
      <c r="BB185" s="469">
        <f t="shared" si="351"/>
        <v>1.5280597264624693</v>
      </c>
      <c r="BC185" s="5">
        <f t="shared" si="359"/>
        <v>0.11238043264551431</v>
      </c>
      <c r="BD185" s="469">
        <f t="shared" si="352"/>
        <v>13.67315191746172</v>
      </c>
      <c r="BF185" s="177">
        <f t="shared" si="265"/>
        <v>0.13320069279294003</v>
      </c>
      <c r="BG185" s="177">
        <f t="shared" si="261"/>
        <v>10689.055153368536</v>
      </c>
      <c r="BI185" s="538">
        <f t="shared" si="306"/>
        <v>6.2098485961817147E-3</v>
      </c>
      <c r="BJ185" s="538">
        <f t="shared" si="307"/>
        <v>567.45986525473427</v>
      </c>
      <c r="BK185" s="538">
        <f t="shared" si="308"/>
        <v>4.3749999999999995E-3</v>
      </c>
      <c r="BL185" s="538">
        <f t="shared" si="309"/>
        <v>8462830.4513776898</v>
      </c>
      <c r="BM185">
        <f t="shared" si="310"/>
        <v>5.7999999999999996E-3</v>
      </c>
      <c r="BN185">
        <f t="shared" si="353"/>
        <v>1.3124999999999999E-5</v>
      </c>
      <c r="BO185" s="538">
        <f t="shared" si="354"/>
        <v>8473105.7102935147</v>
      </c>
      <c r="BP185" s="469">
        <f t="shared" si="311"/>
        <v>8463397927.6277924</v>
      </c>
      <c r="BQ185" s="538">
        <f t="shared" si="355"/>
        <v>87291507.676307887</v>
      </c>
      <c r="BT185" s="469">
        <f t="shared" si="312"/>
        <v>87291507676.307892</v>
      </c>
      <c r="BU185" s="538">
        <f t="shared" si="313"/>
        <v>1.7742424560519188E-3</v>
      </c>
      <c r="BV185" s="538">
        <f t="shared" si="314"/>
        <v>3427677.0021526334</v>
      </c>
      <c r="BW185" s="538">
        <f t="shared" si="315"/>
        <v>0</v>
      </c>
      <c r="BX185" s="538"/>
      <c r="BY185" s="538">
        <f t="shared" si="316"/>
        <v>3.8050000000000007E-3</v>
      </c>
      <c r="BZ185" s="469">
        <f t="shared" si="317"/>
        <v>3427677007.7318759</v>
      </c>
      <c r="CA185" s="177">
        <f t="shared" si="318"/>
        <v>99182582.611667544</v>
      </c>
      <c r="CB185" s="5">
        <f t="shared" si="319"/>
        <v>1.1250000000000002</v>
      </c>
      <c r="CC185" s="177">
        <f t="shared" si="320"/>
        <v>1.1342717215221028E-8</v>
      </c>
      <c r="CD185" s="5">
        <f t="shared" si="321"/>
        <v>1.1342717215221027E-6</v>
      </c>
      <c r="CG185" s="571">
        <f t="shared" si="356"/>
        <v>-50</v>
      </c>
      <c r="CH185">
        <f t="shared" si="357"/>
        <v>-50</v>
      </c>
    </row>
    <row r="186" spans="5:86" x14ac:dyDescent="0.25">
      <c r="E186" s="174">
        <v>76</v>
      </c>
      <c r="F186" s="221">
        <f t="shared" si="358"/>
        <v>7.6000000000000012E-2</v>
      </c>
      <c r="G186" s="221"/>
      <c r="H186" s="221">
        <f t="shared" si="322"/>
        <v>1.1400000000000001</v>
      </c>
      <c r="I186" s="551">
        <f t="shared" si="323"/>
        <v>20</v>
      </c>
      <c r="J186" s="451">
        <f t="shared" si="324"/>
        <v>695386.58000000007</v>
      </c>
      <c r="K186" s="451">
        <f t="shared" si="325"/>
        <v>695406.58000000007</v>
      </c>
      <c r="L186" s="451"/>
      <c r="M186" s="221">
        <f t="shared" si="326"/>
        <v>0.9999712398464794</v>
      </c>
      <c r="N186" s="176">
        <f t="shared" si="327"/>
        <v>6.9298006921361024</v>
      </c>
      <c r="O186" s="176">
        <f t="shared" si="262"/>
        <v>1.1400000000000001</v>
      </c>
      <c r="P186" s="221">
        <f t="shared" si="328"/>
        <v>0.4619867128090735</v>
      </c>
      <c r="Q186" s="221">
        <f t="shared" si="329"/>
        <v>15</v>
      </c>
      <c r="R186" s="221"/>
      <c r="S186" s="176">
        <f t="shared" si="330"/>
        <v>88.815352813187602</v>
      </c>
      <c r="T186" s="546">
        <f t="shared" si="331"/>
        <v>15</v>
      </c>
      <c r="U186" s="221">
        <f t="shared" si="332"/>
        <v>0.12667030972422083</v>
      </c>
      <c r="V186" s="221">
        <f t="shared" si="333"/>
        <v>0.19000546458633125</v>
      </c>
      <c r="W186" s="221">
        <f t="shared" si="334"/>
        <v>5.4647434981080945E-6</v>
      </c>
      <c r="X186" s="201">
        <f t="shared" si="335"/>
        <v>350</v>
      </c>
      <c r="Y186" s="451">
        <f t="shared" si="303"/>
        <v>350</v>
      </c>
      <c r="AA186" s="221">
        <f t="shared" si="336"/>
        <v>1.9047071235171036</v>
      </c>
      <c r="AB186" s="177">
        <f t="shared" si="337"/>
        <v>8.2171867201568798E-5</v>
      </c>
      <c r="AC186" s="177">
        <f t="shared" si="338"/>
        <v>1.2514141549591451</v>
      </c>
      <c r="AD186" s="177"/>
      <c r="AE186" s="177">
        <f t="shared" si="339"/>
        <v>6.4712206554230591E-6</v>
      </c>
      <c r="AF186" s="555">
        <f t="shared" si="340"/>
        <v>3427.3185185185202</v>
      </c>
      <c r="AG186" s="538">
        <f t="shared" si="341"/>
        <v>7.7611695137976321E-3</v>
      </c>
      <c r="AI186" s="177">
        <f t="shared" si="342"/>
        <v>0.46939068913605336</v>
      </c>
      <c r="AJ186" s="177">
        <f t="shared" si="343"/>
        <v>0.46939068913605336</v>
      </c>
      <c r="AK186" s="177">
        <f t="shared" si="344"/>
        <v>1.4129271260907021</v>
      </c>
      <c r="AM186" s="555">
        <f t="shared" si="345"/>
        <v>76.000000000000014</v>
      </c>
      <c r="AN186" s="469">
        <f t="shared" si="346"/>
        <v>350</v>
      </c>
      <c r="AP186">
        <f t="shared" si="347"/>
        <v>76.000000000000014</v>
      </c>
      <c r="AQ186">
        <f t="shared" si="348"/>
        <v>350</v>
      </c>
      <c r="AS186" s="5">
        <f t="shared" si="263"/>
        <v>2.8571428571428572</v>
      </c>
      <c r="AT186" s="5">
        <f t="shared" si="349"/>
        <v>0.70408603370408007</v>
      </c>
      <c r="AU186" s="5">
        <f t="shared" si="304"/>
        <v>2.153056823438777</v>
      </c>
      <c r="AV186" s="5"/>
      <c r="AW186" s="177">
        <f t="shared" si="305"/>
        <v>0.24643011179642801</v>
      </c>
      <c r="AX186" s="177">
        <f t="shared" si="259"/>
        <v>1.1567200000000002</v>
      </c>
      <c r="AY186" s="177">
        <f t="shared" si="260"/>
        <v>8080.5265939685705</v>
      </c>
      <c r="AZ186" s="177">
        <f t="shared" si="264"/>
        <v>1.4314908645476074E-4</v>
      </c>
      <c r="BA186" s="469">
        <f t="shared" si="350"/>
        <v>3.7498921501997473</v>
      </c>
      <c r="BB186" s="469">
        <f t="shared" si="351"/>
        <v>1.5660396408972839</v>
      </c>
      <c r="BC186" s="5">
        <f t="shared" si="359"/>
        <v>0.11363355457037989</v>
      </c>
      <c r="BD186" s="469">
        <f t="shared" si="352"/>
        <v>13.82602654844559</v>
      </c>
      <c r="BF186" s="177">
        <f t="shared" si="265"/>
        <v>0.13453049195101408</v>
      </c>
      <c r="BG186" s="177">
        <f t="shared" si="261"/>
        <v>10748.485232589315</v>
      </c>
      <c r="BI186" s="538">
        <f t="shared" si="306"/>
        <v>6.334458642603652E-3</v>
      </c>
      <c r="BJ186" s="538">
        <f t="shared" si="307"/>
        <v>571.23040417790571</v>
      </c>
      <c r="BK186" s="538">
        <f t="shared" si="308"/>
        <v>4.3749999999999995E-3</v>
      </c>
      <c r="BL186" s="538">
        <f t="shared" si="309"/>
        <v>8462830.4513776898</v>
      </c>
      <c r="BM186">
        <f t="shared" si="310"/>
        <v>5.7999999999999996E-3</v>
      </c>
      <c r="BN186">
        <f t="shared" si="353"/>
        <v>1.3124999999999999E-5</v>
      </c>
      <c r="BO186" s="538">
        <f t="shared" si="354"/>
        <v>8473304.5147087965</v>
      </c>
      <c r="BP186" s="469">
        <f t="shared" si="311"/>
        <v>8463401698.2913256</v>
      </c>
      <c r="BQ186" s="538">
        <f t="shared" si="355"/>
        <v>88264870.205299586</v>
      </c>
      <c r="BT186" s="469">
        <f t="shared" si="312"/>
        <v>88264870205.299591</v>
      </c>
      <c r="BU186" s="538">
        <f t="shared" si="313"/>
        <v>1.8098453264581865E-3</v>
      </c>
      <c r="BV186" s="538">
        <f t="shared" si="314"/>
        <v>3465898.0438557174</v>
      </c>
      <c r="BW186" s="538">
        <f t="shared" si="315"/>
        <v>0</v>
      </c>
      <c r="BX186" s="538"/>
      <c r="BY186" s="538">
        <f t="shared" si="316"/>
        <v>3.8557333333333337E-3</v>
      </c>
      <c r="BZ186" s="469">
        <f t="shared" si="317"/>
        <v>3465898049.521296</v>
      </c>
      <c r="CA186" s="177">
        <f t="shared" si="318"/>
        <v>100194169.95311221</v>
      </c>
      <c r="CB186" s="5">
        <f t="shared" si="319"/>
        <v>1.1400000000000001</v>
      </c>
      <c r="CC186" s="177">
        <f t="shared" si="320"/>
        <v>1.1377907392842024E-8</v>
      </c>
      <c r="CD186" s="5">
        <f t="shared" si="321"/>
        <v>1.1377907392842023E-6</v>
      </c>
      <c r="CG186" s="571">
        <f t="shared" si="356"/>
        <v>-50</v>
      </c>
      <c r="CH186">
        <f t="shared" si="357"/>
        <v>-50</v>
      </c>
    </row>
    <row r="187" spans="5:86" x14ac:dyDescent="0.25">
      <c r="E187" s="174">
        <v>77</v>
      </c>
      <c r="F187" s="221">
        <f t="shared" si="358"/>
        <v>7.7000000000000013E-2</v>
      </c>
      <c r="G187" s="221"/>
      <c r="H187" s="221">
        <f t="shared" si="322"/>
        <v>1.1550000000000002</v>
      </c>
      <c r="I187" s="551">
        <f t="shared" si="323"/>
        <v>20</v>
      </c>
      <c r="J187" s="451">
        <f t="shared" si="324"/>
        <v>695386.58000000007</v>
      </c>
      <c r="K187" s="451">
        <f t="shared" si="325"/>
        <v>695406.58000000007</v>
      </c>
      <c r="L187" s="451"/>
      <c r="M187" s="221">
        <f t="shared" si="326"/>
        <v>0.9999712398464794</v>
      </c>
      <c r="N187" s="176">
        <f t="shared" si="327"/>
        <v>6.9298006921361024</v>
      </c>
      <c r="O187" s="176">
        <f t="shared" si="262"/>
        <v>1.1550000000000002</v>
      </c>
      <c r="P187" s="221">
        <f t="shared" si="328"/>
        <v>0.4619867128090735</v>
      </c>
      <c r="Q187" s="221">
        <f t="shared" si="329"/>
        <v>15</v>
      </c>
      <c r="R187" s="221"/>
      <c r="S187" s="176">
        <f t="shared" si="330"/>
        <v>87.661901016037504</v>
      </c>
      <c r="T187" s="546">
        <f t="shared" si="331"/>
        <v>15</v>
      </c>
      <c r="U187" s="221">
        <f t="shared" si="332"/>
        <v>0.12833702432585534</v>
      </c>
      <c r="V187" s="221">
        <f t="shared" si="333"/>
        <v>0.19250553648878302</v>
      </c>
      <c r="W187" s="221">
        <f t="shared" si="334"/>
        <v>5.5366480178200444E-6</v>
      </c>
      <c r="X187" s="201">
        <f t="shared" si="335"/>
        <v>350</v>
      </c>
      <c r="Y187" s="451">
        <f t="shared" si="303"/>
        <v>350</v>
      </c>
      <c r="AA187" s="221">
        <f t="shared" si="336"/>
        <v>1.9047071235171036</v>
      </c>
      <c r="AB187" s="177">
        <f t="shared" si="337"/>
        <v>8.2171867201568798E-5</v>
      </c>
      <c r="AC187" s="177">
        <f t="shared" si="338"/>
        <v>1.2514141549591451</v>
      </c>
      <c r="AD187" s="177"/>
      <c r="AE187" s="177">
        <f t="shared" si="339"/>
        <v>6.4712206554230591E-6</v>
      </c>
      <c r="AF187" s="555">
        <f t="shared" si="340"/>
        <v>3472.4148148148161</v>
      </c>
      <c r="AG187" s="538">
        <f t="shared" si="341"/>
        <v>7.7611695137976321E-3</v>
      </c>
      <c r="AI187" s="177">
        <f t="shared" si="342"/>
        <v>0.47246869384824502</v>
      </c>
      <c r="AJ187" s="177">
        <f t="shared" si="343"/>
        <v>0.47246869384824502</v>
      </c>
      <c r="AK187" s="177">
        <f t="shared" si="344"/>
        <v>1.4149791292321634</v>
      </c>
      <c r="AM187" s="555">
        <f t="shared" si="345"/>
        <v>77.000000000000014</v>
      </c>
      <c r="AN187" s="469">
        <f t="shared" si="346"/>
        <v>350</v>
      </c>
      <c r="AP187">
        <f t="shared" si="347"/>
        <v>77.000000000000014</v>
      </c>
      <c r="AQ187">
        <f t="shared" si="348"/>
        <v>350</v>
      </c>
      <c r="AS187" s="5">
        <f t="shared" si="263"/>
        <v>2.8571428571428572</v>
      </c>
      <c r="AT187" s="5">
        <f t="shared" si="349"/>
        <v>0.70870304077236757</v>
      </c>
      <c r="AU187" s="5">
        <f t="shared" si="304"/>
        <v>2.1484398163704896</v>
      </c>
      <c r="AV187" s="5"/>
      <c r="AW187" s="177">
        <f t="shared" si="305"/>
        <v>0.24804606427032863</v>
      </c>
      <c r="AX187" s="177">
        <f t="shared" si="259"/>
        <v>1.1719400000000002</v>
      </c>
      <c r="AY187" s="177">
        <f t="shared" si="260"/>
        <v>8116.0727436162333</v>
      </c>
      <c r="AZ187" s="177">
        <f t="shared" si="264"/>
        <v>1.4439742434809984E-4</v>
      </c>
      <c r="BA187" s="469">
        <f t="shared" si="350"/>
        <v>3.7498921501997473</v>
      </c>
      <c r="BB187" s="469">
        <f t="shared" si="351"/>
        <v>1.6044828654570635</v>
      </c>
      <c r="BC187" s="5">
        <f t="shared" si="359"/>
        <v>0.11488185129203313</v>
      </c>
      <c r="BD187" s="469">
        <f t="shared" si="352"/>
        <v>13.978322155043978</v>
      </c>
      <c r="BF187" s="177">
        <f t="shared" si="265"/>
        <v>0.13585592381496317</v>
      </c>
      <c r="BG187" s="177">
        <f t="shared" si="261"/>
        <v>10807.361555427313</v>
      </c>
      <c r="BI187" s="538">
        <f t="shared" si="306"/>
        <v>6.4598912124659768E-3</v>
      </c>
      <c r="BJ187" s="538">
        <f t="shared" si="307"/>
        <v>574.97621745563151</v>
      </c>
      <c r="BK187" s="538">
        <f t="shared" si="308"/>
        <v>4.3749999999999995E-3</v>
      </c>
      <c r="BL187" s="538">
        <f t="shared" si="309"/>
        <v>8462830.4513776898</v>
      </c>
      <c r="BM187">
        <f t="shared" si="310"/>
        <v>5.7999999999999996E-3</v>
      </c>
      <c r="BN187">
        <f t="shared" si="353"/>
        <v>1.3124999999999999E-5</v>
      </c>
      <c r="BO187" s="538">
        <f t="shared" si="354"/>
        <v>8473504.5909578167</v>
      </c>
      <c r="BP187" s="469">
        <f t="shared" si="311"/>
        <v>8463405444.2300367</v>
      </c>
      <c r="BQ187" s="538">
        <f t="shared" si="355"/>
        <v>89234484.757412881</v>
      </c>
      <c r="BT187" s="469">
        <f t="shared" si="312"/>
        <v>89234484757.412888</v>
      </c>
      <c r="BU187" s="538">
        <f t="shared" si="313"/>
        <v>1.8456832035617079E-3</v>
      </c>
      <c r="BV187" s="538">
        <f t="shared" si="314"/>
        <v>3503971.9136918481</v>
      </c>
      <c r="BW187" s="538">
        <f t="shared" si="315"/>
        <v>0</v>
      </c>
      <c r="BX187" s="538"/>
      <c r="BY187" s="538">
        <f t="shared" si="316"/>
        <v>3.9064666666666671E-3</v>
      </c>
      <c r="BZ187" s="469">
        <f t="shared" si="317"/>
        <v>3503971919.4439974</v>
      </c>
      <c r="CA187" s="177">
        <f t="shared" si="318"/>
        <v>101201862.12108693</v>
      </c>
      <c r="CB187" s="5">
        <f t="shared" si="319"/>
        <v>1.1550000000000002</v>
      </c>
      <c r="CC187" s="177">
        <f t="shared" si="320"/>
        <v>1.141283334723854E-8</v>
      </c>
      <c r="CD187" s="5">
        <f t="shared" si="321"/>
        <v>1.1412833347238541E-6</v>
      </c>
      <c r="CG187" s="571">
        <f t="shared" si="356"/>
        <v>-50</v>
      </c>
      <c r="CH187">
        <f t="shared" si="357"/>
        <v>-50</v>
      </c>
    </row>
    <row r="188" spans="5:86" x14ac:dyDescent="0.25">
      <c r="E188" s="174">
        <v>78</v>
      </c>
      <c r="F188" s="221">
        <f t="shared" si="358"/>
        <v>7.8000000000000014E-2</v>
      </c>
      <c r="G188" s="221"/>
      <c r="H188" s="221">
        <f t="shared" si="322"/>
        <v>1.1700000000000002</v>
      </c>
      <c r="I188" s="551">
        <f t="shared" si="323"/>
        <v>20</v>
      </c>
      <c r="J188" s="451">
        <f t="shared" si="324"/>
        <v>695386.58000000007</v>
      </c>
      <c r="K188" s="451">
        <f t="shared" si="325"/>
        <v>695406.58000000007</v>
      </c>
      <c r="L188" s="451"/>
      <c r="M188" s="221">
        <f t="shared" si="326"/>
        <v>0.9999712398464794</v>
      </c>
      <c r="N188" s="176">
        <f t="shared" si="327"/>
        <v>6.9298006921361024</v>
      </c>
      <c r="O188" s="176">
        <f t="shared" si="262"/>
        <v>1.1700000000000002</v>
      </c>
      <c r="P188" s="221">
        <f t="shared" si="328"/>
        <v>0.4619867128090735</v>
      </c>
      <c r="Q188" s="221">
        <f t="shared" si="329"/>
        <v>15</v>
      </c>
      <c r="R188" s="221"/>
      <c r="S188" s="176">
        <f t="shared" si="330"/>
        <v>86.538024906356853</v>
      </c>
      <c r="T188" s="546">
        <f t="shared" si="331"/>
        <v>15</v>
      </c>
      <c r="U188" s="221">
        <f t="shared" si="332"/>
        <v>0.13000373892748981</v>
      </c>
      <c r="V188" s="221">
        <f t="shared" si="333"/>
        <v>0.19500560839123476</v>
      </c>
      <c r="W188" s="221">
        <f t="shared" si="334"/>
        <v>5.6085525375319935E-6</v>
      </c>
      <c r="X188" s="201">
        <f t="shared" si="335"/>
        <v>350</v>
      </c>
      <c r="Y188" s="451">
        <f t="shared" si="303"/>
        <v>350</v>
      </c>
      <c r="AA188" s="221">
        <f t="shared" si="336"/>
        <v>1.9047071235171036</v>
      </c>
      <c r="AB188" s="177">
        <f t="shared" si="337"/>
        <v>8.2171867201568798E-5</v>
      </c>
      <c r="AC188" s="177">
        <f t="shared" si="338"/>
        <v>1.2514141549591451</v>
      </c>
      <c r="AD188" s="177"/>
      <c r="AE188" s="177">
        <f t="shared" si="339"/>
        <v>6.4712206554230591E-6</v>
      </c>
      <c r="AF188" s="555">
        <f t="shared" si="340"/>
        <v>3517.5111111111123</v>
      </c>
      <c r="AG188" s="538">
        <f t="shared" si="341"/>
        <v>7.7611695137976321E-3</v>
      </c>
      <c r="AI188" s="177">
        <f t="shared" si="342"/>
        <v>0.47552677557180134</v>
      </c>
      <c r="AJ188" s="177">
        <f t="shared" si="343"/>
        <v>0.47552677557180134</v>
      </c>
      <c r="AK188" s="177">
        <f t="shared" si="344"/>
        <v>1.417017850381201</v>
      </c>
      <c r="AM188" s="555">
        <f t="shared" si="345"/>
        <v>78.000000000000014</v>
      </c>
      <c r="AN188" s="469">
        <f t="shared" si="346"/>
        <v>350</v>
      </c>
      <c r="AP188">
        <f t="shared" si="347"/>
        <v>78.000000000000014</v>
      </c>
      <c r="AQ188">
        <f t="shared" si="348"/>
        <v>350</v>
      </c>
      <c r="AS188" s="5">
        <f t="shared" si="263"/>
        <v>2.8571428571428572</v>
      </c>
      <c r="AT188" s="5">
        <f t="shared" si="349"/>
        <v>0.71329016335770201</v>
      </c>
      <c r="AU188" s="5">
        <f t="shared" si="304"/>
        <v>2.1438526937851554</v>
      </c>
      <c r="AV188" s="5"/>
      <c r="AW188" s="177">
        <f t="shared" si="305"/>
        <v>0.24965155717519569</v>
      </c>
      <c r="AX188" s="177">
        <f t="shared" si="259"/>
        <v>1.1871600000000002</v>
      </c>
      <c r="AY188" s="177">
        <f t="shared" si="260"/>
        <v>8151.1637625500152</v>
      </c>
      <c r="AZ188" s="177">
        <f t="shared" si="264"/>
        <v>1.4564300688624718E-4</v>
      </c>
      <c r="BA188" s="469">
        <f t="shared" si="350"/>
        <v>3.7498921501997473</v>
      </c>
      <c r="BB188" s="469">
        <f t="shared" si="351"/>
        <v>1.643389400141807</v>
      </c>
      <c r="BC188" s="5">
        <f t="shared" si="359"/>
        <v>0.1161253542466959</v>
      </c>
      <c r="BD188" s="469">
        <f t="shared" si="352"/>
        <v>14.130042509603513</v>
      </c>
      <c r="BF188" s="177">
        <f t="shared" si="265"/>
        <v>0.1371770591714494</v>
      </c>
      <c r="BG188" s="177">
        <f t="shared" si="261"/>
        <v>10865.694594282251</v>
      </c>
      <c r="BI188" s="538">
        <f t="shared" si="306"/>
        <v>6.5861409470245654E-3</v>
      </c>
      <c r="BJ188" s="538">
        <f t="shared" si="307"/>
        <v>578.69778522292438</v>
      </c>
      <c r="BK188" s="538">
        <f t="shared" si="308"/>
        <v>4.3749999999999995E-3</v>
      </c>
      <c r="BL188" s="538">
        <f t="shared" si="309"/>
        <v>8462830.4513776898</v>
      </c>
      <c r="BM188">
        <f t="shared" si="310"/>
        <v>5.7999999999999996E-3</v>
      </c>
      <c r="BN188">
        <f t="shared" si="353"/>
        <v>1.3124999999999999E-5</v>
      </c>
      <c r="BO188" s="538">
        <f t="shared" si="354"/>
        <v>8473705.931312846</v>
      </c>
      <c r="BP188" s="469">
        <f t="shared" si="311"/>
        <v>8463409165.9240532</v>
      </c>
      <c r="BQ188" s="538">
        <f t="shared" si="355"/>
        <v>90200375.750734881</v>
      </c>
      <c r="BT188" s="469">
        <f t="shared" si="312"/>
        <v>90200375750.734879</v>
      </c>
      <c r="BU188" s="538">
        <f t="shared" si="313"/>
        <v>1.8817545562927333E-3</v>
      </c>
      <c r="BV188" s="538">
        <f t="shared" si="314"/>
        <v>3541899.5704864361</v>
      </c>
      <c r="BW188" s="538">
        <f t="shared" si="315"/>
        <v>0</v>
      </c>
      <c r="BX188" s="538"/>
      <c r="BY188" s="538">
        <f t="shared" si="316"/>
        <v>3.957200000000001E-3</v>
      </c>
      <c r="BZ188" s="469">
        <f t="shared" si="317"/>
        <v>3541899576.3253903</v>
      </c>
      <c r="CA188" s="177">
        <f t="shared" si="318"/>
        <v>102205684.49298432</v>
      </c>
      <c r="CB188" s="5">
        <f t="shared" si="319"/>
        <v>1.1700000000000002</v>
      </c>
      <c r="CC188" s="177">
        <f t="shared" si="320"/>
        <v>1.1447504044520462E-8</v>
      </c>
      <c r="CD188" s="5">
        <f t="shared" si="321"/>
        <v>1.1447504044520461E-6</v>
      </c>
      <c r="CG188" s="571">
        <f t="shared" si="356"/>
        <v>-50</v>
      </c>
      <c r="CH188">
        <f t="shared" si="357"/>
        <v>-50</v>
      </c>
    </row>
    <row r="189" spans="5:86" x14ac:dyDescent="0.25">
      <c r="E189" s="174">
        <v>79</v>
      </c>
      <c r="F189" s="221">
        <f t="shared" si="358"/>
        <v>7.9000000000000015E-2</v>
      </c>
      <c r="G189" s="221"/>
      <c r="H189" s="221">
        <f t="shared" si="322"/>
        <v>1.1850000000000003</v>
      </c>
      <c r="I189" s="551">
        <f t="shared" si="323"/>
        <v>20</v>
      </c>
      <c r="J189" s="451">
        <f t="shared" si="324"/>
        <v>695386.58000000007</v>
      </c>
      <c r="K189" s="451">
        <f t="shared" si="325"/>
        <v>695406.58000000007</v>
      </c>
      <c r="L189" s="451"/>
      <c r="M189" s="221">
        <f t="shared" si="326"/>
        <v>0.9999712398464794</v>
      </c>
      <c r="N189" s="176">
        <f t="shared" si="327"/>
        <v>6.9298006921361024</v>
      </c>
      <c r="O189" s="176">
        <f t="shared" si="262"/>
        <v>1.1850000000000003</v>
      </c>
      <c r="P189" s="221">
        <f t="shared" si="328"/>
        <v>0.4619867128090735</v>
      </c>
      <c r="Q189" s="221">
        <f t="shared" si="329"/>
        <v>15</v>
      </c>
      <c r="R189" s="221"/>
      <c r="S189" s="176">
        <f t="shared" si="330"/>
        <v>85.442601356773423</v>
      </c>
      <c r="T189" s="546">
        <f t="shared" si="331"/>
        <v>15</v>
      </c>
      <c r="U189" s="221">
        <f t="shared" si="332"/>
        <v>0.13167045352912432</v>
      </c>
      <c r="V189" s="221">
        <f t="shared" si="333"/>
        <v>0.19750568029368645</v>
      </c>
      <c r="W189" s="221">
        <f t="shared" si="334"/>
        <v>5.6804570572439417E-6</v>
      </c>
      <c r="X189" s="201">
        <f t="shared" si="335"/>
        <v>350</v>
      </c>
      <c r="Y189" s="451">
        <f t="shared" si="303"/>
        <v>350</v>
      </c>
      <c r="AA189" s="221">
        <f t="shared" si="336"/>
        <v>1.9047071235171036</v>
      </c>
      <c r="AB189" s="177">
        <f t="shared" si="337"/>
        <v>8.2171867201568798E-5</v>
      </c>
      <c r="AC189" s="177">
        <f t="shared" si="338"/>
        <v>1.2514141549591451</v>
      </c>
      <c r="AD189" s="177"/>
      <c r="AE189" s="177">
        <f t="shared" si="339"/>
        <v>6.4712206554230591E-6</v>
      </c>
      <c r="AF189" s="555">
        <f t="shared" si="340"/>
        <v>3562.607407407409</v>
      </c>
      <c r="AG189" s="538">
        <f t="shared" si="341"/>
        <v>7.7611695137976321E-3</v>
      </c>
      <c r="AI189" s="177">
        <f t="shared" si="342"/>
        <v>0.4785653162367306</v>
      </c>
      <c r="AJ189" s="177">
        <f t="shared" si="343"/>
        <v>0.4785653162367306</v>
      </c>
      <c r="AK189" s="177">
        <f t="shared" si="344"/>
        <v>1.4190435441578204</v>
      </c>
      <c r="AM189" s="555">
        <f t="shared" si="345"/>
        <v>79.000000000000014</v>
      </c>
      <c r="AN189" s="469">
        <f t="shared" si="346"/>
        <v>350</v>
      </c>
      <c r="AP189">
        <f t="shared" si="347"/>
        <v>79.000000000000014</v>
      </c>
      <c r="AQ189">
        <f t="shared" si="348"/>
        <v>350</v>
      </c>
      <c r="AS189" s="5">
        <f t="shared" si="263"/>
        <v>2.8571428571428572</v>
      </c>
      <c r="AT189" s="5">
        <f t="shared" si="349"/>
        <v>0.71784797435509595</v>
      </c>
      <c r="AU189" s="5">
        <f t="shared" si="304"/>
        <v>2.1392948827877611</v>
      </c>
      <c r="AV189" s="5"/>
      <c r="AW189" s="177">
        <f t="shared" si="305"/>
        <v>0.2512467910242836</v>
      </c>
      <c r="AX189" s="177">
        <f t="shared" si="259"/>
        <v>1.2023800000000002</v>
      </c>
      <c r="AY189" s="177">
        <f t="shared" si="260"/>
        <v>8185.8083757699915</v>
      </c>
      <c r="AZ189" s="177">
        <f t="shared" si="264"/>
        <v>1.4688592070626126E-4</v>
      </c>
      <c r="BA189" s="469">
        <f t="shared" si="350"/>
        <v>3.7498921501997473</v>
      </c>
      <c r="BB189" s="469">
        <f t="shared" si="351"/>
        <v>1.6827592449515152</v>
      </c>
      <c r="BC189" s="5">
        <f t="shared" si="359"/>
        <v>0.11736409426405077</v>
      </c>
      <c r="BD189" s="469">
        <f t="shared" si="352"/>
        <v>14.281191311686094</v>
      </c>
      <c r="BF189" s="177">
        <f t="shared" si="265"/>
        <v>0.13849396676831816</v>
      </c>
      <c r="BG189" s="177">
        <f t="shared" si="261"/>
        <v>10923.494487517948</v>
      </c>
      <c r="BI189" s="538">
        <f t="shared" si="306"/>
        <v>6.713202590928404E-3</v>
      </c>
      <c r="BJ189" s="538">
        <f t="shared" si="307"/>
        <v>582.39557227390583</v>
      </c>
      <c r="BK189" s="538">
        <f t="shared" si="308"/>
        <v>4.3749999999999995E-3</v>
      </c>
      <c r="BL189" s="538">
        <f t="shared" si="309"/>
        <v>8462830.4513776898</v>
      </c>
      <c r="BM189">
        <f t="shared" si="310"/>
        <v>5.7999999999999996E-3</v>
      </c>
      <c r="BN189">
        <f t="shared" si="353"/>
        <v>1.3124999999999999E-5</v>
      </c>
      <c r="BO189" s="538">
        <f t="shared" si="354"/>
        <v>8473908.528192278</v>
      </c>
      <c r="BP189" s="469">
        <f t="shared" si="311"/>
        <v>8463412863.8381662</v>
      </c>
      <c r="BQ189" s="538">
        <f t="shared" si="355"/>
        <v>91162567.132223412</v>
      </c>
      <c r="BT189" s="469">
        <f t="shared" si="312"/>
        <v>91162567132.223419</v>
      </c>
      <c r="BU189" s="538">
        <f t="shared" si="313"/>
        <v>1.9180578831224015E-3</v>
      </c>
      <c r="BV189" s="538">
        <f t="shared" si="314"/>
        <v>3579681.9545650501</v>
      </c>
      <c r="BW189" s="538">
        <f t="shared" si="315"/>
        <v>0</v>
      </c>
      <c r="BX189" s="538"/>
      <c r="BY189" s="538">
        <f t="shared" si="316"/>
        <v>4.0079333333333349E-3</v>
      </c>
      <c r="BZ189" s="469">
        <f t="shared" si="317"/>
        <v>3579681960.4910412</v>
      </c>
      <c r="CA189" s="177">
        <f t="shared" si="318"/>
        <v>103205661.95655262</v>
      </c>
      <c r="CB189" s="5">
        <f t="shared" si="319"/>
        <v>1.1850000000000003</v>
      </c>
      <c r="CC189" s="177">
        <f t="shared" si="320"/>
        <v>1.1481928064109265E-8</v>
      </c>
      <c r="CD189" s="5">
        <f t="shared" si="321"/>
        <v>1.1481928064109266E-6</v>
      </c>
      <c r="CG189" s="571">
        <f t="shared" si="356"/>
        <v>-50</v>
      </c>
      <c r="CH189">
        <f t="shared" si="357"/>
        <v>-50</v>
      </c>
    </row>
    <row r="190" spans="5:86" x14ac:dyDescent="0.25">
      <c r="E190" s="174">
        <v>80</v>
      </c>
      <c r="F190" s="221">
        <f t="shared" si="358"/>
        <v>8.0000000000000016E-2</v>
      </c>
      <c r="G190" s="221"/>
      <c r="H190" s="221">
        <f t="shared" si="322"/>
        <v>1.2000000000000002</v>
      </c>
      <c r="I190" s="551">
        <f t="shared" si="323"/>
        <v>20</v>
      </c>
      <c r="J190" s="451">
        <f t="shared" si="324"/>
        <v>695386.58000000007</v>
      </c>
      <c r="K190" s="451">
        <f t="shared" si="325"/>
        <v>695406.58000000007</v>
      </c>
      <c r="L190" s="451"/>
      <c r="M190" s="221">
        <f t="shared" si="326"/>
        <v>0.9999712398464794</v>
      </c>
      <c r="N190" s="176">
        <f t="shared" si="327"/>
        <v>6.9298006921361024</v>
      </c>
      <c r="O190" s="176">
        <f t="shared" si="262"/>
        <v>1.2000000000000002</v>
      </c>
      <c r="P190" s="221">
        <f t="shared" si="328"/>
        <v>0.4619867128090735</v>
      </c>
      <c r="Q190" s="221">
        <f t="shared" si="329"/>
        <v>15</v>
      </c>
      <c r="R190" s="221"/>
      <c r="S190" s="176">
        <f t="shared" si="330"/>
        <v>84.37456339628352</v>
      </c>
      <c r="T190" s="546">
        <f t="shared" si="331"/>
        <v>15</v>
      </c>
      <c r="U190" s="221">
        <f t="shared" si="332"/>
        <v>0.1333371681307588</v>
      </c>
      <c r="V190" s="221">
        <f t="shared" si="333"/>
        <v>0.2000057521961382</v>
      </c>
      <c r="W190" s="221">
        <f t="shared" si="334"/>
        <v>5.7523615769558908E-6</v>
      </c>
      <c r="X190" s="201">
        <f t="shared" si="335"/>
        <v>350</v>
      </c>
      <c r="Y190" s="451">
        <f t="shared" si="303"/>
        <v>350</v>
      </c>
      <c r="AA190" s="221">
        <f t="shared" si="336"/>
        <v>1.9047071235171036</v>
      </c>
      <c r="AB190" s="177">
        <f t="shared" si="337"/>
        <v>8.2171867201568798E-5</v>
      </c>
      <c r="AC190" s="177">
        <f t="shared" si="338"/>
        <v>1.2514141549591451</v>
      </c>
      <c r="AD190" s="177"/>
      <c r="AE190" s="177">
        <f t="shared" si="339"/>
        <v>6.4712206554230591E-6</v>
      </c>
      <c r="AF190" s="555">
        <f t="shared" si="340"/>
        <v>3607.7037037037053</v>
      </c>
      <c r="AG190" s="538">
        <f t="shared" si="341"/>
        <v>7.7611695137976321E-3</v>
      </c>
      <c r="AI190" s="177">
        <f t="shared" si="342"/>
        <v>0.48158468572392288</v>
      </c>
      <c r="AJ190" s="177">
        <f t="shared" si="343"/>
        <v>0.48158468572392288</v>
      </c>
      <c r="AK190" s="177">
        <f t="shared" si="344"/>
        <v>1.4210564571492819</v>
      </c>
      <c r="AM190" s="555">
        <f t="shared" si="345"/>
        <v>80.000000000000014</v>
      </c>
      <c r="AN190" s="469">
        <f t="shared" si="346"/>
        <v>350</v>
      </c>
      <c r="AP190">
        <f t="shared" si="347"/>
        <v>80.000000000000014</v>
      </c>
      <c r="AQ190">
        <f t="shared" si="348"/>
        <v>350</v>
      </c>
      <c r="AS190" s="5">
        <f t="shared" si="263"/>
        <v>2.8571428571428572</v>
      </c>
      <c r="AT190" s="5">
        <f t="shared" si="349"/>
        <v>0.72237702858588426</v>
      </c>
      <c r="AU190" s="5">
        <f t="shared" si="304"/>
        <v>2.1347658285569731</v>
      </c>
      <c r="AV190" s="5"/>
      <c r="AW190" s="177">
        <f t="shared" si="305"/>
        <v>0.25283196000505948</v>
      </c>
      <c r="AX190" s="177">
        <f t="shared" si="259"/>
        <v>1.2176000000000002</v>
      </c>
      <c r="AY190" s="177">
        <f t="shared" si="260"/>
        <v>8220.0150330201559</v>
      </c>
      <c r="AZ190" s="177">
        <f t="shared" si="264"/>
        <v>1.4812624978285908E-4</v>
      </c>
      <c r="BA190" s="469">
        <f t="shared" si="350"/>
        <v>3.7498921501997473</v>
      </c>
      <c r="BB190" s="469">
        <f t="shared" si="351"/>
        <v>1.7225923998861876</v>
      </c>
      <c r="BC190" s="5">
        <f t="shared" si="359"/>
        <v>0.11859810158649851</v>
      </c>
      <c r="BD190" s="469">
        <f t="shared" si="352"/>
        <v>14.431772190379824</v>
      </c>
      <c r="BF190" s="177">
        <f t="shared" si="265"/>
        <v>0.13980671339834966</v>
      </c>
      <c r="BG190" s="177">
        <f t="shared" si="261"/>
        <v>10980.771054197074</v>
      </c>
      <c r="BI190" s="538">
        <f t="shared" si="306"/>
        <v>6.841070988936898E-3</v>
      </c>
      <c r="BJ190" s="538">
        <f t="shared" si="307"/>
        <v>586.07002873938404</v>
      </c>
      <c r="BK190" s="538">
        <f t="shared" si="308"/>
        <v>4.3749999999999995E-3</v>
      </c>
      <c r="BL190" s="538">
        <f t="shared" si="309"/>
        <v>8462830.4513776898</v>
      </c>
      <c r="BM190">
        <f t="shared" si="310"/>
        <v>5.7999999999999996E-3</v>
      </c>
      <c r="BN190">
        <f t="shared" si="353"/>
        <v>1.3124999999999999E-5</v>
      </c>
      <c r="BO190" s="538">
        <f t="shared" si="354"/>
        <v>8474112.3741561752</v>
      </c>
      <c r="BP190" s="469">
        <f t="shared" si="311"/>
        <v>8463416538.4224987</v>
      </c>
      <c r="BQ190" s="538">
        <f t="shared" si="355"/>
        <v>92121082.392664909</v>
      </c>
      <c r="BT190" s="469">
        <f t="shared" si="312"/>
        <v>92121082392.664917</v>
      </c>
      <c r="BU190" s="538">
        <f t="shared" si="313"/>
        <v>1.9545917111248282E-3</v>
      </c>
      <c r="BV190" s="538">
        <f t="shared" si="314"/>
        <v>3617319.9883407694</v>
      </c>
      <c r="BW190" s="538">
        <f t="shared" si="315"/>
        <v>0</v>
      </c>
      <c r="BX190" s="538"/>
      <c r="BY190" s="538">
        <f t="shared" si="316"/>
        <v>4.0586666666666679E-3</v>
      </c>
      <c r="BZ190" s="469">
        <f t="shared" si="317"/>
        <v>3617319994.3540277</v>
      </c>
      <c r="CA190" s="177">
        <f t="shared" si="318"/>
        <v>104201818.92544143</v>
      </c>
      <c r="CB190" s="5">
        <f t="shared" si="319"/>
        <v>1.2000000000000002</v>
      </c>
      <c r="CC190" s="177">
        <f t="shared" si="320"/>
        <v>1.1516113620236215E-8</v>
      </c>
      <c r="CD190" s="5">
        <f t="shared" si="321"/>
        <v>1.1516113620236215E-6</v>
      </c>
      <c r="CG190" s="571">
        <f t="shared" si="356"/>
        <v>-50</v>
      </c>
      <c r="CH190">
        <f t="shared" si="357"/>
        <v>-50</v>
      </c>
    </row>
    <row r="191" spans="5:86" x14ac:dyDescent="0.25">
      <c r="E191" s="174">
        <v>81</v>
      </c>
      <c r="F191" s="221">
        <f t="shared" si="358"/>
        <v>8.1000000000000016E-2</v>
      </c>
      <c r="G191" s="221"/>
      <c r="H191" s="221">
        <f t="shared" si="322"/>
        <v>1.2150000000000003</v>
      </c>
      <c r="I191" s="551">
        <f t="shared" si="323"/>
        <v>20</v>
      </c>
      <c r="J191" s="451">
        <f t="shared" si="324"/>
        <v>695386.58000000007</v>
      </c>
      <c r="K191" s="451">
        <f t="shared" si="325"/>
        <v>695406.58000000007</v>
      </c>
      <c r="L191" s="451"/>
      <c r="M191" s="221">
        <f t="shared" si="326"/>
        <v>0.9999712398464794</v>
      </c>
      <c r="N191" s="176">
        <f t="shared" si="327"/>
        <v>6.9298006921361024</v>
      </c>
      <c r="O191" s="176">
        <f t="shared" si="262"/>
        <v>1.2150000000000003</v>
      </c>
      <c r="P191" s="221">
        <f t="shared" si="328"/>
        <v>0.4619867128090735</v>
      </c>
      <c r="Q191" s="221">
        <f t="shared" si="329"/>
        <v>15</v>
      </c>
      <c r="R191" s="221"/>
      <c r="S191" s="176">
        <f t="shared" si="330"/>
        <v>83.332896743809599</v>
      </c>
      <c r="T191" s="546">
        <f t="shared" si="331"/>
        <v>15</v>
      </c>
      <c r="U191" s="221">
        <f t="shared" si="332"/>
        <v>0.13500388273239328</v>
      </c>
      <c r="V191" s="221">
        <f t="shared" si="333"/>
        <v>0.20250582409858994</v>
      </c>
      <c r="W191" s="221">
        <f t="shared" si="334"/>
        <v>5.8242660966678399E-6</v>
      </c>
      <c r="X191" s="201">
        <f t="shared" si="335"/>
        <v>350</v>
      </c>
      <c r="Y191" s="451">
        <f t="shared" si="303"/>
        <v>350</v>
      </c>
      <c r="AA191" s="221">
        <f t="shared" si="336"/>
        <v>1.9047071235171036</v>
      </c>
      <c r="AB191" s="177">
        <f t="shared" si="337"/>
        <v>8.2171867201568798E-5</v>
      </c>
      <c r="AC191" s="177">
        <f t="shared" si="338"/>
        <v>1.2514141549591451</v>
      </c>
      <c r="AD191" s="177"/>
      <c r="AE191" s="177">
        <f t="shared" si="339"/>
        <v>6.4712206554230591E-6</v>
      </c>
      <c r="AF191" s="555">
        <f t="shared" si="340"/>
        <v>3652.800000000002</v>
      </c>
      <c r="AG191" s="538">
        <f t="shared" si="341"/>
        <v>7.7611695137976321E-3</v>
      </c>
      <c r="AI191" s="177">
        <f t="shared" si="342"/>
        <v>0.48458524239070383</v>
      </c>
      <c r="AJ191" s="177">
        <f t="shared" si="343"/>
        <v>0.48458524239070383</v>
      </c>
      <c r="AK191" s="177">
        <f t="shared" si="344"/>
        <v>1.4230568282604692</v>
      </c>
      <c r="AM191" s="555">
        <f t="shared" si="345"/>
        <v>81.000000000000014</v>
      </c>
      <c r="AN191" s="469">
        <f t="shared" si="346"/>
        <v>350</v>
      </c>
      <c r="AP191">
        <f t="shared" si="347"/>
        <v>81.000000000000014</v>
      </c>
      <c r="AQ191">
        <f t="shared" si="348"/>
        <v>350</v>
      </c>
      <c r="AS191" s="5">
        <f t="shared" si="263"/>
        <v>2.8571428571428572</v>
      </c>
      <c r="AT191" s="5">
        <f t="shared" si="349"/>
        <v>0.72687786358605577</v>
      </c>
      <c r="AU191" s="5">
        <f t="shared" si="304"/>
        <v>2.1302649935568017</v>
      </c>
      <c r="AV191" s="5"/>
      <c r="AW191" s="177">
        <f t="shared" si="305"/>
        <v>0.25440725225511951</v>
      </c>
      <c r="AX191" s="177">
        <f t="shared" si="259"/>
        <v>1.2328200000000002</v>
      </c>
      <c r="AY191" s="177">
        <f t="shared" si="260"/>
        <v>8253.7919207944342</v>
      </c>
      <c r="AZ191" s="177">
        <f t="shared" si="264"/>
        <v>1.4936407554618124E-4</v>
      </c>
      <c r="BA191" s="469">
        <f t="shared" si="350"/>
        <v>3.7498921501997473</v>
      </c>
      <c r="BB191" s="469">
        <f t="shared" si="351"/>
        <v>1.7628888649458245</v>
      </c>
      <c r="BC191" s="5">
        <f t="shared" si="359"/>
        <v>0.1198274058875701</v>
      </c>
      <c r="BD191" s="469">
        <f t="shared" si="352"/>
        <v>14.581788706508414</v>
      </c>
      <c r="BF191" s="177">
        <f t="shared" si="265"/>
        <v>0.1411153639785675</v>
      </c>
      <c r="BG191" s="177">
        <f t="shared" si="261"/>
        <v>11037.533807990178</v>
      </c>
      <c r="BI191" s="538">
        <f t="shared" si="306"/>
        <v>6.9697410827812547E-3</v>
      </c>
      <c r="BJ191" s="538">
        <f t="shared" si="307"/>
        <v>589.72159072643319</v>
      </c>
      <c r="BK191" s="538">
        <f t="shared" si="308"/>
        <v>4.3749999999999995E-3</v>
      </c>
      <c r="BL191" s="538">
        <f t="shared" si="309"/>
        <v>8462830.4513776898</v>
      </c>
      <c r="BM191">
        <f t="shared" si="310"/>
        <v>5.7999999999999996E-3</v>
      </c>
      <c r="BN191">
        <f t="shared" si="353"/>
        <v>1.3124999999999999E-5</v>
      </c>
      <c r="BO191" s="538">
        <f t="shared" si="354"/>
        <v>8474317.4619020242</v>
      </c>
      <c r="BP191" s="469">
        <f t="shared" si="311"/>
        <v>8463420190.1131573</v>
      </c>
      <c r="BQ191" s="538">
        <f t="shared" si="355"/>
        <v>93075944.580976456</v>
      </c>
      <c r="BT191" s="469">
        <f t="shared" si="312"/>
        <v>93075944580.976456</v>
      </c>
      <c r="BU191" s="538">
        <f t="shared" si="313"/>
        <v>1.9913545950803586E-3</v>
      </c>
      <c r="BV191" s="538">
        <f t="shared" si="314"/>
        <v>3654814.5768757844</v>
      </c>
      <c r="BW191" s="538">
        <f t="shared" si="315"/>
        <v>0</v>
      </c>
      <c r="BX191" s="538"/>
      <c r="BY191" s="538">
        <f t="shared" si="316"/>
        <v>4.1094000000000018E-3</v>
      </c>
      <c r="BZ191" s="469">
        <f t="shared" si="317"/>
        <v>3654814582.9765387</v>
      </c>
      <c r="CA191" s="177">
        <f t="shared" si="318"/>
        <v>105194179.35406616</v>
      </c>
      <c r="CB191" s="5">
        <f t="shared" si="319"/>
        <v>1.2150000000000003</v>
      </c>
      <c r="CC191" s="177">
        <f t="shared" si="320"/>
        <v>1.1550068581999946E-8</v>
      </c>
      <c r="CD191" s="5">
        <f t="shared" si="321"/>
        <v>1.1550068581999945E-6</v>
      </c>
      <c r="CG191" s="571">
        <f t="shared" si="356"/>
        <v>-50</v>
      </c>
      <c r="CH191">
        <f t="shared" si="357"/>
        <v>-50</v>
      </c>
    </row>
    <row r="192" spans="5:86" x14ac:dyDescent="0.25">
      <c r="E192" s="174">
        <v>82</v>
      </c>
      <c r="F192" s="221">
        <f t="shared" si="358"/>
        <v>8.2000000000000003E-2</v>
      </c>
      <c r="G192" s="221"/>
      <c r="H192" s="221">
        <f t="shared" si="322"/>
        <v>1.23</v>
      </c>
      <c r="I192" s="551">
        <f t="shared" si="323"/>
        <v>20</v>
      </c>
      <c r="J192" s="451">
        <f t="shared" si="324"/>
        <v>695386.58000000007</v>
      </c>
      <c r="K192" s="451">
        <f t="shared" si="325"/>
        <v>695406.58000000007</v>
      </c>
      <c r="L192" s="451"/>
      <c r="M192" s="221">
        <f t="shared" si="326"/>
        <v>0.9999712398464794</v>
      </c>
      <c r="N192" s="176">
        <f t="shared" si="327"/>
        <v>6.9298006921361024</v>
      </c>
      <c r="O192" s="176">
        <f t="shared" si="262"/>
        <v>1.23</v>
      </c>
      <c r="P192" s="221">
        <f t="shared" si="328"/>
        <v>0.4619867128090735</v>
      </c>
      <c r="Q192" s="221">
        <f t="shared" si="329"/>
        <v>15</v>
      </c>
      <c r="R192" s="221"/>
      <c r="S192" s="176">
        <f t="shared" si="330"/>
        <v>82.316636595399785</v>
      </c>
      <c r="T192" s="546">
        <f t="shared" si="331"/>
        <v>15</v>
      </c>
      <c r="U192" s="221">
        <f t="shared" si="332"/>
        <v>0.13667059733402773</v>
      </c>
      <c r="V192" s="221">
        <f t="shared" si="333"/>
        <v>0.20500589600104158</v>
      </c>
      <c r="W192" s="221">
        <f t="shared" si="334"/>
        <v>5.8961706163797855E-6</v>
      </c>
      <c r="X192" s="201">
        <f t="shared" si="335"/>
        <v>350</v>
      </c>
      <c r="Y192" s="451">
        <f t="shared" si="303"/>
        <v>350</v>
      </c>
      <c r="AA192" s="221">
        <f t="shared" si="336"/>
        <v>1.9047071235171036</v>
      </c>
      <c r="AB192" s="177">
        <f t="shared" si="337"/>
        <v>8.2171867201568798E-5</v>
      </c>
      <c r="AC192" s="177">
        <f t="shared" si="338"/>
        <v>1.2514141549591451</v>
      </c>
      <c r="AD192" s="177"/>
      <c r="AE192" s="177">
        <f t="shared" si="339"/>
        <v>6.4712206554230591E-6</v>
      </c>
      <c r="AF192" s="555">
        <f t="shared" si="340"/>
        <v>3697.8962962962974</v>
      </c>
      <c r="AG192" s="538">
        <f t="shared" si="341"/>
        <v>7.7611695137976321E-3</v>
      </c>
      <c r="AI192" s="177">
        <f t="shared" si="342"/>
        <v>0.48756733356727744</v>
      </c>
      <c r="AJ192" s="177">
        <f t="shared" si="343"/>
        <v>0.48756733356727744</v>
      </c>
      <c r="AK192" s="177">
        <f t="shared" si="344"/>
        <v>1.4250448890448517</v>
      </c>
      <c r="AM192" s="555">
        <f t="shared" si="345"/>
        <v>82</v>
      </c>
      <c r="AN192" s="469">
        <f t="shared" si="346"/>
        <v>350</v>
      </c>
      <c r="AP192">
        <f t="shared" si="347"/>
        <v>82</v>
      </c>
      <c r="AQ192">
        <f t="shared" si="348"/>
        <v>350</v>
      </c>
      <c r="AS192" s="5">
        <f t="shared" si="263"/>
        <v>2.8571428571428572</v>
      </c>
      <c r="AT192" s="5">
        <f t="shared" si="349"/>
        <v>0.73135100035091627</v>
      </c>
      <c r="AU192" s="5">
        <f t="shared" si="304"/>
        <v>2.1257918567919409</v>
      </c>
      <c r="AV192" s="5"/>
      <c r="AW192" s="177">
        <f t="shared" si="305"/>
        <v>0.25597285012282067</v>
      </c>
      <c r="AX192" s="177">
        <f t="shared" si="259"/>
        <v>1.2480400000000003</v>
      </c>
      <c r="AY192" s="177">
        <f t="shared" si="260"/>
        <v>8287.1469736776689</v>
      </c>
      <c r="AZ192" s="177">
        <f t="shared" si="264"/>
        <v>1.5059947699300248E-4</v>
      </c>
      <c r="BA192" s="469">
        <f t="shared" si="350"/>
        <v>3.7498921501997473</v>
      </c>
      <c r="BB192" s="469">
        <f t="shared" si="351"/>
        <v>1.8036486401304253</v>
      </c>
      <c r="BC192" s="5">
        <f t="shared" si="359"/>
        <v>0.12105203628954106</v>
      </c>
      <c r="BD192" s="469">
        <f t="shared" si="352"/>
        <v>14.731244354744931</v>
      </c>
      <c r="BF192" s="177">
        <f t="shared" si="265"/>
        <v>0.14241998162539143</v>
      </c>
      <c r="BG192" s="177">
        <f t="shared" si="261"/>
        <v>11093.79197031478</v>
      </c>
      <c r="BI192" s="538">
        <f t="shared" si="306"/>
        <v>7.0992079081618909E-3</v>
      </c>
      <c r="BJ192" s="538">
        <f t="shared" si="307"/>
        <v>593.35068092254437</v>
      </c>
      <c r="BK192" s="538">
        <f t="shared" si="308"/>
        <v>4.3749999999999995E-3</v>
      </c>
      <c r="BL192" s="538">
        <f t="shared" si="309"/>
        <v>8462830.4513776898</v>
      </c>
      <c r="BM192">
        <f t="shared" si="310"/>
        <v>5.7999999999999996E-3</v>
      </c>
      <c r="BN192">
        <f t="shared" si="353"/>
        <v>1.3124999999999999E-5</v>
      </c>
      <c r="BO192" s="538">
        <f t="shared" si="354"/>
        <v>8474523.7842606232</v>
      </c>
      <c r="BP192" s="469">
        <f t="shared" si="311"/>
        <v>8463423819.332819</v>
      </c>
      <c r="BQ192" s="538">
        <f t="shared" si="355"/>
        <v>94027176.317887187</v>
      </c>
      <c r="BT192" s="469">
        <f t="shared" si="312"/>
        <v>94027176317.887192</v>
      </c>
      <c r="BU192" s="538">
        <f t="shared" si="313"/>
        <v>2.0283451166176834E-3</v>
      </c>
      <c r="BV192" s="538">
        <f t="shared" si="314"/>
        <v>3692166.6084186207</v>
      </c>
      <c r="BW192" s="538">
        <f t="shared" si="315"/>
        <v>0</v>
      </c>
      <c r="BX192" s="538"/>
      <c r="BY192" s="538">
        <f t="shared" si="316"/>
        <v>4.1601333333333339E-3</v>
      </c>
      <c r="BZ192" s="469">
        <f t="shared" si="317"/>
        <v>3692166614.6070991</v>
      </c>
      <c r="CA192" s="177">
        <f t="shared" si="318"/>
        <v>106182766.75182711</v>
      </c>
      <c r="CB192" s="5">
        <f t="shared" si="319"/>
        <v>1.23</v>
      </c>
      <c r="CC192" s="177">
        <f t="shared" si="320"/>
        <v>1.1583800492095959E-8</v>
      </c>
      <c r="CD192" s="5">
        <f t="shared" si="321"/>
        <v>1.1583800492095959E-6</v>
      </c>
      <c r="CG192" s="571">
        <f t="shared" si="356"/>
        <v>-50</v>
      </c>
      <c r="CH192">
        <f t="shared" si="357"/>
        <v>-50</v>
      </c>
    </row>
    <row r="193" spans="5:86" x14ac:dyDescent="0.25">
      <c r="E193" s="174">
        <v>83</v>
      </c>
      <c r="F193" s="221">
        <f t="shared" si="358"/>
        <v>8.3000000000000004E-2</v>
      </c>
      <c r="G193" s="221"/>
      <c r="H193" s="221">
        <f t="shared" si="322"/>
        <v>1.2450000000000001</v>
      </c>
      <c r="I193" s="551">
        <f t="shared" si="323"/>
        <v>20</v>
      </c>
      <c r="J193" s="451">
        <f t="shared" si="324"/>
        <v>695386.58000000007</v>
      </c>
      <c r="K193" s="451">
        <f t="shared" si="325"/>
        <v>695406.58000000007</v>
      </c>
      <c r="L193" s="451"/>
      <c r="M193" s="221">
        <f t="shared" si="326"/>
        <v>0.9999712398464794</v>
      </c>
      <c r="N193" s="176">
        <f t="shared" si="327"/>
        <v>6.9298006921361024</v>
      </c>
      <c r="O193" s="176">
        <f t="shared" si="262"/>
        <v>1.2450000000000001</v>
      </c>
      <c r="P193" s="221">
        <f t="shared" si="328"/>
        <v>0.4619867128090735</v>
      </c>
      <c r="Q193" s="221">
        <f t="shared" si="329"/>
        <v>15</v>
      </c>
      <c r="R193" s="221"/>
      <c r="S193" s="176">
        <f t="shared" si="330"/>
        <v>81.324864643678239</v>
      </c>
      <c r="T193" s="546">
        <f t="shared" si="331"/>
        <v>15</v>
      </c>
      <c r="U193" s="221">
        <f t="shared" si="332"/>
        <v>0.13833731193566223</v>
      </c>
      <c r="V193" s="221">
        <f t="shared" si="333"/>
        <v>0.20750596790349335</v>
      </c>
      <c r="W193" s="221">
        <f t="shared" si="334"/>
        <v>5.9680751360917363E-6</v>
      </c>
      <c r="X193" s="201">
        <f t="shared" si="335"/>
        <v>350</v>
      </c>
      <c r="Y193" s="451">
        <f t="shared" si="303"/>
        <v>350</v>
      </c>
      <c r="AA193" s="221">
        <f t="shared" si="336"/>
        <v>1.9047071235171036</v>
      </c>
      <c r="AB193" s="177">
        <f t="shared" si="337"/>
        <v>8.2171867201568798E-5</v>
      </c>
      <c r="AC193" s="177">
        <f t="shared" si="338"/>
        <v>1.2514141549591451</v>
      </c>
      <c r="AD193" s="177"/>
      <c r="AE193" s="177">
        <f t="shared" si="339"/>
        <v>6.4712206554230591E-6</v>
      </c>
      <c r="AF193" s="555">
        <f t="shared" si="340"/>
        <v>3742.9925925925936</v>
      </c>
      <c r="AG193" s="538">
        <f t="shared" si="341"/>
        <v>7.7611695137976321E-3</v>
      </c>
      <c r="AI193" s="177">
        <f t="shared" si="342"/>
        <v>0.49053129602600526</v>
      </c>
      <c r="AJ193" s="177">
        <f t="shared" si="343"/>
        <v>0.49053129602600526</v>
      </c>
      <c r="AK193" s="177">
        <f t="shared" si="344"/>
        <v>1.427020864017337</v>
      </c>
      <c r="AM193" s="555">
        <f t="shared" si="345"/>
        <v>83</v>
      </c>
      <c r="AN193" s="469">
        <f t="shared" si="346"/>
        <v>350</v>
      </c>
      <c r="AP193">
        <f t="shared" si="347"/>
        <v>83</v>
      </c>
      <c r="AQ193">
        <f t="shared" si="348"/>
        <v>350</v>
      </c>
      <c r="AS193" s="5">
        <f t="shared" si="263"/>
        <v>2.8571428571428572</v>
      </c>
      <c r="AT193" s="5">
        <f t="shared" si="349"/>
        <v>0.73579694403900797</v>
      </c>
      <c r="AU193" s="5">
        <f t="shared" si="304"/>
        <v>2.1213459131038492</v>
      </c>
      <c r="AV193" s="5"/>
      <c r="AW193" s="177">
        <f t="shared" si="305"/>
        <v>0.25752893041365277</v>
      </c>
      <c r="AX193" s="177">
        <f t="shared" si="259"/>
        <v>1.2632600000000003</v>
      </c>
      <c r="AY193" s="177">
        <f t="shared" si="260"/>
        <v>8320.0878850660774</v>
      </c>
      <c r="AZ193" s="177">
        <f t="shared" si="264"/>
        <v>1.518325307918268E-4</v>
      </c>
      <c r="BA193" s="469">
        <f t="shared" si="350"/>
        <v>3.7498921501997473</v>
      </c>
      <c r="BB193" s="469">
        <f t="shared" si="351"/>
        <v>1.8448717254399911</v>
      </c>
      <c r="BC193" s="5">
        <f t="shared" si="359"/>
        <v>0.12227202138029132</v>
      </c>
      <c r="BD193" s="469">
        <f t="shared" si="352"/>
        <v>14.880142565634959</v>
      </c>
      <c r="BF193" s="177">
        <f t="shared" si="265"/>
        <v>0.14372062772590111</v>
      </c>
      <c r="BG193" s="177">
        <f t="shared" si="261"/>
        <v>11149.554482756086</v>
      </c>
      <c r="BI193" s="538">
        <f t="shared" si="306"/>
        <v>7.2294665918744682E-3</v>
      </c>
      <c r="BJ193" s="538">
        <f t="shared" si="307"/>
        <v>596.95770916672097</v>
      </c>
      <c r="BK193" s="538">
        <f t="shared" si="308"/>
        <v>4.3749999999999995E-3</v>
      </c>
      <c r="BL193" s="538">
        <f t="shared" si="309"/>
        <v>8462830.4513776898</v>
      </c>
      <c r="BM193">
        <f t="shared" si="310"/>
        <v>5.7999999999999996E-3</v>
      </c>
      <c r="BN193">
        <f t="shared" si="353"/>
        <v>1.3124999999999999E-5</v>
      </c>
      <c r="BO193" s="538">
        <f t="shared" si="354"/>
        <v>8474731.334192194</v>
      </c>
      <c r="BP193" s="469">
        <f t="shared" si="311"/>
        <v>8463427426.4913216</v>
      </c>
      <c r="BQ193" s="538">
        <f t="shared" si="355"/>
        <v>94974799.809034467</v>
      </c>
      <c r="BT193" s="469">
        <f t="shared" si="312"/>
        <v>94974799809.03447</v>
      </c>
      <c r="BU193" s="538">
        <f t="shared" si="313"/>
        <v>2.0655618833927054E-3</v>
      </c>
      <c r="BV193" s="538">
        <f t="shared" si="314"/>
        <v>3729376.9549183897</v>
      </c>
      <c r="BW193" s="538">
        <f t="shared" si="315"/>
        <v>0</v>
      </c>
      <c r="BX193" s="538"/>
      <c r="BY193" s="538">
        <f t="shared" si="316"/>
        <v>4.2108666666666669E-3</v>
      </c>
      <c r="BZ193" s="469">
        <f t="shared" si="317"/>
        <v>3729376961.194818</v>
      </c>
      <c r="CA193" s="177">
        <f t="shared" si="318"/>
        <v>107167604.1967206</v>
      </c>
      <c r="CB193" s="5">
        <f t="shared" si="319"/>
        <v>1.2450000000000001</v>
      </c>
      <c r="CC193" s="177">
        <f t="shared" si="320"/>
        <v>1.1617316584320346E-8</v>
      </c>
      <c r="CD193" s="5">
        <f t="shared" si="321"/>
        <v>1.1617316584320345E-6</v>
      </c>
      <c r="CG193" s="571">
        <f t="shared" si="356"/>
        <v>-50</v>
      </c>
      <c r="CH193">
        <f t="shared" si="357"/>
        <v>-50</v>
      </c>
    </row>
    <row r="194" spans="5:86" x14ac:dyDescent="0.25">
      <c r="E194" s="174">
        <v>84</v>
      </c>
      <c r="F194" s="221">
        <f t="shared" si="358"/>
        <v>8.4000000000000005E-2</v>
      </c>
      <c r="G194" s="221"/>
      <c r="H194" s="221">
        <f t="shared" si="322"/>
        <v>1.26</v>
      </c>
      <c r="I194" s="551">
        <f t="shared" si="323"/>
        <v>20</v>
      </c>
      <c r="J194" s="451">
        <f t="shared" si="324"/>
        <v>695386.58000000007</v>
      </c>
      <c r="K194" s="451">
        <f t="shared" si="325"/>
        <v>695406.58000000007</v>
      </c>
      <c r="L194" s="451"/>
      <c r="M194" s="221">
        <f t="shared" si="326"/>
        <v>0.9999712398464794</v>
      </c>
      <c r="N194" s="176">
        <f t="shared" si="327"/>
        <v>6.9298006921361024</v>
      </c>
      <c r="O194" s="176">
        <f t="shared" si="262"/>
        <v>1.26</v>
      </c>
      <c r="P194" s="221">
        <f t="shared" si="328"/>
        <v>0.4619867128090735</v>
      </c>
      <c r="Q194" s="221">
        <f t="shared" si="329"/>
        <v>15</v>
      </c>
      <c r="R194" s="221"/>
      <c r="S194" s="176">
        <f t="shared" si="330"/>
        <v>80.356706310191782</v>
      </c>
      <c r="T194" s="546">
        <f t="shared" si="331"/>
        <v>15</v>
      </c>
      <c r="U194" s="221">
        <f t="shared" si="332"/>
        <v>0.14000402653729671</v>
      </c>
      <c r="V194" s="221">
        <f t="shared" si="333"/>
        <v>0.21000603980594509</v>
      </c>
      <c r="W194" s="221">
        <f t="shared" si="334"/>
        <v>6.0399796558036845E-6</v>
      </c>
      <c r="X194" s="201">
        <f t="shared" si="335"/>
        <v>350</v>
      </c>
      <c r="Y194" s="451">
        <f t="shared" si="303"/>
        <v>350</v>
      </c>
      <c r="AA194" s="221">
        <f t="shared" si="336"/>
        <v>1.9047071235171036</v>
      </c>
      <c r="AB194" s="177">
        <f t="shared" si="337"/>
        <v>8.2171867201568798E-5</v>
      </c>
      <c r="AC194" s="177">
        <f t="shared" si="338"/>
        <v>1.2514141549591451</v>
      </c>
      <c r="AD194" s="177"/>
      <c r="AE194" s="177">
        <f t="shared" si="339"/>
        <v>6.4712206554230591E-6</v>
      </c>
      <c r="AF194" s="555">
        <f t="shared" si="340"/>
        <v>3788.0888888888899</v>
      </c>
      <c r="AG194" s="538">
        <f t="shared" si="341"/>
        <v>7.7611695137976321E-3</v>
      </c>
      <c r="AI194" s="177">
        <f t="shared" si="342"/>
        <v>0.49347745642531637</v>
      </c>
      <c r="AJ194" s="177">
        <f t="shared" si="343"/>
        <v>0.49347745642531637</v>
      </c>
      <c r="AK194" s="177">
        <f t="shared" si="344"/>
        <v>1.4289849709502109</v>
      </c>
      <c r="AM194" s="555">
        <f t="shared" si="345"/>
        <v>84</v>
      </c>
      <c r="AN194" s="469">
        <f t="shared" si="346"/>
        <v>350</v>
      </c>
      <c r="AP194">
        <f t="shared" si="347"/>
        <v>84</v>
      </c>
      <c r="AQ194">
        <f t="shared" si="348"/>
        <v>350</v>
      </c>
      <c r="AS194" s="5">
        <f t="shared" si="263"/>
        <v>2.8571428571428572</v>
      </c>
      <c r="AT194" s="5">
        <f t="shared" si="349"/>
        <v>0.74021618463797456</v>
      </c>
      <c r="AU194" s="5">
        <f t="shared" si="304"/>
        <v>2.1169266725048828</v>
      </c>
      <c r="AV194" s="5"/>
      <c r="AW194" s="177">
        <f t="shared" si="305"/>
        <v>0.25907566462329107</v>
      </c>
      <c r="AX194" s="177">
        <f t="shared" si="259"/>
        <v>1.2784800000000003</v>
      </c>
      <c r="AY194" s="177">
        <f t="shared" si="260"/>
        <v>8352.6221173081412</v>
      </c>
      <c r="AZ194" s="177">
        <f t="shared" si="264"/>
        <v>1.5306331138227348E-4</v>
      </c>
      <c r="BA194" s="469">
        <f t="shared" si="350"/>
        <v>3.7498921501997473</v>
      </c>
      <c r="BB194" s="469">
        <f t="shared" si="351"/>
        <v>1.8865581208745212</v>
      </c>
      <c r="BC194" s="5">
        <f t="shared" si="359"/>
        <v>0.12348738922945147</v>
      </c>
      <c r="BD194" s="469">
        <f t="shared" si="352"/>
        <v>15.02848670753418</v>
      </c>
      <c r="BF194" s="177">
        <f t="shared" si="265"/>
        <v>0.14501736200545534</v>
      </c>
      <c r="BG194" s="177">
        <f t="shared" si="261"/>
        <v>11204.830018816685</v>
      </c>
      <c r="BI194" s="538">
        <f t="shared" si="306"/>
        <v>7.3605123490574484E-3</v>
      </c>
      <c r="BJ194" s="538">
        <f t="shared" si="307"/>
        <v>600.54307298969957</v>
      </c>
      <c r="BK194" s="538">
        <f t="shared" si="308"/>
        <v>4.3749999999999995E-3</v>
      </c>
      <c r="BL194" s="538">
        <f t="shared" si="309"/>
        <v>8462830.4513776898</v>
      </c>
      <c r="BM194">
        <f t="shared" si="310"/>
        <v>5.7999999999999996E-3</v>
      </c>
      <c r="BN194">
        <f t="shared" si="353"/>
        <v>1.3124999999999999E-5</v>
      </c>
      <c r="BO194" s="538">
        <f t="shared" si="354"/>
        <v>8474940.1047826093</v>
      </c>
      <c r="BP194" s="469">
        <f t="shared" si="311"/>
        <v>8463431011.9861908</v>
      </c>
      <c r="BQ194" s="538">
        <f t="shared" si="355"/>
        <v>95918836.857505664</v>
      </c>
      <c r="BT194" s="469">
        <f t="shared" si="312"/>
        <v>95918836857.505661</v>
      </c>
      <c r="BU194" s="538">
        <f t="shared" si="313"/>
        <v>2.1030035283021282E-3</v>
      </c>
      <c r="BV194" s="538">
        <f t="shared" si="314"/>
        <v>3766446.4725172655</v>
      </c>
      <c r="BW194" s="538">
        <f t="shared" si="315"/>
        <v>0</v>
      </c>
      <c r="BX194" s="538"/>
      <c r="BY194" s="538">
        <f t="shared" si="316"/>
        <v>4.2615999999999999E-3</v>
      </c>
      <c r="BZ194" s="469">
        <f t="shared" si="317"/>
        <v>3766446478.8818688</v>
      </c>
      <c r="CA194" s="177">
        <f t="shared" si="318"/>
        <v>108148714.34837373</v>
      </c>
      <c r="CB194" s="5">
        <f t="shared" si="319"/>
        <v>1.26</v>
      </c>
      <c r="CC194" s="177">
        <f t="shared" si="320"/>
        <v>1.1650623799941281E-8</v>
      </c>
      <c r="CD194" s="5">
        <f t="shared" si="321"/>
        <v>1.1650623799941281E-6</v>
      </c>
      <c r="CG194" s="571">
        <f t="shared" si="356"/>
        <v>-50</v>
      </c>
      <c r="CH194">
        <f t="shared" si="357"/>
        <v>-50</v>
      </c>
    </row>
    <row r="195" spans="5:86" x14ac:dyDescent="0.25">
      <c r="E195" s="174">
        <v>85</v>
      </c>
      <c r="F195" s="221">
        <f t="shared" si="358"/>
        <v>8.5000000000000006E-2</v>
      </c>
      <c r="G195" s="221"/>
      <c r="H195" s="221">
        <f t="shared" si="322"/>
        <v>1.2750000000000001</v>
      </c>
      <c r="I195" s="551">
        <f t="shared" si="323"/>
        <v>20</v>
      </c>
      <c r="J195" s="451">
        <f t="shared" si="324"/>
        <v>695386.58000000007</v>
      </c>
      <c r="K195" s="451">
        <f t="shared" si="325"/>
        <v>695406.58000000007</v>
      </c>
      <c r="L195" s="451"/>
      <c r="M195" s="221">
        <f t="shared" si="326"/>
        <v>0.9999712398464794</v>
      </c>
      <c r="N195" s="176">
        <f t="shared" si="327"/>
        <v>6.9298006921361024</v>
      </c>
      <c r="O195" s="176">
        <f t="shared" si="262"/>
        <v>1.2750000000000001</v>
      </c>
      <c r="P195" s="221">
        <f t="shared" si="328"/>
        <v>0.4619867128090735</v>
      </c>
      <c r="Q195" s="221">
        <f t="shared" si="329"/>
        <v>15</v>
      </c>
      <c r="R195" s="221"/>
      <c r="S195" s="176">
        <f t="shared" si="330"/>
        <v>79.41132817312031</v>
      </c>
      <c r="T195" s="546">
        <f t="shared" si="331"/>
        <v>15</v>
      </c>
      <c r="U195" s="221">
        <f t="shared" si="332"/>
        <v>0.14167074113893122</v>
      </c>
      <c r="V195" s="221">
        <f t="shared" si="333"/>
        <v>0.21250611170839681</v>
      </c>
      <c r="W195" s="221">
        <f t="shared" si="334"/>
        <v>6.1118841755156336E-6</v>
      </c>
      <c r="X195" s="201">
        <f t="shared" si="335"/>
        <v>350</v>
      </c>
      <c r="Y195" s="451">
        <f t="shared" si="303"/>
        <v>350</v>
      </c>
      <c r="AA195" s="221">
        <f t="shared" si="336"/>
        <v>1.9047071235171036</v>
      </c>
      <c r="AB195" s="177">
        <f t="shared" si="337"/>
        <v>8.2171867201568798E-5</v>
      </c>
      <c r="AC195" s="177">
        <f t="shared" si="338"/>
        <v>1.2514141549591451</v>
      </c>
      <c r="AD195" s="177"/>
      <c r="AE195" s="177">
        <f t="shared" si="339"/>
        <v>6.4712206554230591E-6</v>
      </c>
      <c r="AF195" s="555">
        <f t="shared" si="340"/>
        <v>3833.1851851851866</v>
      </c>
      <c r="AG195" s="538">
        <f t="shared" si="341"/>
        <v>7.7611695137976321E-3</v>
      </c>
      <c r="AI195" s="177">
        <f t="shared" si="342"/>
        <v>0.49640613172990483</v>
      </c>
      <c r="AJ195" s="177">
        <f t="shared" si="343"/>
        <v>0.49640613172990483</v>
      </c>
      <c r="AK195" s="177">
        <f t="shared" si="344"/>
        <v>1.4309374211532699</v>
      </c>
      <c r="AM195" s="555">
        <f t="shared" si="345"/>
        <v>85</v>
      </c>
      <c r="AN195" s="469">
        <f t="shared" si="346"/>
        <v>350</v>
      </c>
      <c r="AP195">
        <f t="shared" si="347"/>
        <v>85</v>
      </c>
      <c r="AQ195">
        <f t="shared" si="348"/>
        <v>350</v>
      </c>
      <c r="AS195" s="5">
        <f t="shared" si="263"/>
        <v>2.8571428571428572</v>
      </c>
      <c r="AT195" s="5">
        <f t="shared" si="349"/>
        <v>0.74460919759485733</v>
      </c>
      <c r="AU195" s="5">
        <f t="shared" si="304"/>
        <v>2.1125336595479998</v>
      </c>
      <c r="AV195" s="5"/>
      <c r="AW195" s="177">
        <f t="shared" si="305"/>
        <v>0.26061321915820007</v>
      </c>
      <c r="AX195" s="177">
        <f t="shared" si="259"/>
        <v>1.2937000000000001</v>
      </c>
      <c r="AY195" s="177">
        <f t="shared" si="260"/>
        <v>8384.7569113038116</v>
      </c>
      <c r="AZ195" s="177">
        <f t="shared" si="264"/>
        <v>1.5429189106912732E-4</v>
      </c>
      <c r="BA195" s="469">
        <f t="shared" si="350"/>
        <v>3.7498921501997473</v>
      </c>
      <c r="BB195" s="469">
        <f t="shared" si="351"/>
        <v>1.9287078264340161</v>
      </c>
      <c r="BC195" s="5">
        <f t="shared" si="359"/>
        <v>0.12469816740387496</v>
      </c>
      <c r="BD195" s="469">
        <f t="shared" si="352"/>
        <v>15.176280088464997</v>
      </c>
      <c r="BF195" s="177">
        <f t="shared" si="265"/>
        <v>0.14631024259189535</v>
      </c>
      <c r="BG195" s="177">
        <f t="shared" si="261"/>
        <v>11259.626995039072</v>
      </c>
      <c r="BI195" s="538">
        <f t="shared" si="306"/>
        <v>7.4923404805547428E-3</v>
      </c>
      <c r="BJ195" s="538">
        <f t="shared" si="307"/>
        <v>604.10715812531464</v>
      </c>
      <c r="BK195" s="538">
        <f t="shared" si="308"/>
        <v>4.3749999999999995E-3</v>
      </c>
      <c r="BL195" s="538">
        <f t="shared" si="309"/>
        <v>8462830.4513776898</v>
      </c>
      <c r="BM195">
        <f t="shared" si="310"/>
        <v>5.7999999999999996E-3</v>
      </c>
      <c r="BN195">
        <f t="shared" si="353"/>
        <v>1.3124999999999999E-5</v>
      </c>
      <c r="BO195" s="538">
        <f t="shared" si="354"/>
        <v>8475150.089239791</v>
      </c>
      <c r="BP195" s="469">
        <f t="shared" si="311"/>
        <v>8463434576.2031546</v>
      </c>
      <c r="BQ195" s="538">
        <f t="shared" si="355"/>
        <v>96859308.875855714</v>
      </c>
      <c r="BT195" s="469">
        <f t="shared" si="312"/>
        <v>96859308875.855713</v>
      </c>
      <c r="BU195" s="538">
        <f t="shared" si="313"/>
        <v>2.1406687087299268E-3</v>
      </c>
      <c r="BV195" s="538">
        <f t="shared" si="314"/>
        <v>3803376.0020223781</v>
      </c>
      <c r="BW195" s="538">
        <f t="shared" si="315"/>
        <v>0</v>
      </c>
      <c r="BX195" s="538"/>
      <c r="BY195" s="538">
        <f t="shared" si="316"/>
        <v>4.3123333333333338E-3</v>
      </c>
      <c r="BZ195" s="469">
        <f t="shared" si="317"/>
        <v>3803376008.4753799</v>
      </c>
      <c r="CA195" s="177">
        <f t="shared" si="318"/>
        <v>109126119.46053424</v>
      </c>
      <c r="CB195" s="5">
        <f t="shared" si="319"/>
        <v>1.2750000000000001</v>
      </c>
      <c r="CC195" s="177">
        <f t="shared" si="320"/>
        <v>1.1683728803023671E-8</v>
      </c>
      <c r="CD195" s="5">
        <f t="shared" si="321"/>
        <v>1.168372880302367E-6</v>
      </c>
      <c r="CG195" s="571">
        <f t="shared" si="356"/>
        <v>-50</v>
      </c>
      <c r="CH195">
        <f t="shared" si="357"/>
        <v>-50</v>
      </c>
    </row>
    <row r="196" spans="5:86" x14ac:dyDescent="0.25">
      <c r="E196" s="174">
        <v>86</v>
      </c>
      <c r="F196" s="221">
        <f t="shared" si="358"/>
        <v>8.6000000000000007E-2</v>
      </c>
      <c r="G196" s="221"/>
      <c r="H196" s="221">
        <f t="shared" si="322"/>
        <v>1.29</v>
      </c>
      <c r="I196" s="551">
        <f t="shared" si="323"/>
        <v>20</v>
      </c>
      <c r="J196" s="451">
        <f t="shared" si="324"/>
        <v>695386.58000000007</v>
      </c>
      <c r="K196" s="451">
        <f t="shared" si="325"/>
        <v>695406.58000000007</v>
      </c>
      <c r="L196" s="451"/>
      <c r="M196" s="221">
        <f t="shared" si="326"/>
        <v>0.9999712398464794</v>
      </c>
      <c r="N196" s="176">
        <f t="shared" si="327"/>
        <v>6.9298006921361024</v>
      </c>
      <c r="O196" s="176">
        <f t="shared" si="262"/>
        <v>1.29</v>
      </c>
      <c r="P196" s="221">
        <f t="shared" si="328"/>
        <v>0.4619867128090735</v>
      </c>
      <c r="Q196" s="221">
        <f t="shared" si="329"/>
        <v>15</v>
      </c>
      <c r="R196" s="221"/>
      <c r="S196" s="176">
        <f t="shared" si="330"/>
        <v>78.487935574449338</v>
      </c>
      <c r="T196" s="546">
        <f t="shared" si="331"/>
        <v>15</v>
      </c>
      <c r="U196" s="221">
        <f t="shared" si="332"/>
        <v>0.14333745574056567</v>
      </c>
      <c r="V196" s="221">
        <f t="shared" si="333"/>
        <v>0.2150061836108485</v>
      </c>
      <c r="W196" s="221">
        <f t="shared" si="334"/>
        <v>6.183788695227581E-6</v>
      </c>
      <c r="X196" s="201">
        <f t="shared" si="335"/>
        <v>350</v>
      </c>
      <c r="Y196" s="451">
        <f t="shared" si="303"/>
        <v>350</v>
      </c>
      <c r="AA196" s="221">
        <f t="shared" si="336"/>
        <v>1.9047071235171036</v>
      </c>
      <c r="AB196" s="177">
        <f t="shared" si="337"/>
        <v>8.2171867201568798E-5</v>
      </c>
      <c r="AC196" s="177">
        <f t="shared" si="338"/>
        <v>1.2514141549591451</v>
      </c>
      <c r="AD196" s="177"/>
      <c r="AE196" s="177">
        <f t="shared" si="339"/>
        <v>6.4712206554230591E-6</v>
      </c>
      <c r="AF196" s="555">
        <f t="shared" si="340"/>
        <v>3878.2814814814828</v>
      </c>
      <c r="AG196" s="538">
        <f t="shared" si="341"/>
        <v>7.7611695137976321E-3</v>
      </c>
      <c r="AI196" s="177">
        <f t="shared" si="342"/>
        <v>0.49931762960874437</v>
      </c>
      <c r="AJ196" s="177">
        <f t="shared" si="343"/>
        <v>0.49931762960874437</v>
      </c>
      <c r="AK196" s="177">
        <f t="shared" si="344"/>
        <v>1.4328784197391629</v>
      </c>
      <c r="AM196" s="555">
        <f t="shared" si="345"/>
        <v>86</v>
      </c>
      <c r="AN196" s="469">
        <f t="shared" si="346"/>
        <v>350</v>
      </c>
      <c r="AP196">
        <f t="shared" si="347"/>
        <v>86</v>
      </c>
      <c r="AQ196">
        <f t="shared" si="348"/>
        <v>350</v>
      </c>
      <c r="AS196" s="5">
        <f t="shared" si="263"/>
        <v>2.8571428571428572</v>
      </c>
      <c r="AT196" s="5">
        <f t="shared" si="349"/>
        <v>0.7489764444131165</v>
      </c>
      <c r="AU196" s="5">
        <f t="shared" si="304"/>
        <v>2.1081664127297408</v>
      </c>
      <c r="AV196" s="5"/>
      <c r="AW196" s="177">
        <f t="shared" si="305"/>
        <v>0.26214175554459079</v>
      </c>
      <c r="AX196" s="177">
        <f t="shared" si="259"/>
        <v>1.3089200000000001</v>
      </c>
      <c r="AY196" s="177">
        <f t="shared" si="260"/>
        <v>8416.499295596961</v>
      </c>
      <c r="AZ196" s="177">
        <f t="shared" si="264"/>
        <v>1.5551834011139922E-4</v>
      </c>
      <c r="BA196" s="469">
        <f t="shared" si="350"/>
        <v>3.7498921501997473</v>
      </c>
      <c r="BB196" s="469">
        <f t="shared" si="351"/>
        <v>1.9713208421184751</v>
      </c>
      <c r="BC196" s="5">
        <f t="shared" si="359"/>
        <v>0.12590438298247061</v>
      </c>
      <c r="BD196" s="469">
        <f t="shared" si="352"/>
        <v>15.323525957896477</v>
      </c>
      <c r="BF196" s="177">
        <f t="shared" si="265"/>
        <v>0.14759932607654158</v>
      </c>
      <c r="BG196" s="177">
        <f t="shared" si="261"/>
        <v>11313.953581541437</v>
      </c>
      <c r="BI196" s="538">
        <f t="shared" si="306"/>
        <v>7.6249463703872361E-3</v>
      </c>
      <c r="BJ196" s="538">
        <f t="shared" si="307"/>
        <v>607.65033899486662</v>
      </c>
      <c r="BK196" s="538">
        <f t="shared" si="308"/>
        <v>4.3749999999999995E-3</v>
      </c>
      <c r="BL196" s="538">
        <f t="shared" si="309"/>
        <v>8462830.4513776898</v>
      </c>
      <c r="BM196">
        <f t="shared" si="310"/>
        <v>5.7999999999999996E-3</v>
      </c>
      <c r="BN196">
        <f t="shared" si="353"/>
        <v>1.3124999999999999E-5</v>
      </c>
      <c r="BO196" s="538">
        <f t="shared" si="354"/>
        <v>8475361.2808902487</v>
      </c>
      <c r="BP196" s="469">
        <f t="shared" si="311"/>
        <v>8463438119.5166302</v>
      </c>
      <c r="BQ196" s="538">
        <f t="shared" si="355"/>
        <v>97796236.897628531</v>
      </c>
      <c r="BT196" s="469">
        <f t="shared" si="312"/>
        <v>97796236897.628525</v>
      </c>
      <c r="BU196" s="538">
        <f t="shared" si="313"/>
        <v>2.1785561058249247E-3</v>
      </c>
      <c r="BV196" s="538">
        <f t="shared" si="314"/>
        <v>3840166.3693582285</v>
      </c>
      <c r="BW196" s="538">
        <f t="shared" si="315"/>
        <v>0</v>
      </c>
      <c r="BX196" s="538"/>
      <c r="BY196" s="538">
        <f t="shared" si="316"/>
        <v>4.3630666666666668E-3</v>
      </c>
      <c r="BZ196" s="469">
        <f t="shared" si="317"/>
        <v>3840166375.8998513</v>
      </c>
      <c r="CA196" s="177">
        <f t="shared" si="318"/>
        <v>110099841.39304499</v>
      </c>
      <c r="CB196" s="5">
        <f t="shared" si="319"/>
        <v>1.29</v>
      </c>
      <c r="CC196" s="177">
        <f t="shared" si="320"/>
        <v>1.1716637994784852E-8</v>
      </c>
      <c r="CD196" s="5">
        <f t="shared" si="321"/>
        <v>1.1716637994784851E-6</v>
      </c>
      <c r="CG196" s="571">
        <f t="shared" si="356"/>
        <v>-50</v>
      </c>
      <c r="CH196">
        <f t="shared" si="357"/>
        <v>-50</v>
      </c>
    </row>
    <row r="197" spans="5:86" x14ac:dyDescent="0.25">
      <c r="E197" s="174">
        <v>87</v>
      </c>
      <c r="F197" s="221">
        <f t="shared" si="358"/>
        <v>8.7000000000000008E-2</v>
      </c>
      <c r="G197" s="221"/>
      <c r="H197" s="221">
        <f t="shared" si="322"/>
        <v>1.3050000000000002</v>
      </c>
      <c r="I197" s="551">
        <f t="shared" si="323"/>
        <v>20</v>
      </c>
      <c r="J197" s="451">
        <f t="shared" si="324"/>
        <v>695386.58000000007</v>
      </c>
      <c r="K197" s="451">
        <f t="shared" si="325"/>
        <v>695406.58000000007</v>
      </c>
      <c r="L197" s="451"/>
      <c r="M197" s="221">
        <f t="shared" si="326"/>
        <v>0.9999712398464794</v>
      </c>
      <c r="N197" s="176">
        <f t="shared" si="327"/>
        <v>6.9298006921361024</v>
      </c>
      <c r="O197" s="176">
        <f t="shared" si="262"/>
        <v>1.3050000000000002</v>
      </c>
      <c r="P197" s="221">
        <f t="shared" si="328"/>
        <v>0.4619867128090735</v>
      </c>
      <c r="Q197" s="221">
        <f t="shared" si="329"/>
        <v>15</v>
      </c>
      <c r="R197" s="221"/>
      <c r="S197" s="176">
        <f t="shared" si="330"/>
        <v>77.585770392165003</v>
      </c>
      <c r="T197" s="546">
        <f t="shared" si="331"/>
        <v>15</v>
      </c>
      <c r="U197" s="221">
        <f t="shared" si="332"/>
        <v>0.14500417034220017</v>
      </c>
      <c r="V197" s="221">
        <f t="shared" si="333"/>
        <v>0.21750625551330027</v>
      </c>
      <c r="W197" s="221">
        <f t="shared" si="334"/>
        <v>6.25569321493953E-6</v>
      </c>
      <c r="X197" s="201">
        <f t="shared" si="335"/>
        <v>350</v>
      </c>
      <c r="Y197" s="451">
        <f t="shared" si="303"/>
        <v>350</v>
      </c>
      <c r="AA197" s="221">
        <f t="shared" si="336"/>
        <v>1.9047071235171036</v>
      </c>
      <c r="AB197" s="177">
        <f t="shared" si="337"/>
        <v>8.2171867201568798E-5</v>
      </c>
      <c r="AC197" s="177">
        <f t="shared" si="338"/>
        <v>1.2514141549591451</v>
      </c>
      <c r="AD197" s="177"/>
      <c r="AE197" s="177">
        <f t="shared" si="339"/>
        <v>6.4712206554230591E-6</v>
      </c>
      <c r="AF197" s="555">
        <f t="shared" si="340"/>
        <v>3923.3777777777791</v>
      </c>
      <c r="AG197" s="538">
        <f t="shared" si="341"/>
        <v>7.7611695137976321E-3</v>
      </c>
      <c r="AI197" s="177">
        <f t="shared" si="342"/>
        <v>0.50221224881233517</v>
      </c>
      <c r="AJ197" s="177">
        <f t="shared" si="343"/>
        <v>0.50221224881233517</v>
      </c>
      <c r="AK197" s="177">
        <f t="shared" si="344"/>
        <v>1.4348081658748901</v>
      </c>
      <c r="AM197" s="555">
        <f t="shared" si="345"/>
        <v>87.000000000000014</v>
      </c>
      <c r="AN197" s="469">
        <f t="shared" si="346"/>
        <v>350</v>
      </c>
      <c r="AP197">
        <f t="shared" si="347"/>
        <v>87.000000000000014</v>
      </c>
      <c r="AQ197">
        <f t="shared" si="348"/>
        <v>350</v>
      </c>
      <c r="AS197" s="5">
        <f t="shared" si="263"/>
        <v>2.8571428571428572</v>
      </c>
      <c r="AT197" s="5">
        <f t="shared" si="349"/>
        <v>0.7533183732185027</v>
      </c>
      <c r="AU197" s="5">
        <f t="shared" si="304"/>
        <v>2.1038244839243543</v>
      </c>
      <c r="AV197" s="5"/>
      <c r="AW197" s="177">
        <f t="shared" si="305"/>
        <v>0.26366143062647596</v>
      </c>
      <c r="AX197" s="177">
        <f t="shared" ref="AX197:AX210" si="360">0.5*L*AJ197^2*AN197*1000</f>
        <v>1.3241400000000001</v>
      </c>
      <c r="AY197" s="177">
        <f t="shared" ref="AY197:AY210" si="361">AJ197*Nps/2*(1-AW197)</f>
        <v>8447.8560949933908</v>
      </c>
      <c r="AZ197" s="177">
        <f t="shared" si="264"/>
        <v>1.5674272680671605E-4</v>
      </c>
      <c r="BA197" s="469">
        <f t="shared" si="350"/>
        <v>3.7498921501997473</v>
      </c>
      <c r="BB197" s="469">
        <f t="shared" si="351"/>
        <v>2.0143971679278985</v>
      </c>
      <c r="BC197" s="5">
        <f t="shared" si="359"/>
        <v>0.12710606257042975</v>
      </c>
      <c r="BD197" s="469">
        <f t="shared" si="352"/>
        <v>15.470227508451567</v>
      </c>
      <c r="BF197" s="177">
        <f t="shared" si="265"/>
        <v>0.148884667572181</v>
      </c>
      <c r="BG197" s="177">
        <f t="shared" ref="BG197:BG210" si="362">AJ197*Nps*SQRT((1-AW197)/3)</f>
        <v>11367.817712004111</v>
      </c>
      <c r="BI197" s="538">
        <f t="shared" si="306"/>
        <v>7.7583254833275949E-3</v>
      </c>
      <c r="BJ197" s="538">
        <f t="shared" si="307"/>
        <v>611.17297916621646</v>
      </c>
      <c r="BK197" s="538">
        <f t="shared" si="308"/>
        <v>4.3749999999999995E-3</v>
      </c>
      <c r="BL197" s="538">
        <f t="shared" si="309"/>
        <v>8462830.4513776898</v>
      </c>
      <c r="BM197">
        <f t="shared" si="310"/>
        <v>5.7999999999999996E-3</v>
      </c>
      <c r="BN197">
        <f t="shared" si="353"/>
        <v>1.3124999999999999E-5</v>
      </c>
      <c r="BO197" s="538">
        <f t="shared" si="354"/>
        <v>8475573.673175741</v>
      </c>
      <c r="BP197" s="469">
        <f t="shared" si="311"/>
        <v>8463441642.2901802</v>
      </c>
      <c r="BQ197" s="538">
        <f t="shared" si="355"/>
        <v>98729641.588408217</v>
      </c>
      <c r="BT197" s="469">
        <f t="shared" si="312"/>
        <v>98729641588.408218</v>
      </c>
      <c r="BU197" s="538">
        <f t="shared" si="313"/>
        <v>2.2166644238078843E-3</v>
      </c>
      <c r="BV197" s="538">
        <f t="shared" si="314"/>
        <v>3876818.3860006314</v>
      </c>
      <c r="BW197" s="538">
        <f t="shared" si="315"/>
        <v>0</v>
      </c>
      <c r="BX197" s="538"/>
      <c r="BY197" s="538">
        <f t="shared" si="316"/>
        <v>4.4138000000000007E-3</v>
      </c>
      <c r="BZ197" s="469">
        <f t="shared" si="317"/>
        <v>3876818392.6310959</v>
      </c>
      <c r="CA197" s="177">
        <f t="shared" si="318"/>
        <v>111069901.62332949</v>
      </c>
      <c r="CB197" s="5">
        <f t="shared" si="319"/>
        <v>1.3050000000000002</v>
      </c>
      <c r="CC197" s="177">
        <f t="shared" si="320"/>
        <v>1.1749357527052874E-8</v>
      </c>
      <c r="CD197" s="5">
        <f t="shared" si="321"/>
        <v>1.1749357527052873E-6</v>
      </c>
      <c r="CG197" s="571">
        <f t="shared" si="356"/>
        <v>-50</v>
      </c>
      <c r="CH197">
        <f t="shared" si="357"/>
        <v>-50</v>
      </c>
    </row>
    <row r="198" spans="5:86" x14ac:dyDescent="0.25">
      <c r="E198" s="174">
        <v>88</v>
      </c>
      <c r="F198" s="221">
        <f t="shared" si="358"/>
        <v>8.8000000000000009E-2</v>
      </c>
      <c r="G198" s="221"/>
      <c r="H198" s="221">
        <f t="shared" si="322"/>
        <v>1.32</v>
      </c>
      <c r="I198" s="551">
        <f t="shared" si="323"/>
        <v>20</v>
      </c>
      <c r="J198" s="451">
        <f t="shared" si="324"/>
        <v>695386.58000000007</v>
      </c>
      <c r="K198" s="451">
        <f t="shared" si="325"/>
        <v>695406.58000000007</v>
      </c>
      <c r="L198" s="451"/>
      <c r="M198" s="221">
        <f t="shared" si="326"/>
        <v>0.9999712398464794</v>
      </c>
      <c r="N198" s="176">
        <f t="shared" si="327"/>
        <v>6.9298006921361024</v>
      </c>
      <c r="O198" s="176">
        <f t="shared" ref="O198:O261" si="363">T198*F198</f>
        <v>1.32</v>
      </c>
      <c r="P198" s="221">
        <f t="shared" si="328"/>
        <v>0.4619867128090735</v>
      </c>
      <c r="Q198" s="221">
        <f t="shared" si="329"/>
        <v>15</v>
      </c>
      <c r="R198" s="221"/>
      <c r="S198" s="176">
        <f t="shared" si="330"/>
        <v>76.704108964345025</v>
      </c>
      <c r="T198" s="546">
        <f t="shared" si="331"/>
        <v>15</v>
      </c>
      <c r="U198" s="221">
        <f t="shared" si="332"/>
        <v>0.14667088494383465</v>
      </c>
      <c r="V198" s="221">
        <f t="shared" si="333"/>
        <v>0.22000632741575196</v>
      </c>
      <c r="W198" s="221">
        <f t="shared" si="334"/>
        <v>6.3275977346514783E-6</v>
      </c>
      <c r="X198" s="201">
        <f t="shared" si="335"/>
        <v>350</v>
      </c>
      <c r="Y198" s="451">
        <f t="shared" si="303"/>
        <v>350</v>
      </c>
      <c r="AA198" s="221">
        <f t="shared" si="336"/>
        <v>1.9047071235171036</v>
      </c>
      <c r="AB198" s="177">
        <f t="shared" si="337"/>
        <v>8.2171867201568798E-5</v>
      </c>
      <c r="AC198" s="177">
        <f t="shared" si="338"/>
        <v>1.2514141549591451</v>
      </c>
      <c r="AD198" s="177"/>
      <c r="AE198" s="177">
        <f t="shared" si="339"/>
        <v>6.4712206554230591E-6</v>
      </c>
      <c r="AF198" s="555">
        <f t="shared" si="340"/>
        <v>3968.4740740740754</v>
      </c>
      <c r="AG198" s="538">
        <f t="shared" si="341"/>
        <v>7.7611695137976321E-3</v>
      </c>
      <c r="AI198" s="177">
        <f t="shared" si="342"/>
        <v>0.5050902795304919</v>
      </c>
      <c r="AJ198" s="177">
        <f t="shared" si="343"/>
        <v>0.5050902795304919</v>
      </c>
      <c r="AK198" s="177">
        <f t="shared" si="344"/>
        <v>1.4367268530203279</v>
      </c>
      <c r="AM198" s="555">
        <f t="shared" si="345"/>
        <v>88.000000000000014</v>
      </c>
      <c r="AN198" s="469">
        <f t="shared" si="346"/>
        <v>350</v>
      </c>
      <c r="AP198">
        <f t="shared" si="347"/>
        <v>88.000000000000014</v>
      </c>
      <c r="AQ198">
        <f t="shared" si="348"/>
        <v>350</v>
      </c>
      <c r="AS198" s="5">
        <f t="shared" ref="AS198:AS262" si="364">1/AN198*1000</f>
        <v>2.8571428571428572</v>
      </c>
      <c r="AT198" s="5">
        <f t="shared" si="349"/>
        <v>0.75763541929573786</v>
      </c>
      <c r="AU198" s="5">
        <f t="shared" si="304"/>
        <v>2.0995074378471195</v>
      </c>
      <c r="AV198" s="5"/>
      <c r="AW198" s="177">
        <f t="shared" si="305"/>
        <v>0.26517239675350823</v>
      </c>
      <c r="AX198" s="177">
        <f t="shared" si="360"/>
        <v>1.3393599999999997</v>
      </c>
      <c r="AY198" s="177">
        <f t="shared" si="361"/>
        <v>8478.833938734324</v>
      </c>
      <c r="AZ198" s="177">
        <f t="shared" ref="AZ198:AZ210" si="365">AX198/AY198</f>
        <v>1.5796511757133579E-4</v>
      </c>
      <c r="BA198" s="469">
        <f t="shared" si="350"/>
        <v>3.7498921501997473</v>
      </c>
      <c r="BB198" s="469">
        <f t="shared" si="351"/>
        <v>2.0579368038622867</v>
      </c>
      <c r="BC198" s="5">
        <f t="shared" si="359"/>
        <v>0.12830323231287949</v>
      </c>
      <c r="BD198" s="469">
        <f t="shared" si="352"/>
        <v>15.616387877545542</v>
      </c>
      <c r="BF198" s="177">
        <f t="shared" ref="BF198:BF210" si="366">AJ198*SQRT(AW198/3)</f>
        <v>0.15016632076822459</v>
      </c>
      <c r="BG198" s="177">
        <f t="shared" si="362"/>
        <v>11421.22709314128</v>
      </c>
      <c r="BI198" s="538">
        <f t="shared" si="306"/>
        <v>7.8924733625728612E-3</v>
      </c>
      <c r="BJ198" s="538">
        <f t="shared" si="307"/>
        <v>614.67543178920096</v>
      </c>
      <c r="BK198" s="538">
        <f t="shared" si="308"/>
        <v>4.3749999999999995E-3</v>
      </c>
      <c r="BL198" s="538">
        <f t="shared" si="309"/>
        <v>8462830.4513776898</v>
      </c>
      <c r="BM198">
        <f t="shared" si="310"/>
        <v>5.7999999999999996E-3</v>
      </c>
      <c r="BN198">
        <f t="shared" si="353"/>
        <v>1.3124999999999999E-5</v>
      </c>
      <c r="BO198" s="538">
        <f t="shared" si="354"/>
        <v>8475787.2596500944</v>
      </c>
      <c r="BP198" s="469">
        <f t="shared" si="311"/>
        <v>8463445144.8769512</v>
      </c>
      <c r="BQ198" s="538">
        <f t="shared" si="355"/>
        <v>99659543.256423756</v>
      </c>
      <c r="BT198" s="469">
        <f t="shared" si="312"/>
        <v>99659543256.423752</v>
      </c>
      <c r="BU198" s="538">
        <f t="shared" si="313"/>
        <v>2.2549923893065318E-3</v>
      </c>
      <c r="BV198" s="538">
        <f t="shared" si="314"/>
        <v>3913332.8493931326</v>
      </c>
      <c r="BW198" s="538">
        <f t="shared" si="315"/>
        <v>0</v>
      </c>
      <c r="BX198" s="538"/>
      <c r="BY198" s="538">
        <f t="shared" si="316"/>
        <v>4.4645333333333329E-3</v>
      </c>
      <c r="BZ198" s="469">
        <f t="shared" si="317"/>
        <v>3913332856.112658</v>
      </c>
      <c r="CA198" s="177">
        <f t="shared" si="318"/>
        <v>112036321.25741337</v>
      </c>
      <c r="CB198" s="5">
        <f t="shared" si="319"/>
        <v>1.32</v>
      </c>
      <c r="CC198" s="177">
        <f t="shared" si="320"/>
        <v>1.1781893314892803E-8</v>
      </c>
      <c r="CD198" s="5">
        <f t="shared" si="321"/>
        <v>1.1781893314892803E-6</v>
      </c>
      <c r="CG198" s="571">
        <f t="shared" si="356"/>
        <v>-50</v>
      </c>
      <c r="CH198">
        <f t="shared" si="357"/>
        <v>-50</v>
      </c>
    </row>
    <row r="199" spans="5:86" x14ac:dyDescent="0.25">
      <c r="E199" s="174">
        <v>89</v>
      </c>
      <c r="F199" s="221">
        <f t="shared" si="358"/>
        <v>8.900000000000001E-2</v>
      </c>
      <c r="G199" s="221"/>
      <c r="H199" s="221">
        <f t="shared" si="322"/>
        <v>1.3350000000000002</v>
      </c>
      <c r="I199" s="551">
        <f t="shared" si="323"/>
        <v>20</v>
      </c>
      <c r="J199" s="451">
        <f t="shared" si="324"/>
        <v>695386.58000000007</v>
      </c>
      <c r="K199" s="451">
        <f t="shared" si="325"/>
        <v>695406.58000000007</v>
      </c>
      <c r="L199" s="451"/>
      <c r="M199" s="221">
        <f t="shared" si="326"/>
        <v>0.9999712398464794</v>
      </c>
      <c r="N199" s="176">
        <f t="shared" si="327"/>
        <v>6.9298006921361024</v>
      </c>
      <c r="O199" s="176">
        <f t="shared" si="363"/>
        <v>1.3350000000000002</v>
      </c>
      <c r="P199" s="221">
        <f t="shared" si="328"/>
        <v>0.4619867128090735</v>
      </c>
      <c r="Q199" s="221">
        <f t="shared" si="329"/>
        <v>15</v>
      </c>
      <c r="R199" s="221"/>
      <c r="S199" s="176">
        <f t="shared" si="330"/>
        <v>75.84226015319841</v>
      </c>
      <c r="T199" s="546">
        <f t="shared" si="331"/>
        <v>15</v>
      </c>
      <c r="U199" s="221">
        <f t="shared" si="332"/>
        <v>0.14833759954546916</v>
      </c>
      <c r="V199" s="221">
        <f t="shared" si="333"/>
        <v>0.22250639931820373</v>
      </c>
      <c r="W199" s="221">
        <f t="shared" si="334"/>
        <v>6.3995022543634282E-6</v>
      </c>
      <c r="X199" s="201">
        <f t="shared" si="335"/>
        <v>350</v>
      </c>
      <c r="Y199" s="451">
        <f t="shared" si="303"/>
        <v>350</v>
      </c>
      <c r="AA199" s="221">
        <f t="shared" si="336"/>
        <v>1.9047071235171036</v>
      </c>
      <c r="AB199" s="177">
        <f t="shared" si="337"/>
        <v>8.2171867201568798E-5</v>
      </c>
      <c r="AC199" s="177">
        <f t="shared" si="338"/>
        <v>1.2514141549591451</v>
      </c>
      <c r="AD199" s="177"/>
      <c r="AE199" s="177">
        <f t="shared" si="339"/>
        <v>6.4712206554230591E-6</v>
      </c>
      <c r="AF199" s="555">
        <f t="shared" si="340"/>
        <v>4013.5703703703716</v>
      </c>
      <c r="AG199" s="538">
        <f t="shared" si="341"/>
        <v>7.7611695137976321E-3</v>
      </c>
      <c r="AI199" s="177">
        <f t="shared" si="342"/>
        <v>0.5079520037318862</v>
      </c>
      <c r="AJ199" s="177">
        <f t="shared" si="343"/>
        <v>0.5079520037318862</v>
      </c>
      <c r="AK199" s="177">
        <f t="shared" si="344"/>
        <v>1.4386346691545908</v>
      </c>
      <c r="AM199" s="555">
        <f t="shared" si="345"/>
        <v>89.000000000000014</v>
      </c>
      <c r="AN199" s="469">
        <f t="shared" si="346"/>
        <v>350</v>
      </c>
      <c r="AP199">
        <f t="shared" si="347"/>
        <v>89.000000000000014</v>
      </c>
      <c r="AQ199">
        <f t="shared" si="348"/>
        <v>350</v>
      </c>
      <c r="AS199" s="5">
        <f t="shared" si="364"/>
        <v>2.8571428571428572</v>
      </c>
      <c r="AT199" s="5">
        <f t="shared" si="349"/>
        <v>0.76192800559782936</v>
      </c>
      <c r="AU199" s="5">
        <f t="shared" si="304"/>
        <v>2.0952148515450277</v>
      </c>
      <c r="AV199" s="5"/>
      <c r="AW199" s="177">
        <f t="shared" si="305"/>
        <v>0.26667480195924026</v>
      </c>
      <c r="AX199" s="177">
        <f t="shared" si="360"/>
        <v>1.3545800000000001</v>
      </c>
      <c r="AY199" s="177">
        <f t="shared" si="361"/>
        <v>8509.4392682530743</v>
      </c>
      <c r="AZ199" s="177">
        <f t="shared" si="365"/>
        <v>1.5918557701606178E-4</v>
      </c>
      <c r="BA199" s="469">
        <f t="shared" si="350"/>
        <v>3.7498921501997473</v>
      </c>
      <c r="BB199" s="469">
        <f t="shared" si="351"/>
        <v>2.1019397499216388</v>
      </c>
      <c r="BC199" s="5">
        <f t="shared" si="359"/>
        <v>0.12949591790799131</v>
      </c>
      <c r="BD199" s="469">
        <f t="shared" si="352"/>
        <v>15.762010148958955</v>
      </c>
      <c r="BF199" s="177">
        <f t="shared" si="366"/>
        <v>0.15144433798320517</v>
      </c>
      <c r="BG199" s="177">
        <f t="shared" si="362"/>
        <v>11474.189213690057</v>
      </c>
      <c r="BI199" s="538">
        <f t="shared" si="306"/>
        <v>8.0273856275099465E-3</v>
      </c>
      <c r="BJ199" s="538">
        <f t="shared" si="307"/>
        <v>618.15804000884202</v>
      </c>
      <c r="BK199" s="538">
        <f t="shared" si="308"/>
        <v>4.3749999999999995E-3</v>
      </c>
      <c r="BL199" s="538">
        <f t="shared" si="309"/>
        <v>8462830.4513776898</v>
      </c>
      <c r="BM199">
        <f t="shared" si="310"/>
        <v>5.7999999999999996E-3</v>
      </c>
      <c r="BN199">
        <f t="shared" si="353"/>
        <v>1.3124999999999999E-5</v>
      </c>
      <c r="BO199" s="538">
        <f t="shared" si="354"/>
        <v>8476002.0339761134</v>
      </c>
      <c r="BP199" s="469">
        <f t="shared" si="311"/>
        <v>8463448627.6200838</v>
      </c>
      <c r="BQ199" s="538">
        <f t="shared" si="355"/>
        <v>100585961.86273128</v>
      </c>
      <c r="BT199" s="469">
        <f t="shared" si="312"/>
        <v>100585961862.73128</v>
      </c>
      <c r="BU199" s="538">
        <f t="shared" si="313"/>
        <v>2.2935387507171281E-3</v>
      </c>
      <c r="BV199" s="538">
        <f t="shared" si="314"/>
        <v>3949710.5433468376</v>
      </c>
      <c r="BW199" s="538">
        <f t="shared" si="315"/>
        <v>0</v>
      </c>
      <c r="BX199" s="538"/>
      <c r="BY199" s="538">
        <f t="shared" si="316"/>
        <v>4.5152666666666685E-3</v>
      </c>
      <c r="BZ199" s="469">
        <f t="shared" si="317"/>
        <v>3949710550.155643</v>
      </c>
      <c r="CA199" s="177">
        <f t="shared" si="318"/>
        <v>112999121.040507</v>
      </c>
      <c r="CB199" s="5">
        <f t="shared" si="319"/>
        <v>1.3350000000000002</v>
      </c>
      <c r="CC199" s="177">
        <f t="shared" si="320"/>
        <v>1.1814251048460945E-8</v>
      </c>
      <c r="CD199" s="5">
        <f t="shared" si="321"/>
        <v>1.1814251048460945E-6</v>
      </c>
      <c r="CG199" s="571">
        <f t="shared" si="356"/>
        <v>-50</v>
      </c>
      <c r="CH199">
        <f t="shared" si="357"/>
        <v>-50</v>
      </c>
    </row>
    <row r="200" spans="5:86" x14ac:dyDescent="0.25">
      <c r="E200" s="174">
        <v>90</v>
      </c>
      <c r="F200" s="221">
        <f t="shared" si="358"/>
        <v>9.0000000000000011E-2</v>
      </c>
      <c r="G200" s="221"/>
      <c r="H200" s="221">
        <f t="shared" si="322"/>
        <v>1.35</v>
      </c>
      <c r="I200" s="551">
        <f t="shared" si="323"/>
        <v>20</v>
      </c>
      <c r="J200" s="451">
        <f t="shared" si="324"/>
        <v>695386.58000000007</v>
      </c>
      <c r="K200" s="451">
        <f t="shared" si="325"/>
        <v>695406.58000000007</v>
      </c>
      <c r="L200" s="451"/>
      <c r="M200" s="221">
        <f t="shared" si="326"/>
        <v>0.9999712398464794</v>
      </c>
      <c r="N200" s="176">
        <f t="shared" si="327"/>
        <v>6.9298006921361024</v>
      </c>
      <c r="O200" s="176">
        <f t="shared" si="363"/>
        <v>1.35</v>
      </c>
      <c r="P200" s="221">
        <f t="shared" si="328"/>
        <v>0.4619867128090735</v>
      </c>
      <c r="Q200" s="221">
        <f t="shared" si="329"/>
        <v>15</v>
      </c>
      <c r="R200" s="221"/>
      <c r="S200" s="176">
        <f t="shared" si="330"/>
        <v>74.999563538169369</v>
      </c>
      <c r="T200" s="546">
        <f t="shared" si="331"/>
        <v>15</v>
      </c>
      <c r="U200" s="221">
        <f t="shared" si="332"/>
        <v>0.15000431414710363</v>
      </c>
      <c r="V200" s="221">
        <f t="shared" si="333"/>
        <v>0.22500647122065545</v>
      </c>
      <c r="W200" s="221">
        <f t="shared" si="334"/>
        <v>6.4714067740753764E-6</v>
      </c>
      <c r="X200" s="201">
        <f t="shared" si="335"/>
        <v>350</v>
      </c>
      <c r="Y200" s="451">
        <f t="shared" si="303"/>
        <v>350</v>
      </c>
      <c r="AA200" s="221">
        <f t="shared" si="336"/>
        <v>1.9047071235171036</v>
      </c>
      <c r="AB200" s="177">
        <f t="shared" si="337"/>
        <v>8.2171867201568798E-5</v>
      </c>
      <c r="AC200" s="177">
        <f t="shared" si="338"/>
        <v>1.2514141549591451</v>
      </c>
      <c r="AD200" s="177"/>
      <c r="AE200" s="177">
        <f t="shared" si="339"/>
        <v>6.4712206554230591E-6</v>
      </c>
      <c r="AF200" s="555">
        <f t="shared" si="340"/>
        <v>4058.6666666666683</v>
      </c>
      <c r="AG200" s="538">
        <f t="shared" si="341"/>
        <v>7.7611695137976321E-3</v>
      </c>
      <c r="AI200" s="177">
        <f t="shared" si="342"/>
        <v>0.51079769548646725</v>
      </c>
      <c r="AJ200" s="177">
        <f t="shared" si="343"/>
        <v>0.51079769548646725</v>
      </c>
      <c r="AK200" s="177">
        <f t="shared" si="344"/>
        <v>1.4405317969909781</v>
      </c>
      <c r="AM200" s="555">
        <f t="shared" si="345"/>
        <v>90.000000000000014</v>
      </c>
      <c r="AN200" s="469">
        <f t="shared" si="346"/>
        <v>350</v>
      </c>
      <c r="AP200">
        <f t="shared" si="347"/>
        <v>90.000000000000014</v>
      </c>
      <c r="AQ200">
        <f t="shared" si="348"/>
        <v>350</v>
      </c>
      <c r="AS200" s="5">
        <f t="shared" si="364"/>
        <v>2.8571428571428572</v>
      </c>
      <c r="AT200" s="5">
        <f t="shared" si="349"/>
        <v>0.76619654322970088</v>
      </c>
      <c r="AU200" s="5">
        <f t="shared" si="304"/>
        <v>2.0909463139131566</v>
      </c>
      <c r="AV200" s="5"/>
      <c r="AW200" s="177">
        <f t="shared" si="305"/>
        <v>0.2681687901303953</v>
      </c>
      <c r="AX200" s="177">
        <f t="shared" si="360"/>
        <v>1.3697999999999999</v>
      </c>
      <c r="AY200" s="177">
        <f t="shared" si="361"/>
        <v>8539.6783445405999</v>
      </c>
      <c r="AZ200" s="177">
        <f t="shared" si="365"/>
        <v>1.6040416801830836E-4</v>
      </c>
      <c r="BA200" s="469">
        <f t="shared" si="350"/>
        <v>3.7498921501997473</v>
      </c>
      <c r="BB200" s="469">
        <f t="shared" si="351"/>
        <v>2.1464060061059556</v>
      </c>
      <c r="BC200" s="5">
        <f t="shared" si="359"/>
        <v>0.13068414461957226</v>
      </c>
      <c r="BD200" s="469">
        <f t="shared" si="352"/>
        <v>15.907097354348673</v>
      </c>
      <c r="BF200" s="177">
        <f t="shared" si="366"/>
        <v>0.15271877021477123</v>
      </c>
      <c r="BG200" s="177">
        <f t="shared" si="362"/>
        <v>11526.711352946619</v>
      </c>
      <c r="BI200" s="538">
        <f t="shared" si="306"/>
        <v>8.1630579715692344E-3</v>
      </c>
      <c r="BJ200" s="538">
        <f t="shared" si="307"/>
        <v>621.62113735771993</v>
      </c>
      <c r="BK200" s="538">
        <f t="shared" si="308"/>
        <v>4.3749999999999995E-3</v>
      </c>
      <c r="BL200" s="538">
        <f t="shared" si="309"/>
        <v>8462830.4513776898</v>
      </c>
      <c r="BM200">
        <f t="shared" si="310"/>
        <v>5.7999999999999996E-3</v>
      </c>
      <c r="BN200">
        <f t="shared" si="353"/>
        <v>1.3124999999999999E-5</v>
      </c>
      <c r="BO200" s="538">
        <f t="shared" si="354"/>
        <v>8476217.9899226353</v>
      </c>
      <c r="BP200" s="469">
        <f t="shared" si="311"/>
        <v>8463452090.8531046</v>
      </c>
      <c r="BQ200" s="538">
        <f t="shared" si="355"/>
        <v>101508917.0309944</v>
      </c>
      <c r="BT200" s="469">
        <f t="shared" si="312"/>
        <v>101508917030.9944</v>
      </c>
      <c r="BU200" s="538">
        <f t="shared" si="313"/>
        <v>2.3323022775912096E-3</v>
      </c>
      <c r="BV200" s="538">
        <f t="shared" si="314"/>
        <v>3985952.2384244539</v>
      </c>
      <c r="BW200" s="538">
        <f t="shared" si="315"/>
        <v>0</v>
      </c>
      <c r="BX200" s="538"/>
      <c r="BY200" s="538">
        <f t="shared" si="316"/>
        <v>4.5659999999999997E-3</v>
      </c>
      <c r="BZ200" s="469">
        <f t="shared" si="317"/>
        <v>3985952245.3227558</v>
      </c>
      <c r="CA200" s="177">
        <f t="shared" si="318"/>
        <v>113958321.36717026</v>
      </c>
      <c r="CB200" s="5">
        <f t="shared" si="319"/>
        <v>1.35</v>
      </c>
      <c r="CC200" s="177">
        <f t="shared" si="320"/>
        <v>1.1846436204142146E-8</v>
      </c>
      <c r="CD200" s="5">
        <f t="shared" si="321"/>
        <v>1.1846436204142147E-6</v>
      </c>
      <c r="CG200" s="571">
        <f t="shared" si="356"/>
        <v>-50</v>
      </c>
      <c r="CH200">
        <f t="shared" si="357"/>
        <v>-50</v>
      </c>
    </row>
    <row r="201" spans="5:86" x14ac:dyDescent="0.25">
      <c r="E201" s="174">
        <v>91</v>
      </c>
      <c r="F201" s="221">
        <f t="shared" si="358"/>
        <v>9.1000000000000011E-2</v>
      </c>
      <c r="G201" s="221"/>
      <c r="H201" s="221">
        <f t="shared" si="322"/>
        <v>1.3650000000000002</v>
      </c>
      <c r="I201" s="551">
        <f t="shared" si="323"/>
        <v>20</v>
      </c>
      <c r="J201" s="451">
        <f t="shared" si="324"/>
        <v>695386.58000000007</v>
      </c>
      <c r="K201" s="451">
        <f t="shared" si="325"/>
        <v>695406.58000000007</v>
      </c>
      <c r="L201" s="451"/>
      <c r="M201" s="221">
        <f t="shared" si="326"/>
        <v>0.9999712398464794</v>
      </c>
      <c r="N201" s="176">
        <f t="shared" si="327"/>
        <v>6.9298006921361024</v>
      </c>
      <c r="O201" s="176">
        <f t="shared" si="363"/>
        <v>1.3650000000000002</v>
      </c>
      <c r="P201" s="221">
        <f t="shared" si="328"/>
        <v>0.4619867128090735</v>
      </c>
      <c r="Q201" s="221">
        <f t="shared" si="329"/>
        <v>15</v>
      </c>
      <c r="R201" s="221"/>
      <c r="S201" s="176">
        <f t="shared" si="330"/>
        <v>74.175387728177057</v>
      </c>
      <c r="T201" s="546">
        <f t="shared" si="331"/>
        <v>15</v>
      </c>
      <c r="U201" s="221">
        <f t="shared" si="332"/>
        <v>0.15167102874873811</v>
      </c>
      <c r="V201" s="221">
        <f t="shared" si="333"/>
        <v>0.22750654312310714</v>
      </c>
      <c r="W201" s="221">
        <f t="shared" si="334"/>
        <v>6.5433112937873238E-6</v>
      </c>
      <c r="X201" s="201">
        <f t="shared" si="335"/>
        <v>350</v>
      </c>
      <c r="Y201" s="451">
        <f t="shared" si="303"/>
        <v>350</v>
      </c>
      <c r="AA201" s="221">
        <f t="shared" si="336"/>
        <v>1.9047071235171036</v>
      </c>
      <c r="AB201" s="177">
        <f t="shared" si="337"/>
        <v>8.2171867201568798E-5</v>
      </c>
      <c r="AC201" s="177">
        <f t="shared" si="338"/>
        <v>1.2514141549591451</v>
      </c>
      <c r="AD201" s="177"/>
      <c r="AE201" s="177">
        <f t="shared" si="339"/>
        <v>6.4712206554230591E-6</v>
      </c>
      <c r="AF201" s="555">
        <f t="shared" si="340"/>
        <v>4103.7629629629646</v>
      </c>
      <c r="AG201" s="538">
        <f t="shared" si="341"/>
        <v>7.7611695137976321E-3</v>
      </c>
      <c r="AI201" s="177">
        <f t="shared" si="342"/>
        <v>0.51362762127180561</v>
      </c>
      <c r="AJ201" s="177">
        <f t="shared" si="343"/>
        <v>0.51362762127180561</v>
      </c>
      <c r="AK201" s="177">
        <f t="shared" si="344"/>
        <v>1.4424184141812038</v>
      </c>
      <c r="AM201" s="555">
        <f t="shared" si="345"/>
        <v>91.000000000000014</v>
      </c>
      <c r="AN201" s="469">
        <f t="shared" si="346"/>
        <v>350</v>
      </c>
      <c r="AP201">
        <f t="shared" si="347"/>
        <v>91.000000000000014</v>
      </c>
      <c r="AQ201">
        <f t="shared" si="348"/>
        <v>350</v>
      </c>
      <c r="AS201" s="5">
        <f t="shared" si="364"/>
        <v>2.8571428571428572</v>
      </c>
      <c r="AT201" s="5">
        <f t="shared" si="349"/>
        <v>0.77044143190770842</v>
      </c>
      <c r="AU201" s="5">
        <f t="shared" si="304"/>
        <v>2.086701425235149</v>
      </c>
      <c r="AV201" s="5"/>
      <c r="AW201" s="177">
        <f t="shared" si="305"/>
        <v>0.26965450116769796</v>
      </c>
      <c r="AX201" s="177">
        <f t="shared" si="360"/>
        <v>1.3850200000000004</v>
      </c>
      <c r="AY201" s="177">
        <f t="shared" si="361"/>
        <v>8569.5572551437617</v>
      </c>
      <c r="AZ201" s="177">
        <f t="shared" si="365"/>
        <v>1.6162095179055613E-4</v>
      </c>
      <c r="BA201" s="469">
        <f t="shared" si="350"/>
        <v>3.7498921501997473</v>
      </c>
      <c r="BB201" s="469">
        <f t="shared" si="351"/>
        <v>2.191335572415237</v>
      </c>
      <c r="BC201" s="5">
        <f t="shared" si="359"/>
        <v>0.13186793728916565</v>
      </c>
      <c r="BD201" s="469">
        <f t="shared" si="352"/>
        <v>16.051652474699878</v>
      </c>
      <c r="BF201" s="177">
        <f t="shared" si="366"/>
        <v>0.15398966718732313</v>
      </c>
      <c r="BG201" s="177">
        <f t="shared" si="362"/>
        <v>11578.800588877028</v>
      </c>
      <c r="BI201" s="538">
        <f t="shared" si="306"/>
        <v>8.299486160161889E-3</v>
      </c>
      <c r="BJ201" s="538">
        <f t="shared" si="307"/>
        <v>625.06504812878279</v>
      </c>
      <c r="BK201" s="538">
        <f t="shared" si="308"/>
        <v>4.3749999999999995E-3</v>
      </c>
      <c r="BL201" s="538">
        <f t="shared" si="309"/>
        <v>8462830.4513776898</v>
      </c>
      <c r="BM201">
        <f t="shared" si="310"/>
        <v>5.7999999999999996E-3</v>
      </c>
      <c r="BN201">
        <f t="shared" si="353"/>
        <v>1.3124999999999999E-5</v>
      </c>
      <c r="BO201" s="538">
        <f t="shared" si="354"/>
        <v>8476435.1213616598</v>
      </c>
      <c r="BP201" s="469">
        <f t="shared" si="311"/>
        <v>8463455534.9003038</v>
      </c>
      <c r="BQ201" s="538">
        <f t="shared" si="355"/>
        <v>102428428.05688342</v>
      </c>
      <c r="BT201" s="469">
        <f t="shared" si="312"/>
        <v>102428428056.88342</v>
      </c>
      <c r="BU201" s="538">
        <f t="shared" si="313"/>
        <v>2.3712817600462545E-3</v>
      </c>
      <c r="BV201" s="538">
        <f t="shared" si="314"/>
        <v>4022058.6923093698</v>
      </c>
      <c r="BW201" s="538">
        <f t="shared" si="315"/>
        <v>0</v>
      </c>
      <c r="BX201" s="538"/>
      <c r="BY201" s="538">
        <f t="shared" si="316"/>
        <v>4.6167333333333354E-3</v>
      </c>
      <c r="BZ201" s="469">
        <f t="shared" si="317"/>
        <v>4022058699.2973847</v>
      </c>
      <c r="CA201" s="177">
        <f t="shared" si="318"/>
        <v>114913942.29108112</v>
      </c>
      <c r="CB201" s="5">
        <f t="shared" si="319"/>
        <v>1.3650000000000002</v>
      </c>
      <c r="CC201" s="177">
        <f t="shared" si="320"/>
        <v>1.1878454055020729E-8</v>
      </c>
      <c r="CD201" s="5">
        <f t="shared" si="321"/>
        <v>1.1878454055020728E-6</v>
      </c>
      <c r="CG201" s="571">
        <f t="shared" si="356"/>
        <v>-50</v>
      </c>
      <c r="CH201">
        <f t="shared" si="357"/>
        <v>-50</v>
      </c>
    </row>
    <row r="202" spans="5:86" x14ac:dyDescent="0.25">
      <c r="E202" s="174">
        <v>92</v>
      </c>
      <c r="F202" s="221">
        <f t="shared" si="358"/>
        <v>9.2000000000000012E-2</v>
      </c>
      <c r="G202" s="221"/>
      <c r="H202" s="221">
        <f t="shared" si="322"/>
        <v>1.3800000000000001</v>
      </c>
      <c r="I202" s="551">
        <f t="shared" si="323"/>
        <v>20</v>
      </c>
      <c r="J202" s="451">
        <f t="shared" si="324"/>
        <v>695386.58000000007</v>
      </c>
      <c r="K202" s="451">
        <f t="shared" si="325"/>
        <v>695406.58000000007</v>
      </c>
      <c r="L202" s="451"/>
      <c r="M202" s="221">
        <f t="shared" si="326"/>
        <v>0.9999712398464794</v>
      </c>
      <c r="N202" s="176">
        <f t="shared" si="327"/>
        <v>6.9298006921361024</v>
      </c>
      <c r="O202" s="176">
        <f t="shared" si="363"/>
        <v>1.3800000000000001</v>
      </c>
      <c r="P202" s="221">
        <f t="shared" si="328"/>
        <v>0.4619867128090735</v>
      </c>
      <c r="Q202" s="221">
        <f t="shared" si="329"/>
        <v>15</v>
      </c>
      <c r="R202" s="221"/>
      <c r="S202" s="176">
        <f t="shared" si="330"/>
        <v>73.369128783926811</v>
      </c>
      <c r="T202" s="546">
        <f t="shared" si="331"/>
        <v>15</v>
      </c>
      <c r="U202" s="221">
        <f t="shared" si="332"/>
        <v>0.15333774335037259</v>
      </c>
      <c r="V202" s="221">
        <f t="shared" si="333"/>
        <v>0.23000661502555889</v>
      </c>
      <c r="W202" s="221">
        <f t="shared" si="334"/>
        <v>6.6152158134992728E-6</v>
      </c>
      <c r="X202" s="201">
        <f t="shared" si="335"/>
        <v>350</v>
      </c>
      <c r="Y202" s="451">
        <f t="shared" si="303"/>
        <v>350</v>
      </c>
      <c r="AA202" s="221">
        <f t="shared" si="336"/>
        <v>1.9047071235171036</v>
      </c>
      <c r="AB202" s="177">
        <f t="shared" si="337"/>
        <v>8.2171867201568798E-5</v>
      </c>
      <c r="AC202" s="177">
        <f t="shared" si="338"/>
        <v>1.2514141549591451</v>
      </c>
      <c r="AD202" s="177"/>
      <c r="AE202" s="177">
        <f t="shared" si="339"/>
        <v>6.4712206554230591E-6</v>
      </c>
      <c r="AF202" s="555">
        <f t="shared" si="340"/>
        <v>4148.8592592592604</v>
      </c>
      <c r="AG202" s="538">
        <f t="shared" si="341"/>
        <v>7.7611695137976321E-3</v>
      </c>
      <c r="AI202" s="177">
        <f t="shared" si="342"/>
        <v>0.51644204026432727</v>
      </c>
      <c r="AJ202" s="177">
        <f t="shared" si="343"/>
        <v>0.51644204026432727</v>
      </c>
      <c r="AK202" s="177">
        <f t="shared" si="344"/>
        <v>1.4442946935095515</v>
      </c>
      <c r="AM202" s="555">
        <f t="shared" si="345"/>
        <v>92.000000000000014</v>
      </c>
      <c r="AN202" s="469">
        <f t="shared" si="346"/>
        <v>350</v>
      </c>
      <c r="AP202">
        <f t="shared" si="347"/>
        <v>92.000000000000014</v>
      </c>
      <c r="AQ202">
        <f t="shared" si="348"/>
        <v>350</v>
      </c>
      <c r="AS202" s="5">
        <f t="shared" si="364"/>
        <v>2.8571428571428572</v>
      </c>
      <c r="AT202" s="5">
        <f t="shared" si="349"/>
        <v>0.77466306039649102</v>
      </c>
      <c r="AU202" s="5">
        <f t="shared" si="304"/>
        <v>2.082479796746366</v>
      </c>
      <c r="AV202" s="5"/>
      <c r="AW202" s="177">
        <f t="shared" si="305"/>
        <v>0.27113207113877186</v>
      </c>
      <c r="AX202" s="177">
        <f t="shared" si="360"/>
        <v>1.4002400000000004</v>
      </c>
      <c r="AY202" s="177">
        <f t="shared" si="361"/>
        <v>8599.0819208184221</v>
      </c>
      <c r="AZ202" s="177">
        <f t="shared" si="365"/>
        <v>1.6283598794541217E-4</v>
      </c>
      <c r="BA202" s="469">
        <f t="shared" si="350"/>
        <v>3.7498921501997473</v>
      </c>
      <c r="BB202" s="469">
        <f t="shared" si="351"/>
        <v>2.2367284488494832</v>
      </c>
      <c r="BC202" s="5">
        <f t="shared" si="359"/>
        <v>0.13304732034768449</v>
      </c>
      <c r="BD202" s="469">
        <f t="shared" si="352"/>
        <v>16.195678441722144</v>
      </c>
      <c r="BF202" s="177">
        <f t="shared" si="366"/>
        <v>0.15525707739742731</v>
      </c>
      <c r="BG202" s="177">
        <f t="shared" si="362"/>
        <v>11630.46380582832</v>
      </c>
      <c r="BI202" s="538">
        <f t="shared" si="306"/>
        <v>8.4366660286967557E-3</v>
      </c>
      <c r="BJ202" s="538">
        <f t="shared" si="307"/>
        <v>628.49008772976686</v>
      </c>
      <c r="BK202" s="538">
        <f t="shared" si="308"/>
        <v>4.3749999999999995E-3</v>
      </c>
      <c r="BL202" s="538">
        <f t="shared" si="309"/>
        <v>8462830.4513776898</v>
      </c>
      <c r="BM202">
        <f t="shared" si="310"/>
        <v>5.7999999999999996E-3</v>
      </c>
      <c r="BN202">
        <f t="shared" si="353"/>
        <v>1.3124999999999999E-5</v>
      </c>
      <c r="BO202" s="538">
        <f t="shared" si="354"/>
        <v>8476653.4222656414</v>
      </c>
      <c r="BP202" s="469">
        <f t="shared" si="311"/>
        <v>8463458960.0770845</v>
      </c>
      <c r="BQ202" s="538">
        <f t="shared" si="355"/>
        <v>103344513.91711146</v>
      </c>
      <c r="BT202" s="469">
        <f t="shared" si="312"/>
        <v>103344513917.11145</v>
      </c>
      <c r="BU202" s="538">
        <f t="shared" si="313"/>
        <v>2.4104760081990733E-3</v>
      </c>
      <c r="BV202" s="538">
        <f t="shared" si="314"/>
        <v>4058030.6501604766</v>
      </c>
      <c r="BW202" s="538">
        <f t="shared" si="315"/>
        <v>0</v>
      </c>
      <c r="BX202" s="538"/>
      <c r="BY202" s="538">
        <f t="shared" si="316"/>
        <v>4.6674666666666692E-3</v>
      </c>
      <c r="BZ202" s="469">
        <f t="shared" si="317"/>
        <v>4058030657.2384191</v>
      </c>
      <c r="CA202" s="177">
        <f t="shared" si="318"/>
        <v>115866003.53442694</v>
      </c>
      <c r="CB202" s="5">
        <f t="shared" si="319"/>
        <v>1.3800000000000001</v>
      </c>
      <c r="CC202" s="177">
        <f t="shared" si="320"/>
        <v>1.191030968073165E-8</v>
      </c>
      <c r="CD202" s="5">
        <f t="shared" si="321"/>
        <v>1.191030968073165E-6</v>
      </c>
      <c r="CG202" s="571">
        <f t="shared" si="356"/>
        <v>-50</v>
      </c>
      <c r="CH202">
        <f t="shared" si="357"/>
        <v>-50</v>
      </c>
    </row>
    <row r="203" spans="5:86" x14ac:dyDescent="0.25">
      <c r="E203" s="174">
        <v>93</v>
      </c>
      <c r="F203" s="221">
        <f t="shared" si="358"/>
        <v>9.3000000000000013E-2</v>
      </c>
      <c r="G203" s="221"/>
      <c r="H203" s="221">
        <f t="shared" si="322"/>
        <v>1.3950000000000002</v>
      </c>
      <c r="I203" s="551">
        <f t="shared" si="323"/>
        <v>20</v>
      </c>
      <c r="J203" s="451">
        <f t="shared" si="324"/>
        <v>695386.58000000007</v>
      </c>
      <c r="K203" s="451">
        <f t="shared" si="325"/>
        <v>695406.58000000007</v>
      </c>
      <c r="L203" s="451"/>
      <c r="M203" s="221">
        <f t="shared" si="326"/>
        <v>0.9999712398464794</v>
      </c>
      <c r="N203" s="176">
        <f t="shared" si="327"/>
        <v>6.9298006921361024</v>
      </c>
      <c r="O203" s="176">
        <f t="shared" si="363"/>
        <v>1.3950000000000002</v>
      </c>
      <c r="P203" s="221">
        <f t="shared" si="328"/>
        <v>0.4619867128090735</v>
      </c>
      <c r="Q203" s="221">
        <f t="shared" si="329"/>
        <v>15</v>
      </c>
      <c r="R203" s="221"/>
      <c r="S203" s="176">
        <f t="shared" si="330"/>
        <v>72.580208742007486</v>
      </c>
      <c r="T203" s="546">
        <f t="shared" si="331"/>
        <v>15</v>
      </c>
      <c r="U203" s="221">
        <f t="shared" si="332"/>
        <v>0.1550044579520071</v>
      </c>
      <c r="V203" s="221">
        <f t="shared" si="333"/>
        <v>0.23250668692801066</v>
      </c>
      <c r="W203" s="221">
        <f t="shared" si="334"/>
        <v>6.6871203332112228E-6</v>
      </c>
      <c r="X203" s="201">
        <f t="shared" si="335"/>
        <v>350</v>
      </c>
      <c r="Y203" s="451">
        <f t="shared" si="303"/>
        <v>350</v>
      </c>
      <c r="AA203" s="221">
        <f t="shared" si="336"/>
        <v>1.9047071235171036</v>
      </c>
      <c r="AB203" s="177">
        <f t="shared" si="337"/>
        <v>8.2171867201568798E-5</v>
      </c>
      <c r="AC203" s="177">
        <f t="shared" si="338"/>
        <v>1.2514141549591451</v>
      </c>
      <c r="AD203" s="177"/>
      <c r="AE203" s="177">
        <f t="shared" si="339"/>
        <v>6.4712206554230591E-6</v>
      </c>
      <c r="AF203" s="555">
        <f t="shared" si="340"/>
        <v>4193.9555555555571</v>
      </c>
      <c r="AG203" s="538">
        <f t="shared" si="341"/>
        <v>7.7611695137976321E-3</v>
      </c>
      <c r="AI203" s="177">
        <f t="shared" si="342"/>
        <v>0.51924120461634071</v>
      </c>
      <c r="AJ203" s="177">
        <f t="shared" si="343"/>
        <v>0.51924120461634071</v>
      </c>
      <c r="AK203" s="177">
        <f t="shared" si="344"/>
        <v>1.4461608030775603</v>
      </c>
      <c r="AM203" s="555">
        <f t="shared" si="345"/>
        <v>93.000000000000014</v>
      </c>
      <c r="AN203" s="469">
        <f t="shared" si="346"/>
        <v>350</v>
      </c>
      <c r="AP203">
        <f t="shared" si="347"/>
        <v>93.000000000000014</v>
      </c>
      <c r="AQ203">
        <f t="shared" si="348"/>
        <v>350</v>
      </c>
      <c r="AS203" s="5">
        <f t="shared" si="364"/>
        <v>2.8571428571428572</v>
      </c>
      <c r="AT203" s="5">
        <f t="shared" si="349"/>
        <v>0.77886180692451101</v>
      </c>
      <c r="AU203" s="5">
        <f t="shared" si="304"/>
        <v>2.0782810502183464</v>
      </c>
      <c r="AV203" s="5"/>
      <c r="AW203" s="177">
        <f t="shared" si="305"/>
        <v>0.27260163242357882</v>
      </c>
      <c r="AX203" s="177">
        <f t="shared" si="360"/>
        <v>1.4154600000000002</v>
      </c>
      <c r="AY203" s="177">
        <f t="shared" si="361"/>
        <v>8628.2581018579949</v>
      </c>
      <c r="AZ203" s="177">
        <f t="shared" si="365"/>
        <v>1.6404933455748123E-4</v>
      </c>
      <c r="BA203" s="469">
        <f t="shared" si="350"/>
        <v>3.7498921501997473</v>
      </c>
      <c r="BB203" s="469">
        <f t="shared" si="351"/>
        <v>2.2825846354086927</v>
      </c>
      <c r="BC203" s="5">
        <f t="shared" si="359"/>
        <v>0.13422231782660154</v>
      </c>
      <c r="BD203" s="469">
        <f t="shared" si="352"/>
        <v>16.339178139192185</v>
      </c>
      <c r="BF203" s="177">
        <f t="shared" si="366"/>
        <v>0.15652104815713505</v>
      </c>
      <c r="BG203" s="177">
        <f t="shared" si="362"/>
        <v>11681.707701863734</v>
      </c>
      <c r="BI203" s="538">
        <f t="shared" si="306"/>
        <v>8.5745934806728662E-3</v>
      </c>
      <c r="BJ203" s="538">
        <f t="shared" si="307"/>
        <v>631.89656302032699</v>
      </c>
      <c r="BK203" s="538">
        <f t="shared" si="308"/>
        <v>4.3749999999999995E-3</v>
      </c>
      <c r="BL203" s="538">
        <f t="shared" si="309"/>
        <v>8462830.4513776898</v>
      </c>
      <c r="BM203">
        <f t="shared" si="310"/>
        <v>5.7999999999999996E-3</v>
      </c>
      <c r="BN203">
        <f t="shared" si="353"/>
        <v>1.3124999999999999E-5</v>
      </c>
      <c r="BO203" s="538">
        <f t="shared" si="354"/>
        <v>8476872.8867048081</v>
      </c>
      <c r="BP203" s="469">
        <f t="shared" si="311"/>
        <v>8463462366.6903019</v>
      </c>
      <c r="BQ203" s="538">
        <f t="shared" si="355"/>
        <v>104257193.2781263</v>
      </c>
      <c r="BT203" s="469">
        <f t="shared" si="312"/>
        <v>104257193278.1263</v>
      </c>
      <c r="BU203" s="538">
        <f t="shared" si="313"/>
        <v>2.4498838516208189E-3</v>
      </c>
      <c r="BV203" s="538">
        <f t="shared" si="314"/>
        <v>4093868.8449534746</v>
      </c>
      <c r="BW203" s="538">
        <f t="shared" si="315"/>
        <v>0</v>
      </c>
      <c r="BX203" s="538"/>
      <c r="BY203" s="538">
        <f t="shared" si="316"/>
        <v>4.7182000000000005E-3</v>
      </c>
      <c r="BZ203" s="469">
        <f t="shared" si="317"/>
        <v>4093868852.1215587</v>
      </c>
      <c r="CA203" s="177">
        <f t="shared" si="318"/>
        <v>116814524.49693817</v>
      </c>
      <c r="CB203" s="5">
        <f t="shared" si="319"/>
        <v>1.3950000000000002</v>
      </c>
      <c r="CC203" s="177">
        <f t="shared" si="320"/>
        <v>1.1942007976734637E-8</v>
      </c>
      <c r="CD203" s="5">
        <f t="shared" si="321"/>
        <v>1.1942007976734636E-6</v>
      </c>
      <c r="CG203" s="571">
        <f t="shared" si="356"/>
        <v>-50</v>
      </c>
      <c r="CH203">
        <f t="shared" si="357"/>
        <v>-50</v>
      </c>
    </row>
    <row r="204" spans="5:86" x14ac:dyDescent="0.25">
      <c r="E204" s="174">
        <v>94</v>
      </c>
      <c r="F204" s="221">
        <f t="shared" si="358"/>
        <v>9.4E-2</v>
      </c>
      <c r="G204" s="221"/>
      <c r="H204" s="221">
        <f t="shared" si="322"/>
        <v>1.41</v>
      </c>
      <c r="I204" s="551">
        <f t="shared" si="323"/>
        <v>20</v>
      </c>
      <c r="J204" s="451">
        <f t="shared" si="324"/>
        <v>695386.58000000007</v>
      </c>
      <c r="K204" s="451">
        <f t="shared" si="325"/>
        <v>695406.58000000007</v>
      </c>
      <c r="L204" s="451"/>
      <c r="M204" s="221">
        <f t="shared" si="326"/>
        <v>0.9999712398464794</v>
      </c>
      <c r="N204" s="176">
        <f t="shared" si="327"/>
        <v>6.9298006921361024</v>
      </c>
      <c r="O204" s="176">
        <f t="shared" si="363"/>
        <v>1.41</v>
      </c>
      <c r="P204" s="221">
        <f t="shared" si="328"/>
        <v>0.4619867128090735</v>
      </c>
      <c r="Q204" s="221">
        <f t="shared" si="329"/>
        <v>15</v>
      </c>
      <c r="R204" s="221"/>
      <c r="S204" s="176">
        <f t="shared" si="330"/>
        <v>71.808074233195825</v>
      </c>
      <c r="T204" s="546">
        <f t="shared" si="331"/>
        <v>15</v>
      </c>
      <c r="U204" s="221">
        <f t="shared" si="332"/>
        <v>0.15667117255364155</v>
      </c>
      <c r="V204" s="221">
        <f t="shared" si="333"/>
        <v>0.23500675883046235</v>
      </c>
      <c r="W204" s="221">
        <f t="shared" si="334"/>
        <v>6.7590248529231701E-6</v>
      </c>
      <c r="X204" s="201">
        <f t="shared" si="335"/>
        <v>350</v>
      </c>
      <c r="Y204" s="451">
        <f t="shared" si="303"/>
        <v>350</v>
      </c>
      <c r="AA204" s="221">
        <f t="shared" si="336"/>
        <v>1.9047071235171036</v>
      </c>
      <c r="AB204" s="177">
        <f t="shared" si="337"/>
        <v>8.2171867201568798E-5</v>
      </c>
      <c r="AC204" s="177">
        <f t="shared" si="338"/>
        <v>1.2514141549591451</v>
      </c>
      <c r="AD204" s="177"/>
      <c r="AE204" s="177">
        <f t="shared" si="339"/>
        <v>6.4712206554230591E-6</v>
      </c>
      <c r="AF204" s="555">
        <f t="shared" si="340"/>
        <v>4239.0518518518529</v>
      </c>
      <c r="AG204" s="538">
        <f t="shared" si="341"/>
        <v>7.7611695137976321E-3</v>
      </c>
      <c r="AI204" s="177">
        <f t="shared" si="342"/>
        <v>0.52202535971969422</v>
      </c>
      <c r="AJ204" s="177">
        <f t="shared" si="343"/>
        <v>0.52202535971969422</v>
      </c>
      <c r="AK204" s="177">
        <f t="shared" si="344"/>
        <v>1.4480169064797961</v>
      </c>
      <c r="AM204" s="555">
        <f t="shared" si="345"/>
        <v>94</v>
      </c>
      <c r="AN204" s="469">
        <f t="shared" si="346"/>
        <v>350</v>
      </c>
      <c r="AP204">
        <f t="shared" si="347"/>
        <v>94</v>
      </c>
      <c r="AQ204">
        <f t="shared" si="348"/>
        <v>350</v>
      </c>
      <c r="AS204" s="5">
        <f t="shared" si="364"/>
        <v>2.8571428571428572</v>
      </c>
      <c r="AT204" s="5">
        <f t="shared" si="349"/>
        <v>0.78303803957954143</v>
      </c>
      <c r="AU204" s="5">
        <f t="shared" si="304"/>
        <v>2.0741048175633159</v>
      </c>
      <c r="AV204" s="5"/>
      <c r="AW204" s="177">
        <f t="shared" si="305"/>
        <v>0.2740633138528395</v>
      </c>
      <c r="AX204" s="177">
        <f t="shared" si="360"/>
        <v>1.4306799999999997</v>
      </c>
      <c r="AY204" s="177">
        <f t="shared" si="361"/>
        <v>8657.0914041165543</v>
      </c>
      <c r="AZ204" s="177">
        <f t="shared" si="365"/>
        <v>1.6526104822223473E-4</v>
      </c>
      <c r="BA204" s="469">
        <f t="shared" si="350"/>
        <v>3.7498921501997473</v>
      </c>
      <c r="BB204" s="469">
        <f t="shared" si="351"/>
        <v>2.328904132092867</v>
      </c>
      <c r="BC204" s="5">
        <f t="shared" si="359"/>
        <v>0.13539295336871643</v>
      </c>
      <c r="BD204" s="469">
        <f t="shared" si="352"/>
        <v>16.482154404245971</v>
      </c>
      <c r="BF204" s="177">
        <f t="shared" si="366"/>
        <v>0.15778162563532463</v>
      </c>
      <c r="BG204" s="177">
        <f t="shared" si="362"/>
        <v>11732.538795744194</v>
      </c>
      <c r="BI204" s="538">
        <f t="shared" si="306"/>
        <v>8.7132644858440057E-3</v>
      </c>
      <c r="BJ204" s="538">
        <f t="shared" si="307"/>
        <v>635.28477263289915</v>
      </c>
      <c r="BK204" s="538">
        <f t="shared" si="308"/>
        <v>4.3749999999999995E-3</v>
      </c>
      <c r="BL204" s="538">
        <f t="shared" si="309"/>
        <v>8462830.4513776898</v>
      </c>
      <c r="BM204">
        <f t="shared" si="310"/>
        <v>5.7999999999999996E-3</v>
      </c>
      <c r="BN204">
        <f t="shared" si="353"/>
        <v>1.3124999999999999E-5</v>
      </c>
      <c r="BO204" s="538">
        <f t="shared" si="354"/>
        <v>8477093.5088446476</v>
      </c>
      <c r="BP204" s="469">
        <f t="shared" si="311"/>
        <v>8463465755.0385876</v>
      </c>
      <c r="BQ204" s="538">
        <f t="shared" si="355"/>
        <v>105166484.50447394</v>
      </c>
      <c r="BT204" s="469">
        <f t="shared" si="312"/>
        <v>105166484504.47394</v>
      </c>
      <c r="BU204" s="538">
        <f t="shared" si="313"/>
        <v>2.4895041388125734E-3</v>
      </c>
      <c r="BV204" s="538">
        <f t="shared" si="314"/>
        <v>4129573.9978092783</v>
      </c>
      <c r="BW204" s="538">
        <f t="shared" si="315"/>
        <v>0</v>
      </c>
      <c r="BX204" s="538"/>
      <c r="BY204" s="538">
        <f t="shared" si="316"/>
        <v>4.7689333333333327E-3</v>
      </c>
      <c r="BZ204" s="469">
        <f t="shared" si="317"/>
        <v>4129574005.0677156</v>
      </c>
      <c r="CA204" s="177">
        <f t="shared" si="318"/>
        <v>117759524.26458025</v>
      </c>
      <c r="CB204" s="5">
        <f t="shared" si="319"/>
        <v>1.41</v>
      </c>
      <c r="CC204" s="177">
        <f t="shared" si="320"/>
        <v>1.1973553663050841E-8</v>
      </c>
      <c r="CD204" s="5">
        <f t="shared" si="321"/>
        <v>1.1973553663050842E-6</v>
      </c>
      <c r="CG204" s="571">
        <f t="shared" si="356"/>
        <v>-50</v>
      </c>
      <c r="CH204">
        <f t="shared" si="357"/>
        <v>-50</v>
      </c>
    </row>
    <row r="205" spans="5:86" x14ac:dyDescent="0.25">
      <c r="E205" s="174">
        <v>95</v>
      </c>
      <c r="F205" s="221">
        <f t="shared" si="358"/>
        <v>9.5000000000000001E-2</v>
      </c>
      <c r="G205" s="221"/>
      <c r="H205" s="221">
        <f t="shared" si="322"/>
        <v>1.425</v>
      </c>
      <c r="I205" s="551">
        <f t="shared" si="323"/>
        <v>20</v>
      </c>
      <c r="J205" s="451">
        <f t="shared" si="324"/>
        <v>695386.58000000007</v>
      </c>
      <c r="K205" s="451">
        <f t="shared" si="325"/>
        <v>695406.58000000007</v>
      </c>
      <c r="L205" s="451"/>
      <c r="M205" s="221">
        <f t="shared" si="326"/>
        <v>0.9999712398464794</v>
      </c>
      <c r="N205" s="176">
        <f t="shared" si="327"/>
        <v>6.9298006921361024</v>
      </c>
      <c r="O205" s="176">
        <f t="shared" si="363"/>
        <v>1.425</v>
      </c>
      <c r="P205" s="221">
        <f t="shared" si="328"/>
        <v>0.4619867128090735</v>
      </c>
      <c r="Q205" s="221">
        <f t="shared" si="329"/>
        <v>15</v>
      </c>
      <c r="R205" s="221"/>
      <c r="S205" s="176">
        <f t="shared" si="330"/>
        <v>71.052195188025138</v>
      </c>
      <c r="T205" s="546">
        <f t="shared" si="331"/>
        <v>15</v>
      </c>
      <c r="U205" s="221">
        <f t="shared" si="332"/>
        <v>0.15833788715527605</v>
      </c>
      <c r="V205" s="221">
        <f t="shared" si="333"/>
        <v>0.23750683073291409</v>
      </c>
      <c r="W205" s="221">
        <f t="shared" si="334"/>
        <v>6.8309293726351192E-6</v>
      </c>
      <c r="X205" s="201">
        <f t="shared" si="335"/>
        <v>350</v>
      </c>
      <c r="Y205" s="451">
        <f t="shared" si="303"/>
        <v>350</v>
      </c>
      <c r="AA205" s="221">
        <f t="shared" si="336"/>
        <v>1.9047071235171036</v>
      </c>
      <c r="AB205" s="177">
        <f t="shared" si="337"/>
        <v>8.2171867201568798E-5</v>
      </c>
      <c r="AC205" s="177">
        <f t="shared" si="338"/>
        <v>1.2514141549591451</v>
      </c>
      <c r="AD205" s="177"/>
      <c r="AE205" s="177">
        <f t="shared" si="339"/>
        <v>6.4712206554230591E-6</v>
      </c>
      <c r="AF205" s="555">
        <f t="shared" si="340"/>
        <v>4284.1481481481496</v>
      </c>
      <c r="AG205" s="538">
        <f t="shared" si="341"/>
        <v>7.7611695137976321E-3</v>
      </c>
      <c r="AI205" s="177">
        <f t="shared" si="342"/>
        <v>0.5247947444568436</v>
      </c>
      <c r="AJ205" s="177">
        <f t="shared" si="343"/>
        <v>0.5247947444568436</v>
      </c>
      <c r="AK205" s="177">
        <f t="shared" si="344"/>
        <v>1.4498631629712291</v>
      </c>
      <c r="AM205" s="555">
        <f t="shared" si="345"/>
        <v>95</v>
      </c>
      <c r="AN205" s="469">
        <f t="shared" si="346"/>
        <v>350</v>
      </c>
      <c r="AP205">
        <f t="shared" si="347"/>
        <v>95</v>
      </c>
      <c r="AQ205">
        <f t="shared" si="348"/>
        <v>350</v>
      </c>
      <c r="AS205" s="5">
        <f t="shared" si="364"/>
        <v>2.8571428571428572</v>
      </c>
      <c r="AT205" s="5">
        <f t="shared" si="349"/>
        <v>0.78719211668526534</v>
      </c>
      <c r="AU205" s="5">
        <f t="shared" si="304"/>
        <v>2.0699507404575916</v>
      </c>
      <c r="AV205" s="5"/>
      <c r="AW205" s="177">
        <f t="shared" si="305"/>
        <v>0.27551724083984286</v>
      </c>
      <c r="AX205" s="177">
        <f t="shared" si="360"/>
        <v>1.4458999999999997</v>
      </c>
      <c r="AY205" s="177">
        <f t="shared" si="361"/>
        <v>8685.5872847443643</v>
      </c>
      <c r="AZ205" s="177">
        <f t="shared" si="365"/>
        <v>1.6647118411205463E-4</v>
      </c>
      <c r="BA205" s="469">
        <f t="shared" si="350"/>
        <v>3.7498921501997473</v>
      </c>
      <c r="BB205" s="469">
        <f t="shared" si="351"/>
        <v>2.3756869389020059</v>
      </c>
      <c r="BC205" s="5">
        <f t="shared" si="359"/>
        <v>0.13655925023852164</v>
      </c>
      <c r="BD205" s="469">
        <f t="shared" si="352"/>
        <v>16.624610028622605</v>
      </c>
      <c r="BF205" s="177">
        <f t="shared" si="366"/>
        <v>0.15903885489717598</v>
      </c>
      <c r="BG205" s="177">
        <f t="shared" si="362"/>
        <v>11782.963433576737</v>
      </c>
      <c r="BI205" s="538">
        <f t="shared" si="306"/>
        <v>8.8526750784517477E-3</v>
      </c>
      <c r="BJ205" s="538">
        <f t="shared" si="307"/>
        <v>638.65500727823837</v>
      </c>
      <c r="BK205" s="538">
        <f t="shared" si="308"/>
        <v>4.3749999999999995E-3</v>
      </c>
      <c r="BL205" s="538">
        <f t="shared" si="309"/>
        <v>8462830.4513776898</v>
      </c>
      <c r="BM205">
        <f t="shared" si="310"/>
        <v>5.7999999999999996E-3</v>
      </c>
      <c r="BN205">
        <f t="shared" si="353"/>
        <v>1.3124999999999999E-5</v>
      </c>
      <c r="BO205" s="538">
        <f t="shared" si="354"/>
        <v>8477315.2829434443</v>
      </c>
      <c r="BP205" s="469">
        <f t="shared" si="311"/>
        <v>8463469125.4126434</v>
      </c>
      <c r="BQ205" s="538">
        <f t="shared" si="355"/>
        <v>106072405.66685043</v>
      </c>
      <c r="BT205" s="469">
        <f t="shared" si="312"/>
        <v>106072405666.85043</v>
      </c>
      <c r="BU205" s="538">
        <f t="shared" si="313"/>
        <v>2.5293357367004998E-3</v>
      </c>
      <c r="BV205" s="538">
        <f t="shared" si="314"/>
        <v>4165146.8183101942</v>
      </c>
      <c r="BW205" s="538">
        <f t="shared" si="315"/>
        <v>0</v>
      </c>
      <c r="BX205" s="538"/>
      <c r="BY205" s="538">
        <f t="shared" si="316"/>
        <v>4.8196666666666665E-3</v>
      </c>
      <c r="BZ205" s="469">
        <f t="shared" si="317"/>
        <v>4165146825.6591964</v>
      </c>
      <c r="CA205" s="177">
        <f t="shared" si="318"/>
        <v>118701021.61792228</v>
      </c>
      <c r="CB205" s="5">
        <f t="shared" si="319"/>
        <v>1.425</v>
      </c>
      <c r="CC205" s="177">
        <f t="shared" si="320"/>
        <v>1.2004951292498299E-8</v>
      </c>
      <c r="CD205" s="5">
        <f t="shared" si="321"/>
        <v>1.2004951292498298E-6</v>
      </c>
      <c r="CG205" s="571">
        <f t="shared" si="356"/>
        <v>-50</v>
      </c>
      <c r="CH205">
        <f t="shared" si="357"/>
        <v>-50</v>
      </c>
    </row>
    <row r="206" spans="5:86" x14ac:dyDescent="0.25">
      <c r="E206" s="174">
        <v>96</v>
      </c>
      <c r="F206" s="221">
        <f t="shared" si="358"/>
        <v>9.6000000000000002E-2</v>
      </c>
      <c r="G206" s="221"/>
      <c r="H206" s="221">
        <f t="shared" ref="H206:H210" si="367">F206*Vout</f>
        <v>1.44</v>
      </c>
      <c r="I206" s="551">
        <f t="shared" si="323"/>
        <v>20</v>
      </c>
      <c r="J206" s="451">
        <f t="shared" si="324"/>
        <v>695386.58000000007</v>
      </c>
      <c r="K206" s="451">
        <f t="shared" si="325"/>
        <v>695406.58000000007</v>
      </c>
      <c r="L206" s="451"/>
      <c r="M206" s="221">
        <f t="shared" si="326"/>
        <v>0.9999712398464794</v>
      </c>
      <c r="N206" s="176">
        <f t="shared" ref="N206:N210" si="368">M206*I206*(Isw_max+VIN_min/Lmag*ILIM_delay)*0.5*Efficiency</f>
        <v>6.9298006921361024</v>
      </c>
      <c r="O206" s="176">
        <f t="shared" si="363"/>
        <v>1.44</v>
      </c>
      <c r="P206" s="221">
        <f t="shared" ref="P206:P210" si="369">N206/Vout</f>
        <v>0.4619867128090735</v>
      </c>
      <c r="Q206" s="221">
        <f t="shared" si="329"/>
        <v>15</v>
      </c>
      <c r="R206" s="221"/>
      <c r="S206" s="176">
        <f t="shared" si="330"/>
        <v>70.312063623256705</v>
      </c>
      <c r="T206" s="546">
        <f t="shared" ref="T206:T210" si="370">MIN(Vout, S206)</f>
        <v>15</v>
      </c>
      <c r="U206" s="221">
        <f t="shared" si="332"/>
        <v>0.1600046017569105</v>
      </c>
      <c r="V206" s="221">
        <f t="shared" ref="V206:V210" si="371">L*U206/I206*1000000</f>
        <v>0.24000690263536575</v>
      </c>
      <c r="W206" s="221">
        <f t="shared" si="334"/>
        <v>6.9028338923470666E-6</v>
      </c>
      <c r="X206" s="201">
        <f t="shared" si="335"/>
        <v>350</v>
      </c>
      <c r="Y206" s="451">
        <f t="shared" si="303"/>
        <v>350</v>
      </c>
      <c r="AA206" s="221">
        <f t="shared" si="336"/>
        <v>1.9047071235171036</v>
      </c>
      <c r="AB206" s="177">
        <f t="shared" ref="AB206:AB210" si="372">L*AA206/J206*1000000</f>
        <v>8.2171867201568798E-5</v>
      </c>
      <c r="AC206" s="177">
        <f t="shared" ref="AC206:AC210" si="373">0.5*AB206*AA206*Nps*X206/1000</f>
        <v>1.2514141549591451</v>
      </c>
      <c r="AD206" s="177"/>
      <c r="AE206" s="177">
        <f t="shared" si="339"/>
        <v>6.4712206554230591E-6</v>
      </c>
      <c r="AF206" s="555">
        <f t="shared" ref="AF206:AF210" si="374">MAX(12000,F206/(0.5*AE206/1000000*Isw_min*Nps))/1000</f>
        <v>4329.2444444444463</v>
      </c>
      <c r="AG206" s="538">
        <f t="shared" si="341"/>
        <v>7.7611695137976321E-3</v>
      </c>
      <c r="AI206" s="177">
        <f t="shared" si="342"/>
        <v>0.52754959144005742</v>
      </c>
      <c r="AJ206" s="177">
        <f t="shared" ref="AJ206:AJ210" si="375">MAX(IF(F206&gt;AC206,U206,AI206),Isw_min)</f>
        <v>0.52754959144005742</v>
      </c>
      <c r="AK206" s="177">
        <f t="shared" ref="AK206:AK210" si="376">IF(F206&gt;AG206, (AJ206-Isw_min)/1.2*0.8+1.2, AF206*0.2/350+1)</f>
        <v>1.451699727626705</v>
      </c>
      <c r="AM206" s="555">
        <f t="shared" si="345"/>
        <v>96</v>
      </c>
      <c r="AN206" s="469">
        <f t="shared" si="346"/>
        <v>350</v>
      </c>
      <c r="AP206">
        <f t="shared" si="347"/>
        <v>96</v>
      </c>
      <c r="AQ206">
        <f t="shared" si="348"/>
        <v>350</v>
      </c>
      <c r="AS206" s="5">
        <f t="shared" si="364"/>
        <v>2.8571428571428572</v>
      </c>
      <c r="AT206" s="5">
        <f t="shared" si="349"/>
        <v>0.79132438716008613</v>
      </c>
      <c r="AU206" s="5">
        <f t="shared" si="304"/>
        <v>2.0658184699827711</v>
      </c>
      <c r="AV206" s="5"/>
      <c r="AW206" s="177">
        <f t="shared" si="305"/>
        <v>0.27696353550603015</v>
      </c>
      <c r="AX206" s="177">
        <f t="shared" si="360"/>
        <v>1.4611200000000004</v>
      </c>
      <c r="AY206" s="177">
        <f t="shared" si="361"/>
        <v>8713.751057652391</v>
      </c>
      <c r="AZ206" s="177">
        <f t="shared" si="365"/>
        <v>1.6767979602961563E-4</v>
      </c>
      <c r="BA206" s="469">
        <f t="shared" si="350"/>
        <v>3.7498921501997473</v>
      </c>
      <c r="BB206" s="469">
        <f t="shared" si="351"/>
        <v>2.4229330558361086</v>
      </c>
      <c r="BC206" s="5">
        <f t="shared" si="359"/>
        <v>0.1377212313321847</v>
      </c>
      <c r="BD206" s="469">
        <f t="shared" si="352"/>
        <v>16.766547759862171</v>
      </c>
      <c r="BF206" s="177">
        <f t="shared" si="366"/>
        <v>0.16029277994188187</v>
      </c>
      <c r="BG206" s="177">
        <f t="shared" si="362"/>
        <v>11832.987795149013</v>
      </c>
      <c r="BI206" s="538">
        <f t="shared" si="306"/>
        <v>8.9928213555237994E-3</v>
      </c>
      <c r="BJ206" s="538">
        <f t="shared" si="307"/>
        <v>642.00755003652341</v>
      </c>
      <c r="BK206" s="538">
        <f t="shared" si="308"/>
        <v>4.3749999999999995E-3</v>
      </c>
      <c r="BL206" s="538">
        <f t="shared" si="309"/>
        <v>8462830.4513776898</v>
      </c>
      <c r="BM206">
        <f t="shared" si="310"/>
        <v>5.7999999999999996E-3</v>
      </c>
      <c r="BN206">
        <f t="shared" si="353"/>
        <v>1.3124999999999999E-5</v>
      </c>
      <c r="BO206" s="538">
        <f t="shared" ref="BO206:BO210" si="377">(BJ206+BK206+BL206+BM206+BN206+BI206*(1+RdsonTC*(Ta-25)))/(1-BI206*RdsonTC*ThetaJA)</f>
        <v>8477538.2033499125</v>
      </c>
      <c r="BP206" s="469">
        <f t="shared" si="311"/>
        <v>8463472478.0955467</v>
      </c>
      <c r="BQ206" s="538">
        <f t="shared" si="355"/>
        <v>106974974.54985513</v>
      </c>
      <c r="BT206" s="469">
        <f t="shared" si="312"/>
        <v>106974974549.85513</v>
      </c>
      <c r="BU206" s="538">
        <f t="shared" si="313"/>
        <v>2.5693775301496571E-3</v>
      </c>
      <c r="BV206" s="538">
        <f t="shared" si="314"/>
        <v>4200588.0048043644</v>
      </c>
      <c r="BW206" s="538">
        <f t="shared" si="315"/>
        <v>0</v>
      </c>
      <c r="BX206" s="538"/>
      <c r="BY206" s="538">
        <f t="shared" si="316"/>
        <v>4.8704000000000013E-3</v>
      </c>
      <c r="BZ206" s="469">
        <f t="shared" si="317"/>
        <v>4200588012.2441416</v>
      </c>
      <c r="CA206" s="177">
        <f t="shared" si="318"/>
        <v>119639035.04019481</v>
      </c>
      <c r="CB206" s="5">
        <f t="shared" si="319"/>
        <v>1.44</v>
      </c>
      <c r="CC206" s="177">
        <f t="shared" si="320"/>
        <v>1.2036205258459928E-8</v>
      </c>
      <c r="CD206" s="5">
        <f t="shared" si="321"/>
        <v>1.2036205258459928E-6</v>
      </c>
      <c r="CG206" s="571">
        <f t="shared" si="356"/>
        <v>-50</v>
      </c>
      <c r="CH206">
        <f t="shared" si="357"/>
        <v>-50</v>
      </c>
    </row>
    <row r="207" spans="5:86" x14ac:dyDescent="0.25">
      <c r="E207" s="174">
        <v>97</v>
      </c>
      <c r="F207" s="221">
        <f t="shared" ref="F207:F210" si="378">IF(PLOT_TYPE=1, E207/100*Iout_max, min_I*EXP(N207*rr/100))</f>
        <v>9.7000000000000003E-2</v>
      </c>
      <c r="G207" s="221"/>
      <c r="H207" s="221">
        <f t="shared" si="367"/>
        <v>1.4550000000000001</v>
      </c>
      <c r="I207" s="551">
        <f t="shared" si="323"/>
        <v>20</v>
      </c>
      <c r="J207" s="451">
        <f t="shared" si="324"/>
        <v>695386.58000000007</v>
      </c>
      <c r="K207" s="451">
        <f t="shared" si="325"/>
        <v>695406.58000000007</v>
      </c>
      <c r="L207" s="451"/>
      <c r="M207" s="221">
        <f t="shared" si="326"/>
        <v>0.9999712398464794</v>
      </c>
      <c r="N207" s="176">
        <f t="shared" si="368"/>
        <v>6.9298006921361024</v>
      </c>
      <c r="O207" s="176">
        <f t="shared" si="363"/>
        <v>1.4550000000000001</v>
      </c>
      <c r="P207" s="221">
        <f t="shared" si="369"/>
        <v>0.4619867128090735</v>
      </c>
      <c r="Q207" s="221">
        <f t="shared" si="329"/>
        <v>15</v>
      </c>
      <c r="R207" s="221"/>
      <c r="S207" s="176">
        <f t="shared" si="330"/>
        <v>69.587192503414101</v>
      </c>
      <c r="T207" s="546">
        <f t="shared" si="370"/>
        <v>15</v>
      </c>
      <c r="U207" s="221">
        <f t="shared" si="332"/>
        <v>0.16167131635854501</v>
      </c>
      <c r="V207" s="221">
        <f t="shared" si="371"/>
        <v>0.24250697453781753</v>
      </c>
      <c r="W207" s="221">
        <f t="shared" si="334"/>
        <v>6.9747384120590165E-6</v>
      </c>
      <c r="X207" s="201">
        <f t="shared" si="335"/>
        <v>350</v>
      </c>
      <c r="Y207" s="451">
        <f t="shared" si="303"/>
        <v>350</v>
      </c>
      <c r="AA207" s="221">
        <f t="shared" si="336"/>
        <v>1.9047071235171036</v>
      </c>
      <c r="AB207" s="177">
        <f t="shared" si="372"/>
        <v>8.2171867201568798E-5</v>
      </c>
      <c r="AC207" s="177">
        <f t="shared" si="373"/>
        <v>1.2514141549591451</v>
      </c>
      <c r="AD207" s="177"/>
      <c r="AE207" s="177">
        <f t="shared" si="339"/>
        <v>6.4712206554230591E-6</v>
      </c>
      <c r="AF207" s="555">
        <f t="shared" si="374"/>
        <v>4374.3407407407412</v>
      </c>
      <c r="AG207" s="538">
        <f t="shared" si="341"/>
        <v>7.7611695137976321E-3</v>
      </c>
      <c r="AI207" s="177">
        <f t="shared" si="342"/>
        <v>0.53029012723943769</v>
      </c>
      <c r="AJ207" s="177">
        <f t="shared" si="375"/>
        <v>0.53029012723943769</v>
      </c>
      <c r="AK207" s="177">
        <f t="shared" si="376"/>
        <v>1.4535267514929584</v>
      </c>
      <c r="AM207" s="555">
        <f t="shared" si="345"/>
        <v>97</v>
      </c>
      <c r="AN207" s="469">
        <f t="shared" si="346"/>
        <v>350</v>
      </c>
      <c r="AP207">
        <f t="shared" si="347"/>
        <v>97</v>
      </c>
      <c r="AQ207">
        <f t="shared" si="348"/>
        <v>350</v>
      </c>
      <c r="AS207" s="5">
        <f t="shared" si="364"/>
        <v>2.8571428571428572</v>
      </c>
      <c r="AT207" s="5">
        <f t="shared" si="349"/>
        <v>0.79543519085915648</v>
      </c>
      <c r="AU207" s="5">
        <f t="shared" si="304"/>
        <v>2.0617076662837008</v>
      </c>
      <c r="AV207" s="5"/>
      <c r="AW207" s="177">
        <f t="shared" si="305"/>
        <v>0.27840231680070476</v>
      </c>
      <c r="AX207" s="177">
        <f t="shared" si="360"/>
        <v>1.4763399999999998</v>
      </c>
      <c r="AY207" s="177">
        <f t="shared" si="361"/>
        <v>8741.5878987213346</v>
      </c>
      <c r="AZ207" s="177">
        <f t="shared" si="365"/>
        <v>1.688869364587582E-4</v>
      </c>
      <c r="BA207" s="469">
        <f t="shared" si="350"/>
        <v>3.7498921501997473</v>
      </c>
      <c r="BB207" s="469">
        <f t="shared" si="351"/>
        <v>2.470642482895177</v>
      </c>
      <c r="BC207" s="5">
        <f t="shared" si="359"/>
        <v>0.13887891918716597</v>
      </c>
      <c r="BD207" s="469">
        <f t="shared" si="352"/>
        <v>16.907970302459916</v>
      </c>
      <c r="BF207" s="177">
        <f t="shared" si="366"/>
        <v>0.16154344373869128</v>
      </c>
      <c r="BG207" s="177">
        <f t="shared" si="362"/>
        <v>11882.6178999679</v>
      </c>
      <c r="BI207" s="538">
        <f t="shared" si="306"/>
        <v>9.1336994752344997E-3</v>
      </c>
      <c r="BJ207" s="538">
        <f t="shared" si="307"/>
        <v>645.342676634849</v>
      </c>
      <c r="BK207" s="538">
        <f t="shared" si="308"/>
        <v>4.3749999999999995E-3</v>
      </c>
      <c r="BL207" s="538">
        <f t="shared" si="309"/>
        <v>8462830.4513776898</v>
      </c>
      <c r="BM207">
        <f t="shared" si="310"/>
        <v>5.7999999999999996E-3</v>
      </c>
      <c r="BN207">
        <f t="shared" si="353"/>
        <v>1.3124999999999999E-5</v>
      </c>
      <c r="BO207" s="538">
        <f t="shared" si="377"/>
        <v>8477762.2645009141</v>
      </c>
      <c r="BP207" s="469">
        <f t="shared" si="311"/>
        <v>8463475813.3630228</v>
      </c>
      <c r="BQ207" s="538">
        <f t="shared" si="355"/>
        <v>107874208.65946156</v>
      </c>
      <c r="BT207" s="469">
        <f t="shared" si="312"/>
        <v>107874208659.46156</v>
      </c>
      <c r="BU207" s="538">
        <f t="shared" si="313"/>
        <v>2.6096284214955721E-3</v>
      </c>
      <c r="BV207" s="538">
        <f t="shared" si="314"/>
        <v>4235898.2446991261</v>
      </c>
      <c r="BW207" s="538">
        <f t="shared" si="315"/>
        <v>0</v>
      </c>
      <c r="BX207" s="538"/>
      <c r="BY207" s="538">
        <f t="shared" si="316"/>
        <v>4.9211333333333334E-3</v>
      </c>
      <c r="BZ207" s="469">
        <f t="shared" si="317"/>
        <v>4235898252.229888</v>
      </c>
      <c r="CA207" s="177">
        <f t="shared" si="318"/>
        <v>120573582.72505446</v>
      </c>
      <c r="CB207" s="5">
        <f t="shared" si="319"/>
        <v>1.4550000000000001</v>
      </c>
      <c r="CC207" s="177">
        <f t="shared" si="320"/>
        <v>1.2067319802214931E-8</v>
      </c>
      <c r="CD207" s="5">
        <f t="shared" si="321"/>
        <v>1.2067319802214932E-6</v>
      </c>
      <c r="CG207" s="571">
        <f t="shared" si="356"/>
        <v>-50</v>
      </c>
      <c r="CH207">
        <f t="shared" si="357"/>
        <v>-50</v>
      </c>
    </row>
    <row r="208" spans="5:86" x14ac:dyDescent="0.25">
      <c r="E208" s="174">
        <v>98</v>
      </c>
      <c r="F208" s="221">
        <f t="shared" si="378"/>
        <v>9.8000000000000004E-2</v>
      </c>
      <c r="G208" s="221"/>
      <c r="H208" s="221">
        <f t="shared" si="367"/>
        <v>1.47</v>
      </c>
      <c r="I208" s="551">
        <f t="shared" si="323"/>
        <v>20</v>
      </c>
      <c r="J208" s="451">
        <f t="shared" si="324"/>
        <v>695386.58000000007</v>
      </c>
      <c r="K208" s="451">
        <f t="shared" si="325"/>
        <v>695406.58000000007</v>
      </c>
      <c r="L208" s="451"/>
      <c r="M208" s="221">
        <f t="shared" si="326"/>
        <v>0.9999712398464794</v>
      </c>
      <c r="N208" s="176">
        <f t="shared" si="368"/>
        <v>6.9298006921361024</v>
      </c>
      <c r="O208" s="176">
        <f t="shared" si="363"/>
        <v>1.47</v>
      </c>
      <c r="P208" s="221">
        <f t="shared" si="369"/>
        <v>0.4619867128090735</v>
      </c>
      <c r="Q208" s="221">
        <f t="shared" si="329"/>
        <v>15</v>
      </c>
      <c r="R208" s="221"/>
      <c r="S208" s="176">
        <f t="shared" si="330"/>
        <v>68.877114672019943</v>
      </c>
      <c r="T208" s="546">
        <f t="shared" si="370"/>
        <v>15</v>
      </c>
      <c r="U208" s="221">
        <f t="shared" si="332"/>
        <v>0.16333803096017949</v>
      </c>
      <c r="V208" s="221">
        <f t="shared" si="371"/>
        <v>0.24500704644026922</v>
      </c>
      <c r="W208" s="221">
        <f t="shared" si="334"/>
        <v>7.0466429317709639E-6</v>
      </c>
      <c r="X208" s="201">
        <f t="shared" si="335"/>
        <v>350</v>
      </c>
      <c r="Y208" s="451">
        <f t="shared" si="303"/>
        <v>350</v>
      </c>
      <c r="AA208" s="221">
        <f t="shared" si="336"/>
        <v>1.9047071235171036</v>
      </c>
      <c r="AB208" s="177">
        <f t="shared" si="372"/>
        <v>8.2171867201568798E-5</v>
      </c>
      <c r="AC208" s="177">
        <f t="shared" si="373"/>
        <v>1.2514141549591451</v>
      </c>
      <c r="AD208" s="177"/>
      <c r="AE208" s="177">
        <f t="shared" si="339"/>
        <v>6.4712206554230591E-6</v>
      </c>
      <c r="AF208" s="555">
        <f t="shared" si="374"/>
        <v>4419.437037037038</v>
      </c>
      <c r="AG208" s="538">
        <f t="shared" si="341"/>
        <v>7.7611695137976321E-3</v>
      </c>
      <c r="AI208" s="177">
        <f t="shared" si="342"/>
        <v>0.53301657260038982</v>
      </c>
      <c r="AJ208" s="177">
        <f t="shared" si="375"/>
        <v>0.53301657260038982</v>
      </c>
      <c r="AK208" s="177">
        <f t="shared" si="376"/>
        <v>1.4553443817335932</v>
      </c>
      <c r="AM208" s="555">
        <f t="shared" si="345"/>
        <v>98</v>
      </c>
      <c r="AN208" s="469">
        <f t="shared" si="346"/>
        <v>350</v>
      </c>
      <c r="AP208">
        <f t="shared" si="347"/>
        <v>98</v>
      </c>
      <c r="AQ208">
        <f t="shared" si="348"/>
        <v>350</v>
      </c>
      <c r="AS208" s="5">
        <f t="shared" si="364"/>
        <v>2.8571428571428572</v>
      </c>
      <c r="AT208" s="5">
        <f t="shared" si="349"/>
        <v>0.79952485890058478</v>
      </c>
      <c r="AU208" s="5">
        <f t="shared" si="304"/>
        <v>2.0576179982422724</v>
      </c>
      <c r="AV208" s="5"/>
      <c r="AW208" s="177">
        <f t="shared" si="305"/>
        <v>0.27983370061520468</v>
      </c>
      <c r="AX208" s="177">
        <f t="shared" si="360"/>
        <v>1.4915599999999996</v>
      </c>
      <c r="AY208" s="177">
        <f t="shared" si="361"/>
        <v>8769.1028507696046</v>
      </c>
      <c r="AZ208" s="177">
        <f t="shared" si="365"/>
        <v>1.700926566129961E-4</v>
      </c>
      <c r="BA208" s="469">
        <f t="shared" si="350"/>
        <v>3.7498921501997473</v>
      </c>
      <c r="BB208" s="469">
        <f t="shared" si="351"/>
        <v>2.5188152200792095</v>
      </c>
      <c r="BC208" s="5">
        <f t="shared" si="359"/>
        <v>0.14003233599148798</v>
      </c>
      <c r="BD208" s="469">
        <f t="shared" si="352"/>
        <v>17.048880318978558</v>
      </c>
      <c r="BF208" s="177">
        <f t="shared" si="366"/>
        <v>0.16279088826137633</v>
      </c>
      <c r="BG208" s="177">
        <f t="shared" si="362"/>
        <v>11931.859613018905</v>
      </c>
      <c r="BI208" s="538">
        <f t="shared" si="306"/>
        <v>9.2753056553247695E-3</v>
      </c>
      <c r="BJ208" s="538">
        <f t="shared" si="307"/>
        <v>648.66065571187801</v>
      </c>
      <c r="BK208" s="538">
        <f t="shared" si="308"/>
        <v>4.3749999999999995E-3</v>
      </c>
      <c r="BL208" s="538">
        <f t="shared" si="309"/>
        <v>8462830.4513776898</v>
      </c>
      <c r="BM208">
        <f t="shared" si="310"/>
        <v>5.7999999999999996E-3</v>
      </c>
      <c r="BN208">
        <f t="shared" si="353"/>
        <v>1.3124999999999999E-5</v>
      </c>
      <c r="BO208" s="538">
        <f t="shared" si="377"/>
        <v>8477987.4609192517</v>
      </c>
      <c r="BP208" s="469">
        <f t="shared" si="311"/>
        <v>8463479131.4837074</v>
      </c>
      <c r="BQ208" s="538">
        <f t="shared" si="355"/>
        <v>108770125.23021781</v>
      </c>
      <c r="BT208" s="469">
        <f t="shared" si="312"/>
        <v>108770125230.21782</v>
      </c>
      <c r="BU208" s="538">
        <f t="shared" si="313"/>
        <v>2.6500873300927918E-3</v>
      </c>
      <c r="BV208" s="538">
        <f t="shared" si="314"/>
        <v>4271078.2147437502</v>
      </c>
      <c r="BW208" s="538">
        <f t="shared" si="315"/>
        <v>0</v>
      </c>
      <c r="BX208" s="538"/>
      <c r="BY208" s="538">
        <f t="shared" si="316"/>
        <v>4.9718666666666664E-3</v>
      </c>
      <c r="BZ208" s="469">
        <f t="shared" si="317"/>
        <v>4271078222.3657045</v>
      </c>
      <c r="CA208" s="177">
        <f t="shared" si="318"/>
        <v>121504682.58406721</v>
      </c>
      <c r="CB208" s="5">
        <f t="shared" si="319"/>
        <v>1.47</v>
      </c>
      <c r="CC208" s="177">
        <f t="shared" si="320"/>
        <v>1.2098299019862302E-8</v>
      </c>
      <c r="CD208" s="5">
        <f t="shared" si="321"/>
        <v>1.2098299019862301E-6</v>
      </c>
      <c r="CG208" s="571">
        <f t="shared" si="356"/>
        <v>-50</v>
      </c>
      <c r="CH208">
        <f t="shared" si="357"/>
        <v>-50</v>
      </c>
    </row>
    <row r="209" spans="5:88" x14ac:dyDescent="0.25">
      <c r="E209" s="174">
        <v>99</v>
      </c>
      <c r="F209" s="221">
        <f t="shared" si="378"/>
        <v>9.9000000000000005E-2</v>
      </c>
      <c r="G209" s="221"/>
      <c r="H209" s="221">
        <f t="shared" si="367"/>
        <v>1.4850000000000001</v>
      </c>
      <c r="I209" s="551">
        <f t="shared" si="323"/>
        <v>20</v>
      </c>
      <c r="J209" s="451">
        <f t="shared" si="324"/>
        <v>695386.58000000007</v>
      </c>
      <c r="K209" s="451">
        <f t="shared" si="325"/>
        <v>695406.58000000007</v>
      </c>
      <c r="L209" s="451"/>
      <c r="M209" s="221">
        <f t="shared" si="326"/>
        <v>0.9999712398464794</v>
      </c>
      <c r="N209" s="176">
        <f t="shared" si="368"/>
        <v>6.9298006921361024</v>
      </c>
      <c r="O209" s="176">
        <f t="shared" si="363"/>
        <v>1.4850000000000001</v>
      </c>
      <c r="P209" s="221">
        <f t="shared" si="369"/>
        <v>0.4619867128090735</v>
      </c>
      <c r="Q209" s="221">
        <f t="shared" si="329"/>
        <v>15</v>
      </c>
      <c r="R209" s="221"/>
      <c r="S209" s="176">
        <f t="shared" si="330"/>
        <v>68.181381847606147</v>
      </c>
      <c r="T209" s="546">
        <f t="shared" si="370"/>
        <v>15</v>
      </c>
      <c r="U209" s="221">
        <f t="shared" si="332"/>
        <v>0.16500474556181399</v>
      </c>
      <c r="V209" s="221">
        <f t="shared" si="371"/>
        <v>0.24750711834272102</v>
      </c>
      <c r="W209" s="221">
        <f t="shared" si="334"/>
        <v>7.1185474514829138E-6</v>
      </c>
      <c r="X209" s="201">
        <f t="shared" si="335"/>
        <v>350</v>
      </c>
      <c r="Y209" s="451">
        <f t="shared" si="303"/>
        <v>350</v>
      </c>
      <c r="AA209" s="221">
        <f t="shared" si="336"/>
        <v>1.9047071235171036</v>
      </c>
      <c r="AB209" s="177">
        <f t="shared" si="372"/>
        <v>8.2171867201568798E-5</v>
      </c>
      <c r="AC209" s="177">
        <f t="shared" si="373"/>
        <v>1.2514141549591451</v>
      </c>
      <c r="AD209" s="177"/>
      <c r="AE209" s="177">
        <f t="shared" si="339"/>
        <v>6.4712206554230591E-6</v>
      </c>
      <c r="AF209" s="555">
        <f t="shared" si="374"/>
        <v>4464.5333333333347</v>
      </c>
      <c r="AG209" s="538">
        <f t="shared" si="341"/>
        <v>7.7611695137976321E-3</v>
      </c>
      <c r="AI209" s="177">
        <f t="shared" si="342"/>
        <v>0.53572914265112959</v>
      </c>
      <c r="AJ209" s="177">
        <f t="shared" si="375"/>
        <v>0.53572914265112959</v>
      </c>
      <c r="AK209" s="177">
        <f t="shared" si="376"/>
        <v>1.4571527617674196</v>
      </c>
      <c r="AM209" s="555">
        <f t="shared" si="345"/>
        <v>99</v>
      </c>
      <c r="AN209" s="469">
        <f t="shared" si="346"/>
        <v>350</v>
      </c>
      <c r="AP209">
        <f t="shared" si="347"/>
        <v>99</v>
      </c>
      <c r="AQ209">
        <f t="shared" si="348"/>
        <v>350</v>
      </c>
      <c r="AS209" s="5">
        <f t="shared" si="364"/>
        <v>2.8571428571428572</v>
      </c>
      <c r="AT209" s="5">
        <f t="shared" si="349"/>
        <v>0.80359371397669432</v>
      </c>
      <c r="AU209" s="5">
        <f t="shared" si="304"/>
        <v>2.0535491431661628</v>
      </c>
      <c r="AV209" s="5"/>
      <c r="AW209" s="177">
        <f t="shared" si="305"/>
        <v>0.28125779989184302</v>
      </c>
      <c r="AX209" s="177">
        <f t="shared" si="360"/>
        <v>1.5067800000000002</v>
      </c>
      <c r="AY209" s="177">
        <f t="shared" si="361"/>
        <v>8796.300828293728</v>
      </c>
      <c r="AZ209" s="177">
        <f t="shared" si="365"/>
        <v>1.7129700648178941E-4</v>
      </c>
      <c r="BA209" s="469">
        <f t="shared" si="350"/>
        <v>3.7498921501997473</v>
      </c>
      <c r="BB209" s="469">
        <f t="shared" si="351"/>
        <v>2.5674512673882064</v>
      </c>
      <c r="BC209" s="5">
        <f t="shared" si="359"/>
        <v>0.14118150359267367</v>
      </c>
      <c r="BD209" s="469">
        <f t="shared" si="352"/>
        <v>17.189280431120846</v>
      </c>
      <c r="BF209" s="177">
        <f t="shared" si="366"/>
        <v>0.16403515452120512</v>
      </c>
      <c r="BG209" s="177">
        <f t="shared" si="362"/>
        <v>11980.718650261941</v>
      </c>
      <c r="BI209" s="538">
        <f t="shared" si="306"/>
        <v>9.4176361715784737E-3</v>
      </c>
      <c r="BJ209" s="538">
        <f t="shared" si="307"/>
        <v>651.96174907036993</v>
      </c>
      <c r="BK209" s="538">
        <f t="shared" si="308"/>
        <v>4.3749999999999995E-3</v>
      </c>
      <c r="BL209" s="538">
        <f t="shared" si="309"/>
        <v>8462830.4513776898</v>
      </c>
      <c r="BM209">
        <f t="shared" si="310"/>
        <v>5.7999999999999996E-3</v>
      </c>
      <c r="BN209">
        <f t="shared" si="353"/>
        <v>1.3124999999999999E-5</v>
      </c>
      <c r="BO209" s="538">
        <f t="shared" si="377"/>
        <v>8478213.787211556</v>
      </c>
      <c r="BP209" s="469">
        <f t="shared" si="311"/>
        <v>8463482432.7193966</v>
      </c>
      <c r="BQ209" s="538">
        <f t="shared" si="355"/>
        <v>109662741.23218846</v>
      </c>
      <c r="BT209" s="469">
        <f t="shared" si="312"/>
        <v>109662741232.18846</v>
      </c>
      <c r="BU209" s="538">
        <f t="shared" si="313"/>
        <v>2.6907531918795645E-3</v>
      </c>
      <c r="BV209" s="538">
        <f t="shared" si="314"/>
        <v>4306128.5813020281</v>
      </c>
      <c r="BW209" s="538">
        <f t="shared" si="315"/>
        <v>0</v>
      </c>
      <c r="BX209" s="538"/>
      <c r="BY209" s="538">
        <f t="shared" si="316"/>
        <v>5.0226000000000021E-3</v>
      </c>
      <c r="BZ209" s="469">
        <f t="shared" si="317"/>
        <v>4306128589.0153818</v>
      </c>
      <c r="CA209" s="177">
        <f t="shared" si="318"/>
        <v>122432352.25392324</v>
      </c>
      <c r="CB209" s="5">
        <f t="shared" si="319"/>
        <v>1.4850000000000001</v>
      </c>
      <c r="CC209" s="177">
        <f t="shared" si="320"/>
        <v>1.2129146868863098E-8</v>
      </c>
      <c r="CD209" s="5">
        <f t="shared" si="321"/>
        <v>1.2129146868863098E-6</v>
      </c>
      <c r="CG209" s="571">
        <f t="shared" si="356"/>
        <v>-50</v>
      </c>
      <c r="CH209">
        <f t="shared" si="357"/>
        <v>-50</v>
      </c>
    </row>
    <row r="210" spans="5:88" x14ac:dyDescent="0.25">
      <c r="E210" s="174">
        <v>100</v>
      </c>
      <c r="F210" s="221">
        <f t="shared" si="378"/>
        <v>0.1</v>
      </c>
      <c r="G210" s="221"/>
      <c r="H210" s="221">
        <f t="shared" si="367"/>
        <v>1.5</v>
      </c>
      <c r="I210" s="551">
        <f t="shared" si="323"/>
        <v>20</v>
      </c>
      <c r="J210" s="451">
        <f t="shared" si="324"/>
        <v>695386.58000000007</v>
      </c>
      <c r="K210" s="451">
        <f t="shared" si="325"/>
        <v>695406.58000000007</v>
      </c>
      <c r="L210" s="451"/>
      <c r="M210" s="221">
        <f t="shared" si="326"/>
        <v>0.9999712398464794</v>
      </c>
      <c r="N210" s="176">
        <f t="shared" si="368"/>
        <v>6.9298006921361024</v>
      </c>
      <c r="O210" s="176">
        <f t="shared" si="363"/>
        <v>1.5</v>
      </c>
      <c r="P210" s="221">
        <f t="shared" si="369"/>
        <v>0.4619867128090735</v>
      </c>
      <c r="Q210" s="221">
        <f t="shared" si="329"/>
        <v>15</v>
      </c>
      <c r="R210" s="221"/>
      <c r="S210" s="176">
        <f t="shared" si="330"/>
        <v>67.499563679963188</v>
      </c>
      <c r="T210" s="546">
        <f t="shared" si="370"/>
        <v>15</v>
      </c>
      <c r="U210" s="221">
        <f t="shared" si="332"/>
        <v>0.16667146016344847</v>
      </c>
      <c r="V210" s="221">
        <f t="shared" si="371"/>
        <v>0.25000719024517271</v>
      </c>
      <c r="W210" s="221">
        <f t="shared" si="334"/>
        <v>7.190451971194862E-6</v>
      </c>
      <c r="X210" s="201">
        <f t="shared" si="335"/>
        <v>350</v>
      </c>
      <c r="Y210" s="451">
        <f t="shared" si="303"/>
        <v>350</v>
      </c>
      <c r="AA210" s="221">
        <f t="shared" si="336"/>
        <v>1.9047071235171036</v>
      </c>
      <c r="AB210" s="177">
        <f t="shared" si="372"/>
        <v>8.2171867201568798E-5</v>
      </c>
      <c r="AC210" s="177">
        <f t="shared" si="373"/>
        <v>1.2514141549591451</v>
      </c>
      <c r="AD210" s="177"/>
      <c r="AE210" s="177">
        <f t="shared" si="339"/>
        <v>6.4712206554230591E-6</v>
      </c>
      <c r="AF210" s="555">
        <f t="shared" si="374"/>
        <v>4509.6296296296305</v>
      </c>
      <c r="AG210" s="538">
        <f t="shared" si="341"/>
        <v>7.7611695137976321E-3</v>
      </c>
      <c r="AI210" s="177">
        <f t="shared" si="342"/>
        <v>0.53842804710078207</v>
      </c>
      <c r="AJ210" s="177">
        <f t="shared" si="375"/>
        <v>0.53842804710078207</v>
      </c>
      <c r="AK210" s="177">
        <f t="shared" si="376"/>
        <v>1.4589520314005213</v>
      </c>
      <c r="AM210" s="555">
        <f t="shared" si="345"/>
        <v>100</v>
      </c>
      <c r="AN210" s="469">
        <f t="shared" si="346"/>
        <v>350</v>
      </c>
      <c r="AP210">
        <f t="shared" si="347"/>
        <v>100</v>
      </c>
      <c r="AQ210">
        <f t="shared" si="348"/>
        <v>350</v>
      </c>
      <c r="AS210" s="5">
        <f t="shared" si="364"/>
        <v>2.8571428571428572</v>
      </c>
      <c r="AT210" s="5">
        <f t="shared" si="349"/>
        <v>0.80764207065117299</v>
      </c>
      <c r="AU210" s="5">
        <f t="shared" si="304"/>
        <v>2.0495007864916843</v>
      </c>
      <c r="AV210" s="5"/>
      <c r="AW210" s="177">
        <f t="shared" si="305"/>
        <v>0.28267472472791055</v>
      </c>
      <c r="AX210" s="177">
        <f t="shared" si="360"/>
        <v>1.5220000000000005</v>
      </c>
      <c r="AY210" s="177">
        <f t="shared" si="361"/>
        <v>8823.1866219938147</v>
      </c>
      <c r="AZ210" s="177">
        <f t="shared" si="365"/>
        <v>1.7250003487470918E-4</v>
      </c>
      <c r="BA210" s="469">
        <f t="shared" si="350"/>
        <v>3.7498921501997473</v>
      </c>
      <c r="BB210" s="469">
        <f t="shared" si="351"/>
        <v>2.6165506248221684</v>
      </c>
      <c r="BC210" s="5">
        <f t="shared" si="359"/>
        <v>0.14232644350636695</v>
      </c>
      <c r="BD210" s="469">
        <f t="shared" si="352"/>
        <v>17.329173220764034</v>
      </c>
      <c r="BF210" s="177">
        <f t="shared" si="366"/>
        <v>0.16527628259850136</v>
      </c>
      <c r="BG210" s="177">
        <f t="shared" si="362"/>
        <v>12029.20058387815</v>
      </c>
      <c r="BI210" s="538">
        <f t="shared" si="306"/>
        <v>9.5606873563528882E-3</v>
      </c>
      <c r="BJ210" s="538">
        <f t="shared" si="307"/>
        <v>655.24621191825918</v>
      </c>
      <c r="BK210" s="538">
        <f t="shared" si="308"/>
        <v>4.3749999999999995E-3</v>
      </c>
      <c r="BL210" s="538">
        <f t="shared" si="309"/>
        <v>8462830.4513776898</v>
      </c>
      <c r="BM210">
        <f t="shared" si="310"/>
        <v>5.7999999999999996E-3</v>
      </c>
      <c r="BN210">
        <f t="shared" si="353"/>
        <v>1.3124999999999999E-5</v>
      </c>
      <c r="BO210" s="538">
        <f t="shared" si="377"/>
        <v>8478441.2380662151</v>
      </c>
      <c r="BP210" s="469">
        <f t="shared" si="311"/>
        <v>8463485717.3252945</v>
      </c>
      <c r="BQ210" s="538">
        <f t="shared" si="355"/>
        <v>110552073.37765123</v>
      </c>
      <c r="BT210" s="469">
        <f t="shared" si="312"/>
        <v>110552073377.65123</v>
      </c>
      <c r="BU210" s="538">
        <f t="shared" si="313"/>
        <v>2.7316249589579684E-3</v>
      </c>
      <c r="BV210" s="538">
        <f t="shared" si="314"/>
        <v>4341050.0006152317</v>
      </c>
      <c r="BW210" s="538">
        <f t="shared" si="315"/>
        <v>0</v>
      </c>
      <c r="BX210" s="538"/>
      <c r="BY210" s="538">
        <f t="shared" si="316"/>
        <v>5.0733333333333351E-3</v>
      </c>
      <c r="BZ210" s="469">
        <f t="shared" si="317"/>
        <v>4341050008.4201899</v>
      </c>
      <c r="CA210" s="177">
        <f t="shared" si="318"/>
        <v>123356609.10339671</v>
      </c>
      <c r="CB210" s="5">
        <f t="shared" si="319"/>
        <v>1.5</v>
      </c>
      <c r="CC210" s="177">
        <f t="shared" si="320"/>
        <v>1.2159867174225816E-8</v>
      </c>
      <c r="CD210" s="5">
        <f t="shared" si="321"/>
        <v>1.2159867174225816E-6</v>
      </c>
      <c r="CG210" s="571">
        <f t="shared" si="356"/>
        <v>-50</v>
      </c>
      <c r="CH210">
        <f t="shared" si="357"/>
        <v>-50</v>
      </c>
    </row>
    <row r="211" spans="5:88" x14ac:dyDescent="0.25">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5">
      <c r="E212" s="647">
        <v>101</v>
      </c>
      <c r="F212" s="648">
        <f>Ioutmax_Vinmin</f>
        <v>0.4619867128090735</v>
      </c>
      <c r="H212" s="221">
        <f t="shared" ref="H212" si="379">F212*Vout</f>
        <v>6.9298006921361024</v>
      </c>
      <c r="I212" s="551">
        <f t="shared" si="323"/>
        <v>20</v>
      </c>
      <c r="J212" s="451">
        <f t="shared" ref="J212" si="380">(T212+Vfwd1)*Nps</f>
        <v>677585.16653250309</v>
      </c>
      <c r="K212" s="451">
        <f t="shared" ref="K212" si="381">(Vout+Vfwd1)*Nps+I212</f>
        <v>695406.58000000007</v>
      </c>
      <c r="L212" s="451"/>
      <c r="M212" s="221">
        <f t="shared" ref="M212" si="382">(Vout+Vfwd1)*Nps/((Vout+Vfwd1)*Nps+I212)</f>
        <v>0.9999712398464794</v>
      </c>
      <c r="N212" s="176">
        <f>M212*I212*(Isw_max+VIN_min/Lmag*ILIM_delay)*0.5*Efficiency</f>
        <v>6.9298006921361024</v>
      </c>
      <c r="O212" s="176">
        <f t="shared" ref="O212" si="383">T212*F212</f>
        <v>6.7498007689334916</v>
      </c>
      <c r="P212" s="221">
        <f t="shared" ref="P212" si="384">N212/Vout</f>
        <v>0.4619867128090735</v>
      </c>
      <c r="Q212" s="221">
        <f t="shared" ref="Q212" si="385">MIN(Vout,N212/F212)</f>
        <v>15</v>
      </c>
      <c r="R212" s="221"/>
      <c r="S212" s="176">
        <f t="shared" ref="S212" si="386">(SQRT(Isw_max^2*Nps^2*I212^2+4*Isw_max*F212/Efficiency*(Nps^2*Vfwd1*I212-Nps*I212^2)+4*(F212/Efficiency)^2*Nps^2*Vfwd1^2+8*(F212/Efficiency)^2*Nps*Vfwd1*I212+4*(F212/Efficiency)^2*I212^2)-2*F212/Efficiency*I212-2*F212/Efficiency*Nps*Vfwd1+Isw_max*Nps*I212)/(4*F212/Efficiency*Nps)</f>
        <v>14.610378571045613</v>
      </c>
      <c r="T212" s="546">
        <f t="shared" ref="T212" si="387">MIN(Vout, S212)</f>
        <v>14.610378571045613</v>
      </c>
      <c r="U212" s="221">
        <f>MIN(2*Vout*F212/(Efficiency*I212*M212), Isw_max)</f>
        <v>0.75</v>
      </c>
      <c r="V212" s="221">
        <f t="shared" ref="V212" si="388">L*U212/I212*1000000</f>
        <v>1.125</v>
      </c>
      <c r="W212" s="221">
        <f t="shared" ref="W212" si="389">L*U212/J212*1000000</f>
        <v>3.320615785487491E-5</v>
      </c>
      <c r="X212" s="201">
        <f t="shared" ref="X212" si="390">IF(1/((350000*L)*(1/I212+1/J212))&gt;Isw_min, 350, 0.001/((Isw_min*L)*(1/I212+1/J212)))</f>
        <v>350</v>
      </c>
      <c r="Y212" s="451">
        <f t="shared" ref="Y212" si="391">MIN(1/(V212+W212)*1000, 350)</f>
        <v>350</v>
      </c>
      <c r="AA212" s="221">
        <f t="shared" ref="AA212" si="392">1/((X212*1000*L)*(1/I212+1/J212))</f>
        <v>1.9047056843551298</v>
      </c>
      <c r="AB212" s="177">
        <f t="shared" ref="AB212" si="393">L*AA212/J212*1000000</f>
        <v>8.4330610162365322E-5</v>
      </c>
      <c r="AC212" s="177">
        <f t="shared" ref="AC212" si="394">0.5*AB212*AA212*Nps*X212/1000</f>
        <v>1.2842891747391538</v>
      </c>
      <c r="AD212" s="177"/>
      <c r="AE212" s="177">
        <f t="shared" ref="AE212" si="395">L*Isw_min/J212*1000000</f>
        <v>6.6412315709749824E-6</v>
      </c>
      <c r="AF212" s="555">
        <f>MAX(12000,F212/(0.5*AE212/1000000*Isw_min*Nps))/1000</f>
        <v>20300.55658000441</v>
      </c>
      <c r="AG212" s="538">
        <f t="shared" ref="AG212" si="396">0.5*AE212/1000000*Isw_min*Nps*X212*1000</f>
        <v>7.9650697677147442E-3</v>
      </c>
      <c r="AI212" s="177">
        <f t="shared" ref="AI212" si="397">SQRT(F212/(0.5*L/J212*Fsw_DCM*Nps))</f>
        <v>1.1423816263154536</v>
      </c>
      <c r="AJ212" s="177">
        <f t="shared" ref="AJ212" si="398">MAX(IF(F212&gt;AC212,U212,AI212),Isw_min)</f>
        <v>1.1423816263154536</v>
      </c>
      <c r="AK212" s="177">
        <f t="shared" ref="AK212" si="399">IF(F212&gt;AG212, (AJ212-Isw_min)/1.08*0.8+1.2, AF212*0.2/350+1)</f>
        <v>1.93509750097441</v>
      </c>
      <c r="AM212" s="555">
        <f t="shared" ref="AM212" si="400">F212*1000</f>
        <v>461.98671280907348</v>
      </c>
      <c r="AN212" s="469">
        <f t="shared" ref="AN212" si="401">IF(F212&gt;AG212, Y212, AF212)</f>
        <v>350</v>
      </c>
      <c r="AS212" s="5">
        <f t="shared" ref="AS212" si="402">1/AN212*1000</f>
        <v>2.8571428571428572</v>
      </c>
      <c r="AT212" s="5">
        <f t="shared" ref="AT212" si="403">L*AJ212/I212*1000000</f>
        <v>1.7135724394731806</v>
      </c>
      <c r="AU212" s="5">
        <f t="shared" si="304"/>
        <v>1.1435704176696766</v>
      </c>
      <c r="AV212" s="5"/>
      <c r="AW212" s="177"/>
      <c r="AX212" s="177"/>
      <c r="BA212" s="469">
        <f>L*Isw_max^2/(2*Vout_ripple*Vout)*1000000000*((1+M212)/2)^2</f>
        <v>3.7498921501997473</v>
      </c>
      <c r="BB212" s="469">
        <f>L*F212^2/(2*Cout*Vout*Nps^2)*1000000000*((1+M212)/(1-M212))^2+F212*RCoutEsr</f>
        <v>50.828499222159131</v>
      </c>
      <c r="BC212" s="5">
        <f t="shared" si="359"/>
        <v>0.36688495703118962</v>
      </c>
      <c r="BD212" s="469">
        <f>((CB212/I212/Efficiency)*AU212/Cin+(CB212/I212/Efficiency)*RCinEsr)*1000</f>
        <v>44.007591708802117</v>
      </c>
      <c r="BQ212" s="538">
        <f>(Vfwd2*F212+BG212^2*Rdiode)*(1+Diode_TC/1000*(Ta-25))</f>
        <v>0.13235919321979955</v>
      </c>
      <c r="CB212" s="5">
        <f t="shared" si="319"/>
        <v>6.7498007689334916</v>
      </c>
      <c r="CG212" s="571"/>
    </row>
    <row r="213" spans="5:88" x14ac:dyDescent="0.25">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x14ac:dyDescent="0.25">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3">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5">
      <c r="E216" s="174">
        <v>0.1</v>
      </c>
      <c r="F216" s="221">
        <v>1.0000000000000001E-9</v>
      </c>
      <c r="G216" s="221"/>
      <c r="H216" s="221">
        <f t="shared" ref="H216:H247" si="404">F216*Vout</f>
        <v>1.5000000000000002E-8</v>
      </c>
      <c r="I216" s="551">
        <f t="shared" ref="I216:I247" si="405">VIN_max</f>
        <v>28</v>
      </c>
      <c r="J216" s="451">
        <f t="shared" ref="J216:J247" si="406">(T216+Vfwd1)*Nps</f>
        <v>695386.58000000007</v>
      </c>
      <c r="K216" s="451">
        <f t="shared" ref="K216:K247" si="407">(Vout+Vfwd1)*Nps+I216</f>
        <v>695414.58000000007</v>
      </c>
      <c r="L216" s="451"/>
      <c r="M216" s="221">
        <f t="shared" ref="M216:M247" si="408">(Vout+Vfwd1)*Nps/((Vout+Vfwd1)*Nps+I216)</f>
        <v>0.99995973624826795</v>
      </c>
      <c r="N216" s="176">
        <f t="shared" ref="N216:N247" si="409">M216*I216*(Isw_max+VIN_max/Lmag*ILIM_delay)*0.5*Efficiency</f>
        <v>9.8024053024945204</v>
      </c>
      <c r="O216" s="176">
        <f t="shared" si="363"/>
        <v>1.5000000000000002E-8</v>
      </c>
      <c r="P216" s="221">
        <f t="shared" ref="P216:P247" si="410">N216/Vout</f>
        <v>0.65349368683296805</v>
      </c>
      <c r="Q216" s="221">
        <f t="shared" ref="Q216:Q247" si="411">MIN(Vout,N216/F216)</f>
        <v>15</v>
      </c>
      <c r="R216" s="221"/>
      <c r="S216" s="176">
        <f t="shared" ref="S216:S247" si="412">(SQRT(Isw_max^2*Nps^2*I216^2+4*Isw_max*F216/Efficiency*(Nps^2*Vfwd1*I216-Nps*I216^2)+4*(F216/Efficiency)^2*Nps^2*Vfwd1^2+8*(F216/Efficiency)^2*Nps*Vfwd1*I216+4*(F216/Efficiency)^2*I216^2)-2*F216/Efficiency*I216-2*F216/Efficiency*Nps*Vfwd1+Isw_max*Nps*I216)/(4*F216/Efficiency*Nps)</f>
        <v>9449999999.9993877</v>
      </c>
      <c r="T216" s="176">
        <f t="shared" ref="T216:T247" si="413">MIN(Vout, S216)</f>
        <v>15</v>
      </c>
      <c r="U216" s="221">
        <f t="shared" ref="U216:U247" si="414">MIN(2*Vout*F216/(Efficiency*I216*M216), Isw_max)</f>
        <v>1.1905241254440086E-9</v>
      </c>
      <c r="V216" s="221">
        <f t="shared" ref="V216:V247" si="415">L*U216/I216*1000000</f>
        <v>1.2755615629757235E-9</v>
      </c>
      <c r="W216" s="221">
        <f t="shared" ref="W216:W247" si="416">L*U216/J216*1000000</f>
        <v>5.1360962075684955E-14</v>
      </c>
      <c r="X216" s="201">
        <f t="shared" ref="X216:X247" si="417">IF(1/((350000*L)*(1/I216+1/J216))&gt;Isw_min, 350, 0.001/((Isw_min*L)*(1/I216+1/J216)))</f>
        <v>350</v>
      </c>
      <c r="Y216" s="451">
        <f t="shared" ref="Y216:Y275" si="418">MIN(1/(V216+W216)*1000, 350)</f>
        <v>350</v>
      </c>
      <c r="AA216" s="221">
        <f t="shared" ref="AA216:AA247" si="419">1/((X216*1000*L)*(1/I216+1/J216))</f>
        <v>2.6665592966620477</v>
      </c>
      <c r="AB216" s="177">
        <f t="shared" ref="AB216:AB247" si="420">L*AA216/J216*1000000</f>
        <v>1.1503929066313219E-4</v>
      </c>
      <c r="AC216" s="177">
        <f t="shared" ref="AC216:AC247" si="421">0.5*AB216*AA216*Nps*X216/1000</f>
        <v>2.4527153110202145</v>
      </c>
      <c r="AD216" s="177"/>
      <c r="AE216" s="177">
        <f t="shared" ref="AE216:AE247" si="422">L*Isw_min/J216*1000000</f>
        <v>6.4712206554230591E-6</v>
      </c>
      <c r="AF216" s="555">
        <f t="shared" ref="AF216:AF247" si="423">MAX(12000,F216/(0.5*AE216/1000000*Isw_min*Nps))/1000</f>
        <v>12</v>
      </c>
      <c r="AG216" s="538">
        <f t="shared" ref="AG216:AG247" si="424">0.5*AE216/1000000*Isw_min*Nps*X216*1000</f>
        <v>7.7611695137976321E-3</v>
      </c>
      <c r="AI216" s="177">
        <f t="shared" ref="AI216:AI247" si="425">SQRT(F216/(0.5*L/J216*Fsw_DCM*Nps))</f>
        <v>5.3842804710078199E-5</v>
      </c>
      <c r="AJ216" s="177">
        <f t="shared" ref="AJ216:AJ247" si="426">MAX(IF(F216&gt;AC216,U216,AI216),Isw_min)</f>
        <v>0.15</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0.16071428571428573</v>
      </c>
      <c r="AU216" s="5">
        <f t="shared" si="304"/>
        <v>83.172619047619037</v>
      </c>
      <c r="AV216" s="5"/>
      <c r="AW216" s="177">
        <f t="shared" si="305"/>
        <v>1.9285714285714288E-3</v>
      </c>
      <c r="AX216" s="177"/>
      <c r="BA216" s="469">
        <f t="shared" ref="BA216:BA247" si="433">L*Isw_max^2/(2*Vout_ripple*Vout)*1000000000*((1+M216)/2)^2</f>
        <v>3.7498490124508512</v>
      </c>
      <c r="BB216" s="469">
        <f t="shared" ref="BB216:BB247" si="434">L*F216^2/(2*Cout*Vout*Nps^2)*1000000000*((1+M216)/(1-M216))^2+F216*RCoutEsr</f>
        <v>3.0000001181927184E-9</v>
      </c>
      <c r="BC216" s="5">
        <f t="shared" si="359"/>
        <v>4.1256259448223725E-8</v>
      </c>
      <c r="BD216" s="469">
        <f t="shared" ref="BD216:BD247" si="435">((CB216/I216/Efficiency)*AU216/Cin+(CB216/I216/Efficiency)*RCinEsr)*1000</f>
        <v>0</v>
      </c>
      <c r="BQ216" s="538">
        <f t="shared" ref="BQ216:BQ247" si="436">(Vfwd2*F216+BG216^2*Rdiode)*(1+Diode_TC/1000*(Ta-25))</f>
        <v>2.8649999999999999E-10</v>
      </c>
      <c r="CG216" s="571">
        <f t="shared" ref="CG216:CG247" si="437">IF(ABS(F216-Ioutmax_Vinmax)&lt;Iout/200, AN216, -50)</f>
        <v>-50</v>
      </c>
      <c r="CH216">
        <f t="shared" ref="CH216:CH247" si="438">IF(ABS(F216-Ioutmax_Vinmin)&lt;Iout/200, N216*CC216, -50)</f>
        <v>-50</v>
      </c>
    </row>
    <row r="217" spans="5:88" x14ac:dyDescent="0.25">
      <c r="E217" s="174">
        <v>1</v>
      </c>
      <c r="F217" s="221">
        <f t="shared" ref="F217:F248" si="439">IF(PLOT_TYPE=1, E217/100*Iout_max, min_I*EXP(N217*rr/100))</f>
        <v>1E-3</v>
      </c>
      <c r="G217" s="221"/>
      <c r="H217" s="221">
        <f t="shared" si="404"/>
        <v>1.4999999999999999E-2</v>
      </c>
      <c r="I217" s="551">
        <f t="shared" si="405"/>
        <v>28</v>
      </c>
      <c r="J217" s="451">
        <f t="shared" si="406"/>
        <v>695386.58000000007</v>
      </c>
      <c r="K217" s="451">
        <f t="shared" si="407"/>
        <v>695414.58000000007</v>
      </c>
      <c r="L217" s="451"/>
      <c r="M217" s="221">
        <f t="shared" si="408"/>
        <v>0.99995973624826795</v>
      </c>
      <c r="N217" s="176">
        <f t="shared" si="409"/>
        <v>9.8024053024945204</v>
      </c>
      <c r="O217" s="176">
        <f t="shared" si="363"/>
        <v>1.4999999999999999E-2</v>
      </c>
      <c r="P217" s="221">
        <f t="shared" si="410"/>
        <v>0.65349368683296805</v>
      </c>
      <c r="Q217" s="221">
        <f t="shared" si="411"/>
        <v>15</v>
      </c>
      <c r="R217" s="221"/>
      <c r="S217" s="176">
        <f t="shared" si="412"/>
        <v>9449.9993871752904</v>
      </c>
      <c r="T217" s="176">
        <f t="shared" si="413"/>
        <v>15</v>
      </c>
      <c r="U217" s="221">
        <f t="shared" si="414"/>
        <v>1.1905241254440084E-3</v>
      </c>
      <c r="V217" s="221">
        <f t="shared" si="415"/>
        <v>1.2755615629757233E-3</v>
      </c>
      <c r="W217" s="221">
        <f t="shared" si="416"/>
        <v>5.1360962075684935E-8</v>
      </c>
      <c r="X217" s="201">
        <f t="shared" si="417"/>
        <v>350</v>
      </c>
      <c r="Y217" s="451">
        <f t="shared" si="418"/>
        <v>350</v>
      </c>
      <c r="AA217" s="221">
        <f t="shared" si="419"/>
        <v>2.6665592966620477</v>
      </c>
      <c r="AB217" s="177">
        <f t="shared" si="420"/>
        <v>1.1503929066313219E-4</v>
      </c>
      <c r="AC217" s="177">
        <f t="shared" si="421"/>
        <v>2.4527153110202145</v>
      </c>
      <c r="AD217" s="177"/>
      <c r="AE217" s="177">
        <f t="shared" si="422"/>
        <v>6.4712206554230591E-6</v>
      </c>
      <c r="AF217" s="555">
        <f t="shared" si="423"/>
        <v>45.096296296296309</v>
      </c>
      <c r="AG217" s="538">
        <f t="shared" si="424"/>
        <v>7.7611695137976321E-3</v>
      </c>
      <c r="AI217" s="177">
        <f t="shared" si="425"/>
        <v>5.3842804710078199E-2</v>
      </c>
      <c r="AJ217" s="177">
        <f t="shared" si="426"/>
        <v>0.15</v>
      </c>
      <c r="AK217" s="177">
        <f t="shared" si="427"/>
        <v>1.0257693121693121</v>
      </c>
      <c r="AM217" s="555">
        <f t="shared" si="428"/>
        <v>1</v>
      </c>
      <c r="AN217" s="469">
        <f t="shared" si="429"/>
        <v>45.096296296296309</v>
      </c>
      <c r="AP217">
        <f t="shared" si="430"/>
        <v>1</v>
      </c>
      <c r="AQ217">
        <f t="shared" si="431"/>
        <v>45.096296296296309</v>
      </c>
      <c r="AS217" s="5">
        <f t="shared" si="364"/>
        <v>22.174770039421805</v>
      </c>
      <c r="AT217" s="5">
        <f t="shared" si="432"/>
        <v>0.16071428571428573</v>
      </c>
      <c r="AU217" s="5">
        <f t="shared" si="304"/>
        <v>22.01405575370752</v>
      </c>
      <c r="AV217" s="5"/>
      <c r="AW217" s="177">
        <f t="shared" si="305"/>
        <v>7.2476190476190505E-3</v>
      </c>
      <c r="AX217" s="177"/>
      <c r="BA217" s="469">
        <f t="shared" si="433"/>
        <v>3.7498490124508512</v>
      </c>
      <c r="BB217" s="469">
        <f t="shared" si="434"/>
        <v>3.1181927181141047E-3</v>
      </c>
      <c r="BC217" s="5">
        <f t="shared" si="359"/>
        <v>1.0919670512751743E-2</v>
      </c>
      <c r="BD217" s="469">
        <f t="shared" si="435"/>
        <v>0</v>
      </c>
      <c r="BQ217" s="538">
        <f t="shared" si="436"/>
        <v>2.8649999999999997E-4</v>
      </c>
      <c r="CG217" s="571">
        <f t="shared" si="437"/>
        <v>-50</v>
      </c>
      <c r="CH217">
        <f t="shared" si="438"/>
        <v>-50</v>
      </c>
    </row>
    <row r="218" spans="5:88" x14ac:dyDescent="0.25">
      <c r="E218" s="174">
        <v>2</v>
      </c>
      <c r="F218" s="221">
        <f t="shared" si="439"/>
        <v>2E-3</v>
      </c>
      <c r="G218" s="221"/>
      <c r="H218" s="221">
        <f t="shared" si="404"/>
        <v>0.03</v>
      </c>
      <c r="I218" s="551">
        <f t="shared" si="405"/>
        <v>28</v>
      </c>
      <c r="J218" s="451">
        <f t="shared" si="406"/>
        <v>695386.58000000007</v>
      </c>
      <c r="K218" s="451">
        <f t="shared" si="407"/>
        <v>695414.58000000007</v>
      </c>
      <c r="L218" s="451"/>
      <c r="M218" s="221">
        <f t="shared" si="408"/>
        <v>0.99995973624826795</v>
      </c>
      <c r="N218" s="176">
        <f t="shared" si="409"/>
        <v>9.8024053024945204</v>
      </c>
      <c r="O218" s="176">
        <f t="shared" si="363"/>
        <v>0.03</v>
      </c>
      <c r="P218" s="221">
        <f t="shared" si="410"/>
        <v>0.65349368683296805</v>
      </c>
      <c r="Q218" s="221">
        <f t="shared" si="411"/>
        <v>15</v>
      </c>
      <c r="R218" s="221"/>
      <c r="S218" s="176">
        <f t="shared" si="412"/>
        <v>4724.9993871895567</v>
      </c>
      <c r="T218" s="176">
        <f t="shared" si="413"/>
        <v>15</v>
      </c>
      <c r="U218" s="221">
        <f t="shared" si="414"/>
        <v>2.3810482508880167E-3</v>
      </c>
      <c r="V218" s="221">
        <f t="shared" si="415"/>
        <v>2.5511231259514465E-3</v>
      </c>
      <c r="W218" s="221">
        <f t="shared" si="416"/>
        <v>1.0272192415136987E-7</v>
      </c>
      <c r="X218" s="201">
        <f t="shared" si="417"/>
        <v>350</v>
      </c>
      <c r="Y218" s="451">
        <f t="shared" si="418"/>
        <v>350</v>
      </c>
      <c r="AA218" s="221">
        <f t="shared" si="419"/>
        <v>2.6665592966620477</v>
      </c>
      <c r="AB218" s="177">
        <f t="shared" si="420"/>
        <v>1.1503929066313219E-4</v>
      </c>
      <c r="AC218" s="177">
        <f t="shared" si="421"/>
        <v>2.4527153110202145</v>
      </c>
      <c r="AD218" s="177"/>
      <c r="AE218" s="177">
        <f t="shared" si="422"/>
        <v>6.4712206554230591E-6</v>
      </c>
      <c r="AF218" s="555">
        <f t="shared" si="423"/>
        <v>90.192592592592618</v>
      </c>
      <c r="AG218" s="538">
        <f t="shared" si="424"/>
        <v>7.7611695137976321E-3</v>
      </c>
      <c r="AI218" s="177">
        <f t="shared" si="425"/>
        <v>7.6145224657198557E-2</v>
      </c>
      <c r="AJ218" s="177">
        <f t="shared" si="426"/>
        <v>0.15</v>
      </c>
      <c r="AK218" s="177">
        <f t="shared" si="427"/>
        <v>1.0515386243386244</v>
      </c>
      <c r="AM218" s="555">
        <f t="shared" si="428"/>
        <v>2</v>
      </c>
      <c r="AN218" s="469">
        <f t="shared" si="429"/>
        <v>90.192592592592618</v>
      </c>
      <c r="AP218">
        <f t="shared" si="430"/>
        <v>2</v>
      </c>
      <c r="AQ218">
        <f t="shared" si="431"/>
        <v>90.192592592592618</v>
      </c>
      <c r="AS218" s="5">
        <f t="shared" si="364"/>
        <v>11.087385019710903</v>
      </c>
      <c r="AT218" s="5">
        <f t="shared" si="432"/>
        <v>0.16071428571428573</v>
      </c>
      <c r="AU218" s="5">
        <f t="shared" si="304"/>
        <v>10.926670733996616</v>
      </c>
      <c r="AV218" s="5"/>
      <c r="AW218" s="177">
        <f t="shared" si="305"/>
        <v>1.4495238095238101E-2</v>
      </c>
      <c r="AX218" s="177"/>
      <c r="BA218" s="469">
        <f t="shared" si="433"/>
        <v>3.7498490124508512</v>
      </c>
      <c r="BB218" s="469">
        <f t="shared" si="434"/>
        <v>6.472770872456418E-3</v>
      </c>
      <c r="BC218" s="5">
        <f t="shared" si="359"/>
        <v>1.083995112499664E-2</v>
      </c>
      <c r="BD218" s="469">
        <f t="shared" si="435"/>
        <v>0</v>
      </c>
      <c r="BQ218" s="538">
        <f t="shared" si="436"/>
        <v>5.7299999999999994E-4</v>
      </c>
      <c r="CG218" s="571">
        <f t="shared" si="437"/>
        <v>-50</v>
      </c>
      <c r="CH218">
        <f t="shared" si="438"/>
        <v>-50</v>
      </c>
    </row>
    <row r="219" spans="5:88" x14ac:dyDescent="0.25">
      <c r="E219" s="174">
        <v>3</v>
      </c>
      <c r="F219" s="221">
        <f t="shared" si="439"/>
        <v>3.0000000000000001E-3</v>
      </c>
      <c r="G219" s="221"/>
      <c r="H219" s="221">
        <f t="shared" si="404"/>
        <v>4.4999999999999998E-2</v>
      </c>
      <c r="I219" s="551">
        <f t="shared" si="405"/>
        <v>28</v>
      </c>
      <c r="J219" s="451">
        <f t="shared" si="406"/>
        <v>695386.58000000007</v>
      </c>
      <c r="K219" s="451">
        <f t="shared" si="407"/>
        <v>695414.58000000007</v>
      </c>
      <c r="L219" s="451"/>
      <c r="M219" s="221">
        <f t="shared" si="408"/>
        <v>0.99995973624826795</v>
      </c>
      <c r="N219" s="176">
        <f t="shared" si="409"/>
        <v>9.8024053024945204</v>
      </c>
      <c r="O219" s="176">
        <f t="shared" si="363"/>
        <v>4.4999999999999998E-2</v>
      </c>
      <c r="P219" s="221">
        <f t="shared" si="410"/>
        <v>0.65349368683296805</v>
      </c>
      <c r="Q219" s="221">
        <f t="shared" si="411"/>
        <v>15</v>
      </c>
      <c r="R219" s="221"/>
      <c r="S219" s="176">
        <f t="shared" si="412"/>
        <v>3149.9993872038222</v>
      </c>
      <c r="T219" s="176">
        <f t="shared" si="413"/>
        <v>15</v>
      </c>
      <c r="U219" s="221">
        <f t="shared" si="414"/>
        <v>3.5715723763320253E-3</v>
      </c>
      <c r="V219" s="221">
        <f t="shared" si="415"/>
        <v>3.82668468892717E-3</v>
      </c>
      <c r="W219" s="221">
        <f t="shared" si="416"/>
        <v>1.5408288622705483E-7</v>
      </c>
      <c r="X219" s="201">
        <f t="shared" si="417"/>
        <v>350</v>
      </c>
      <c r="Y219" s="451">
        <f t="shared" si="418"/>
        <v>350</v>
      </c>
      <c r="AA219" s="221">
        <f t="shared" si="419"/>
        <v>2.6665592966620477</v>
      </c>
      <c r="AB219" s="177">
        <f t="shared" si="420"/>
        <v>1.1503929066313219E-4</v>
      </c>
      <c r="AC219" s="177">
        <f t="shared" si="421"/>
        <v>2.4527153110202145</v>
      </c>
      <c r="AD219" s="177"/>
      <c r="AE219" s="177">
        <f t="shared" si="422"/>
        <v>6.4712206554230591E-6</v>
      </c>
      <c r="AF219" s="555">
        <f t="shared" si="423"/>
        <v>135.28888888888895</v>
      </c>
      <c r="AG219" s="538">
        <f t="shared" si="424"/>
        <v>7.7611695137976321E-3</v>
      </c>
      <c r="AI219" s="177">
        <f t="shared" si="425"/>
        <v>9.3258473379864301E-2</v>
      </c>
      <c r="AJ219" s="177">
        <f t="shared" si="426"/>
        <v>0.15</v>
      </c>
      <c r="AK219" s="177">
        <f t="shared" si="427"/>
        <v>1.0773079365079365</v>
      </c>
      <c r="AM219" s="555">
        <f t="shared" si="428"/>
        <v>3</v>
      </c>
      <c r="AN219" s="469">
        <f t="shared" si="429"/>
        <v>135.28888888888895</v>
      </c>
      <c r="AP219">
        <f t="shared" si="430"/>
        <v>3</v>
      </c>
      <c r="AQ219">
        <f t="shared" si="431"/>
        <v>135.28888888888895</v>
      </c>
      <c r="AS219" s="5">
        <f t="shared" si="364"/>
        <v>7.3915900131406014</v>
      </c>
      <c r="AT219" s="5">
        <f t="shared" si="432"/>
        <v>0.16071428571428573</v>
      </c>
      <c r="AU219" s="5">
        <f t="shared" si="304"/>
        <v>7.2308757274263158</v>
      </c>
      <c r="AV219" s="5"/>
      <c r="AW219" s="177">
        <f t="shared" si="305"/>
        <v>2.1742857142857154E-2</v>
      </c>
      <c r="AX219" s="177"/>
      <c r="BA219" s="469">
        <f t="shared" si="433"/>
        <v>3.7498490124508512</v>
      </c>
      <c r="BB219" s="469">
        <f t="shared" si="434"/>
        <v>1.0063734463026941E-2</v>
      </c>
      <c r="BC219" s="5">
        <f t="shared" si="359"/>
        <v>1.0760231737241541E-2</v>
      </c>
      <c r="BD219" s="469">
        <f t="shared" si="435"/>
        <v>0</v>
      </c>
      <c r="BQ219" s="538">
        <f t="shared" si="436"/>
        <v>8.5949999999999991E-4</v>
      </c>
      <c r="CG219" s="571">
        <f t="shared" si="437"/>
        <v>-50</v>
      </c>
      <c r="CH219">
        <f t="shared" si="438"/>
        <v>-50</v>
      </c>
    </row>
    <row r="220" spans="5:88" x14ac:dyDescent="0.25">
      <c r="E220" s="174">
        <v>4</v>
      </c>
      <c r="F220" s="221">
        <f t="shared" si="439"/>
        <v>4.0000000000000001E-3</v>
      </c>
      <c r="G220" s="221"/>
      <c r="H220" s="221">
        <f t="shared" si="404"/>
        <v>0.06</v>
      </c>
      <c r="I220" s="551">
        <f t="shared" si="405"/>
        <v>28</v>
      </c>
      <c r="J220" s="451">
        <f t="shared" si="406"/>
        <v>695386.58000000007</v>
      </c>
      <c r="K220" s="451">
        <f t="shared" si="407"/>
        <v>695414.58000000007</v>
      </c>
      <c r="L220" s="451"/>
      <c r="M220" s="221">
        <f t="shared" si="408"/>
        <v>0.99995973624826795</v>
      </c>
      <c r="N220" s="176">
        <f t="shared" si="409"/>
        <v>9.8024053024945204</v>
      </c>
      <c r="O220" s="176">
        <f t="shared" si="363"/>
        <v>0.06</v>
      </c>
      <c r="P220" s="221">
        <f t="shared" si="410"/>
        <v>0.65349368683296805</v>
      </c>
      <c r="Q220" s="221">
        <f t="shared" si="411"/>
        <v>15</v>
      </c>
      <c r="R220" s="221"/>
      <c r="S220" s="176">
        <f t="shared" si="412"/>
        <v>2362.4993872180867</v>
      </c>
      <c r="T220" s="176">
        <f t="shared" si="413"/>
        <v>15</v>
      </c>
      <c r="U220" s="221">
        <f t="shared" si="414"/>
        <v>4.7620965017760334E-3</v>
      </c>
      <c r="V220" s="221">
        <f t="shared" si="415"/>
        <v>5.102246251902893E-3</v>
      </c>
      <c r="W220" s="221">
        <f t="shared" si="416"/>
        <v>2.0544384830273974E-7</v>
      </c>
      <c r="X220" s="201">
        <f t="shared" si="417"/>
        <v>350</v>
      </c>
      <c r="Y220" s="451">
        <f t="shared" si="418"/>
        <v>350</v>
      </c>
      <c r="AA220" s="221">
        <f t="shared" si="419"/>
        <v>2.6665592966620477</v>
      </c>
      <c r="AB220" s="177">
        <f t="shared" si="420"/>
        <v>1.1503929066313219E-4</v>
      </c>
      <c r="AC220" s="177">
        <f t="shared" si="421"/>
        <v>2.4527153110202145</v>
      </c>
      <c r="AD220" s="177"/>
      <c r="AE220" s="177">
        <f t="shared" si="422"/>
        <v>6.4712206554230591E-6</v>
      </c>
      <c r="AF220" s="555">
        <f t="shared" si="423"/>
        <v>180.38518518518524</v>
      </c>
      <c r="AG220" s="538">
        <f t="shared" si="424"/>
        <v>7.7611695137976321E-3</v>
      </c>
      <c r="AI220" s="177">
        <f t="shared" si="425"/>
        <v>0.1076856094201564</v>
      </c>
      <c r="AJ220" s="177">
        <f t="shared" si="426"/>
        <v>0.15</v>
      </c>
      <c r="AK220" s="177">
        <f t="shared" si="427"/>
        <v>1.1030772486772487</v>
      </c>
      <c r="AM220" s="555">
        <f t="shared" si="428"/>
        <v>4</v>
      </c>
      <c r="AN220" s="469">
        <f t="shared" si="429"/>
        <v>180.38518518518524</v>
      </c>
      <c r="AP220">
        <f t="shared" si="430"/>
        <v>4</v>
      </c>
      <c r="AQ220">
        <f t="shared" si="431"/>
        <v>180.38518518518524</v>
      </c>
      <c r="AS220" s="5">
        <f t="shared" si="364"/>
        <v>5.5436925098554513</v>
      </c>
      <c r="AT220" s="5">
        <f t="shared" si="432"/>
        <v>0.16071428571428573</v>
      </c>
      <c r="AU220" s="5">
        <f t="shared" si="304"/>
        <v>5.3829782241411657</v>
      </c>
      <c r="AV220" s="5"/>
      <c r="AW220" s="177">
        <f t="shared" si="305"/>
        <v>2.8990476190476202E-2</v>
      </c>
      <c r="AX220" s="177"/>
      <c r="BA220" s="469">
        <f t="shared" si="433"/>
        <v>3.7498490124508512</v>
      </c>
      <c r="BB220" s="469">
        <f t="shared" si="434"/>
        <v>1.3891083489825672E-2</v>
      </c>
      <c r="BC220" s="5">
        <f t="shared" si="359"/>
        <v>1.0680512349486438E-2</v>
      </c>
      <c r="BD220" s="469">
        <f t="shared" si="435"/>
        <v>0</v>
      </c>
      <c r="BQ220" s="538">
        <f t="shared" si="436"/>
        <v>1.1459999999999999E-3</v>
      </c>
      <c r="CG220" s="571">
        <f t="shared" si="437"/>
        <v>-50</v>
      </c>
      <c r="CH220">
        <f t="shared" si="438"/>
        <v>-50</v>
      </c>
    </row>
    <row r="221" spans="5:88" x14ac:dyDescent="0.25">
      <c r="E221" s="174">
        <v>5</v>
      </c>
      <c r="F221" s="221">
        <f t="shared" si="439"/>
        <v>5.000000000000001E-3</v>
      </c>
      <c r="G221" s="221"/>
      <c r="H221" s="221">
        <f t="shared" si="404"/>
        <v>7.5000000000000011E-2</v>
      </c>
      <c r="I221" s="551">
        <f t="shared" si="405"/>
        <v>28</v>
      </c>
      <c r="J221" s="451">
        <f t="shared" si="406"/>
        <v>695386.58000000007</v>
      </c>
      <c r="K221" s="451">
        <f t="shared" si="407"/>
        <v>695414.58000000007</v>
      </c>
      <c r="L221" s="451"/>
      <c r="M221" s="221">
        <f t="shared" si="408"/>
        <v>0.99995973624826795</v>
      </c>
      <c r="N221" s="176">
        <f t="shared" si="409"/>
        <v>9.8024053024945204</v>
      </c>
      <c r="O221" s="176">
        <f t="shared" si="363"/>
        <v>7.5000000000000011E-2</v>
      </c>
      <c r="P221" s="221">
        <f t="shared" si="410"/>
        <v>0.65349368683296805</v>
      </c>
      <c r="Q221" s="221">
        <f t="shared" si="411"/>
        <v>15</v>
      </c>
      <c r="R221" s="221"/>
      <c r="S221" s="176">
        <f t="shared" si="412"/>
        <v>1889.9993872323505</v>
      </c>
      <c r="T221" s="176">
        <f t="shared" si="413"/>
        <v>15</v>
      </c>
      <c r="U221" s="221">
        <f t="shared" si="414"/>
        <v>5.9526206272200429E-3</v>
      </c>
      <c r="V221" s="221">
        <f t="shared" si="415"/>
        <v>6.3778078148786178E-3</v>
      </c>
      <c r="W221" s="221">
        <f t="shared" si="416"/>
        <v>2.5680481037842473E-7</v>
      </c>
      <c r="X221" s="201">
        <f t="shared" si="417"/>
        <v>350</v>
      </c>
      <c r="Y221" s="451">
        <f t="shared" si="418"/>
        <v>350</v>
      </c>
      <c r="AA221" s="221">
        <f t="shared" si="419"/>
        <v>2.6665592966620477</v>
      </c>
      <c r="AB221" s="177">
        <f t="shared" si="420"/>
        <v>1.1503929066313219E-4</v>
      </c>
      <c r="AC221" s="177">
        <f t="shared" si="421"/>
        <v>2.4527153110202145</v>
      </c>
      <c r="AD221" s="177"/>
      <c r="AE221" s="177">
        <f t="shared" si="422"/>
        <v>6.4712206554230591E-6</v>
      </c>
      <c r="AF221" s="555">
        <f t="shared" si="423"/>
        <v>225.48148148148158</v>
      </c>
      <c r="AG221" s="538">
        <f t="shared" si="424"/>
        <v>7.7611695137976321E-3</v>
      </c>
      <c r="AI221" s="177">
        <f t="shared" si="425"/>
        <v>0.12039617143098072</v>
      </c>
      <c r="AJ221" s="177">
        <f t="shared" si="426"/>
        <v>0.15</v>
      </c>
      <c r="AK221" s="177">
        <f t="shared" si="427"/>
        <v>1.128846560846561</v>
      </c>
      <c r="AM221" s="555">
        <f t="shared" si="428"/>
        <v>5.0000000000000009</v>
      </c>
      <c r="AN221" s="469">
        <f t="shared" si="429"/>
        <v>225.48148148148158</v>
      </c>
      <c r="AP221">
        <f t="shared" si="430"/>
        <v>5.0000000000000009</v>
      </c>
      <c r="AQ221">
        <f t="shared" si="431"/>
        <v>225.48148148148158</v>
      </c>
      <c r="AS221" s="5">
        <f t="shared" si="364"/>
        <v>4.4349540078843601</v>
      </c>
      <c r="AT221" s="5">
        <f t="shared" si="432"/>
        <v>0.16071428571428573</v>
      </c>
      <c r="AU221" s="5">
        <f t="shared" si="304"/>
        <v>4.2742397221700745</v>
      </c>
      <c r="AV221" s="5"/>
      <c r="AW221" s="177">
        <f t="shared" si="305"/>
        <v>3.6238095238095264E-2</v>
      </c>
      <c r="AX221" s="177"/>
      <c r="BA221" s="469">
        <f t="shared" si="433"/>
        <v>3.7498490124508512</v>
      </c>
      <c r="BB221" s="469">
        <f t="shared" si="434"/>
        <v>1.7954817952852618E-2</v>
      </c>
      <c r="BC221" s="5">
        <f t="shared" si="359"/>
        <v>1.0600792961731335E-2</v>
      </c>
      <c r="BD221" s="469">
        <f t="shared" si="435"/>
        <v>0</v>
      </c>
      <c r="BQ221" s="538">
        <f t="shared" si="436"/>
        <v>1.4325000000000002E-3</v>
      </c>
      <c r="CG221" s="571">
        <f t="shared" si="437"/>
        <v>-50</v>
      </c>
      <c r="CH221">
        <f t="shared" si="438"/>
        <v>-50</v>
      </c>
    </row>
    <row r="222" spans="5:88" x14ac:dyDescent="0.25">
      <c r="E222" s="174">
        <v>6</v>
      </c>
      <c r="F222" s="221">
        <f t="shared" si="439"/>
        <v>6.0000000000000001E-3</v>
      </c>
      <c r="G222" s="221"/>
      <c r="H222" s="221">
        <f t="shared" si="404"/>
        <v>0.09</v>
      </c>
      <c r="I222" s="551">
        <f t="shared" si="405"/>
        <v>28</v>
      </c>
      <c r="J222" s="451">
        <f t="shared" si="406"/>
        <v>695386.58000000007</v>
      </c>
      <c r="K222" s="451">
        <f t="shared" si="407"/>
        <v>695414.58000000007</v>
      </c>
      <c r="L222" s="451"/>
      <c r="M222" s="221">
        <f t="shared" si="408"/>
        <v>0.99995973624826795</v>
      </c>
      <c r="N222" s="176">
        <f t="shared" si="409"/>
        <v>9.8024053024945204</v>
      </c>
      <c r="O222" s="176">
        <f t="shared" si="363"/>
        <v>0.09</v>
      </c>
      <c r="P222" s="221">
        <f t="shared" si="410"/>
        <v>0.65349368683296805</v>
      </c>
      <c r="Q222" s="221">
        <f t="shared" si="411"/>
        <v>15</v>
      </c>
      <c r="R222" s="221"/>
      <c r="S222" s="176">
        <f t="shared" si="412"/>
        <v>1574.9993872466146</v>
      </c>
      <c r="T222" s="176">
        <f t="shared" si="413"/>
        <v>15</v>
      </c>
      <c r="U222" s="221">
        <f t="shared" si="414"/>
        <v>7.1431447526640506E-3</v>
      </c>
      <c r="V222" s="221">
        <f t="shared" si="415"/>
        <v>7.65336937785434E-3</v>
      </c>
      <c r="W222" s="221">
        <f t="shared" si="416"/>
        <v>3.0816577245410966E-7</v>
      </c>
      <c r="X222" s="201">
        <f t="shared" si="417"/>
        <v>350</v>
      </c>
      <c r="Y222" s="451">
        <f t="shared" si="418"/>
        <v>350</v>
      </c>
      <c r="AA222" s="221">
        <f t="shared" si="419"/>
        <v>2.6665592966620477</v>
      </c>
      <c r="AB222" s="177">
        <f t="shared" si="420"/>
        <v>1.1503929066313219E-4</v>
      </c>
      <c r="AC222" s="177">
        <f t="shared" si="421"/>
        <v>2.4527153110202145</v>
      </c>
      <c r="AD222" s="177"/>
      <c r="AE222" s="177">
        <f t="shared" si="422"/>
        <v>6.4712206554230591E-6</v>
      </c>
      <c r="AF222" s="555">
        <f t="shared" si="423"/>
        <v>270.5777777777779</v>
      </c>
      <c r="AG222" s="538">
        <f t="shared" si="424"/>
        <v>7.7611695137976321E-3</v>
      </c>
      <c r="AI222" s="177">
        <f t="shared" si="425"/>
        <v>0.13188739786001435</v>
      </c>
      <c r="AJ222" s="177">
        <f t="shared" si="426"/>
        <v>0.15</v>
      </c>
      <c r="AK222" s="177">
        <f t="shared" si="427"/>
        <v>1.1546158730158731</v>
      </c>
      <c r="AM222" s="555">
        <f t="shared" si="428"/>
        <v>6</v>
      </c>
      <c r="AN222" s="469">
        <f t="shared" si="429"/>
        <v>270.5777777777779</v>
      </c>
      <c r="AP222">
        <f t="shared" si="430"/>
        <v>6</v>
      </c>
      <c r="AQ222">
        <f t="shared" si="431"/>
        <v>270.5777777777779</v>
      </c>
      <c r="AS222" s="5">
        <f t="shared" si="364"/>
        <v>3.6957950065703007</v>
      </c>
      <c r="AT222" s="5">
        <f t="shared" si="432"/>
        <v>0.16071428571428573</v>
      </c>
      <c r="AU222" s="5">
        <f t="shared" si="304"/>
        <v>3.5350807208560151</v>
      </c>
      <c r="AV222" s="5"/>
      <c r="AW222" s="177">
        <f t="shared" si="305"/>
        <v>4.3485714285714308E-2</v>
      </c>
      <c r="AX222" s="177"/>
      <c r="BA222" s="469">
        <f t="shared" si="433"/>
        <v>3.7498490124508512</v>
      </c>
      <c r="BB222" s="469">
        <f t="shared" si="434"/>
        <v>2.2254937852107762E-2</v>
      </c>
      <c r="BC222" s="5">
        <f t="shared" si="359"/>
        <v>1.0521073573976233E-2</v>
      </c>
      <c r="BD222" s="469">
        <f t="shared" si="435"/>
        <v>0</v>
      </c>
      <c r="BQ222" s="538">
        <f t="shared" si="436"/>
        <v>1.7189999999999998E-3</v>
      </c>
      <c r="CG222" s="571">
        <f t="shared" si="437"/>
        <v>-50</v>
      </c>
      <c r="CH222">
        <f t="shared" si="438"/>
        <v>-50</v>
      </c>
    </row>
    <row r="223" spans="5:88" x14ac:dyDescent="0.25">
      <c r="E223" s="174">
        <v>7</v>
      </c>
      <c r="F223" s="221">
        <f t="shared" si="439"/>
        <v>7.000000000000001E-3</v>
      </c>
      <c r="G223" s="221"/>
      <c r="H223" s="221">
        <f t="shared" si="404"/>
        <v>0.10500000000000001</v>
      </c>
      <c r="I223" s="551">
        <f t="shared" si="405"/>
        <v>28</v>
      </c>
      <c r="J223" s="451">
        <f t="shared" si="406"/>
        <v>695386.58000000007</v>
      </c>
      <c r="K223" s="451">
        <f t="shared" si="407"/>
        <v>695414.58000000007</v>
      </c>
      <c r="L223" s="451"/>
      <c r="M223" s="221">
        <f t="shared" si="408"/>
        <v>0.99995973624826795</v>
      </c>
      <c r="N223" s="176">
        <f t="shared" si="409"/>
        <v>9.8024053024945204</v>
      </c>
      <c r="O223" s="176">
        <f t="shared" si="363"/>
        <v>0.10500000000000001</v>
      </c>
      <c r="P223" s="221">
        <f t="shared" si="410"/>
        <v>0.65349368683296805</v>
      </c>
      <c r="Q223" s="221">
        <f t="shared" si="411"/>
        <v>15</v>
      </c>
      <c r="R223" s="221"/>
      <c r="S223" s="176">
        <f t="shared" si="412"/>
        <v>1349.999387260877</v>
      </c>
      <c r="T223" s="176">
        <f t="shared" si="413"/>
        <v>15</v>
      </c>
      <c r="U223" s="221">
        <f t="shared" si="414"/>
        <v>8.3336688781080592E-3</v>
      </c>
      <c r="V223" s="221">
        <f t="shared" si="415"/>
        <v>8.928930940830063E-3</v>
      </c>
      <c r="W223" s="221">
        <f t="shared" si="416"/>
        <v>3.5952673452979449E-7</v>
      </c>
      <c r="X223" s="201">
        <f t="shared" si="417"/>
        <v>350</v>
      </c>
      <c r="Y223" s="451">
        <f t="shared" si="418"/>
        <v>350</v>
      </c>
      <c r="AA223" s="221">
        <f t="shared" si="419"/>
        <v>2.6665592966620477</v>
      </c>
      <c r="AB223" s="177">
        <f t="shared" si="420"/>
        <v>1.1503929066313219E-4</v>
      </c>
      <c r="AC223" s="177">
        <f t="shared" si="421"/>
        <v>2.4527153110202145</v>
      </c>
      <c r="AD223" s="177"/>
      <c r="AE223" s="177">
        <f t="shared" si="422"/>
        <v>6.4712206554230591E-6</v>
      </c>
      <c r="AF223" s="555">
        <f t="shared" si="423"/>
        <v>315.67407407407421</v>
      </c>
      <c r="AG223" s="538">
        <f t="shared" si="424"/>
        <v>7.7611695137976321E-3</v>
      </c>
      <c r="AI223" s="177">
        <f t="shared" si="425"/>
        <v>0.14245467115308411</v>
      </c>
      <c r="AJ223" s="177">
        <f t="shared" si="426"/>
        <v>0.15</v>
      </c>
      <c r="AK223" s="177">
        <f t="shared" si="427"/>
        <v>1.1803851851851852</v>
      </c>
      <c r="AM223" s="555">
        <f t="shared" si="428"/>
        <v>7.0000000000000009</v>
      </c>
      <c r="AN223" s="469">
        <f t="shared" si="429"/>
        <v>315.67407407407421</v>
      </c>
      <c r="AP223">
        <f t="shared" si="430"/>
        <v>7.0000000000000009</v>
      </c>
      <c r="AQ223">
        <f t="shared" si="431"/>
        <v>315.67407407407421</v>
      </c>
      <c r="AS223" s="5">
        <f t="shared" si="364"/>
        <v>3.1678242913459722</v>
      </c>
      <c r="AT223" s="5">
        <f t="shared" si="432"/>
        <v>0.16071428571428573</v>
      </c>
      <c r="AU223" s="5">
        <f t="shared" si="304"/>
        <v>3.0071100056316866</v>
      </c>
      <c r="AV223" s="5"/>
      <c r="AW223" s="177">
        <f t="shared" si="305"/>
        <v>5.0733333333333352E-2</v>
      </c>
      <c r="AX223" s="177"/>
      <c r="BA223" s="469">
        <f t="shared" si="433"/>
        <v>3.7498490124508512</v>
      </c>
      <c r="BB223" s="469">
        <f t="shared" si="434"/>
        <v>2.6791443187591128E-2</v>
      </c>
      <c r="BC223" s="5">
        <f t="shared" si="359"/>
        <v>1.0441354186221132E-2</v>
      </c>
      <c r="BD223" s="469">
        <f t="shared" si="435"/>
        <v>0</v>
      </c>
      <c r="BQ223" s="538">
        <f t="shared" si="436"/>
        <v>2.0055000000000003E-3</v>
      </c>
      <c r="CG223" s="571">
        <f t="shared" si="437"/>
        <v>-50</v>
      </c>
      <c r="CH223">
        <f t="shared" si="438"/>
        <v>-50</v>
      </c>
    </row>
    <row r="224" spans="5:88" x14ac:dyDescent="0.25">
      <c r="E224" s="174">
        <v>8</v>
      </c>
      <c r="F224" s="221">
        <f t="shared" si="439"/>
        <v>8.0000000000000002E-3</v>
      </c>
      <c r="G224" s="221"/>
      <c r="H224" s="221">
        <f t="shared" si="404"/>
        <v>0.12</v>
      </c>
      <c r="I224" s="551">
        <f t="shared" si="405"/>
        <v>28</v>
      </c>
      <c r="J224" s="451">
        <f t="shared" si="406"/>
        <v>695386.58000000007</v>
      </c>
      <c r="K224" s="451">
        <f t="shared" si="407"/>
        <v>695414.58000000007</v>
      </c>
      <c r="L224" s="451"/>
      <c r="M224" s="221">
        <f t="shared" si="408"/>
        <v>0.99995973624826795</v>
      </c>
      <c r="N224" s="176">
        <f t="shared" si="409"/>
        <v>9.8024053024945204</v>
      </c>
      <c r="O224" s="176">
        <f t="shared" si="363"/>
        <v>0.12</v>
      </c>
      <c r="P224" s="221">
        <f t="shared" si="410"/>
        <v>0.65349368683296805</v>
      </c>
      <c r="Q224" s="221">
        <f t="shared" si="411"/>
        <v>15</v>
      </c>
      <c r="R224" s="221"/>
      <c r="S224" s="176">
        <f t="shared" si="412"/>
        <v>1181.2493872751395</v>
      </c>
      <c r="T224" s="176">
        <f t="shared" si="413"/>
        <v>15</v>
      </c>
      <c r="U224" s="221">
        <f t="shared" si="414"/>
        <v>9.5241930035520669E-3</v>
      </c>
      <c r="V224" s="221">
        <f t="shared" si="415"/>
        <v>1.0204492503805786E-2</v>
      </c>
      <c r="W224" s="221">
        <f t="shared" si="416"/>
        <v>4.1088769660547948E-7</v>
      </c>
      <c r="X224" s="201">
        <f t="shared" si="417"/>
        <v>350</v>
      </c>
      <c r="Y224" s="451">
        <f t="shared" si="418"/>
        <v>350</v>
      </c>
      <c r="AA224" s="221">
        <f t="shared" si="419"/>
        <v>2.6665592966620477</v>
      </c>
      <c r="AB224" s="177">
        <f t="shared" si="420"/>
        <v>1.1503929066313219E-4</v>
      </c>
      <c r="AC224" s="177">
        <f t="shared" si="421"/>
        <v>2.4527153110202145</v>
      </c>
      <c r="AD224" s="177"/>
      <c r="AE224" s="177">
        <f t="shared" si="422"/>
        <v>6.4712206554230591E-6</v>
      </c>
      <c r="AF224" s="555">
        <f t="shared" si="423"/>
        <v>360.77037037037047</v>
      </c>
      <c r="AG224" s="538">
        <f t="shared" si="424"/>
        <v>7.7611695137976321E-3</v>
      </c>
      <c r="AI224" s="177">
        <f t="shared" si="425"/>
        <v>0.15229044931439711</v>
      </c>
      <c r="AJ224" s="177">
        <f t="shared" si="426"/>
        <v>0.15229044931439711</v>
      </c>
      <c r="AK224" s="177">
        <f t="shared" si="427"/>
        <v>1.201526966209598</v>
      </c>
      <c r="AM224" s="555">
        <f t="shared" si="428"/>
        <v>8</v>
      </c>
      <c r="AN224" s="469">
        <f t="shared" si="429"/>
        <v>350</v>
      </c>
      <c r="AP224">
        <f t="shared" si="430"/>
        <v>8</v>
      </c>
      <c r="AQ224">
        <f t="shared" si="431"/>
        <v>350</v>
      </c>
      <c r="AS224" s="5">
        <f t="shared" si="364"/>
        <v>2.8571428571428572</v>
      </c>
      <c r="AT224" s="5">
        <f t="shared" si="432"/>
        <v>0.16316833855113974</v>
      </c>
      <c r="AU224" s="5">
        <f t="shared" si="304"/>
        <v>2.6939745185917174</v>
      </c>
      <c r="AV224" s="5"/>
      <c r="AW224" s="177">
        <f t="shared" si="305"/>
        <v>5.7108918492898911E-2</v>
      </c>
      <c r="AX224" s="177"/>
      <c r="BA224" s="469">
        <f t="shared" si="433"/>
        <v>3.7498490124508512</v>
      </c>
      <c r="BB224" s="469">
        <f t="shared" si="434"/>
        <v>3.1564333959302693E-2</v>
      </c>
      <c r="BC224" s="5">
        <f t="shared" si="359"/>
        <v>1.0690375073776655E-2</v>
      </c>
      <c r="BD224" s="469">
        <f t="shared" si="435"/>
        <v>0</v>
      </c>
      <c r="BQ224" s="538">
        <f t="shared" si="436"/>
        <v>2.2919999999999998E-3</v>
      </c>
      <c r="CG224" s="571">
        <f t="shared" si="437"/>
        <v>-50</v>
      </c>
      <c r="CH224">
        <f t="shared" si="438"/>
        <v>-50</v>
      </c>
    </row>
    <row r="225" spans="5:86" x14ac:dyDescent="0.25">
      <c r="E225" s="174">
        <v>9</v>
      </c>
      <c r="F225" s="221">
        <f t="shared" si="439"/>
        <v>8.9999999999999993E-3</v>
      </c>
      <c r="G225" s="221"/>
      <c r="H225" s="221">
        <f t="shared" si="404"/>
        <v>0.13499999999999998</v>
      </c>
      <c r="I225" s="551">
        <f t="shared" si="405"/>
        <v>28</v>
      </c>
      <c r="J225" s="451">
        <f t="shared" si="406"/>
        <v>695386.58000000007</v>
      </c>
      <c r="K225" s="451">
        <f t="shared" si="407"/>
        <v>695414.58000000007</v>
      </c>
      <c r="L225" s="451"/>
      <c r="M225" s="221">
        <f t="shared" si="408"/>
        <v>0.99995973624826795</v>
      </c>
      <c r="N225" s="176">
        <f t="shared" si="409"/>
        <v>9.8024053024945204</v>
      </c>
      <c r="O225" s="176">
        <f t="shared" si="363"/>
        <v>0.13499999999999998</v>
      </c>
      <c r="P225" s="221">
        <f t="shared" si="410"/>
        <v>0.65349368683296805</v>
      </c>
      <c r="Q225" s="221">
        <f t="shared" si="411"/>
        <v>15</v>
      </c>
      <c r="R225" s="221"/>
      <c r="S225" s="176">
        <f t="shared" si="412"/>
        <v>1049.9993872894013</v>
      </c>
      <c r="T225" s="176">
        <f t="shared" si="413"/>
        <v>15</v>
      </c>
      <c r="U225" s="221">
        <f t="shared" si="414"/>
        <v>1.0714717128996075E-2</v>
      </c>
      <c r="V225" s="221">
        <f t="shared" si="415"/>
        <v>1.1480054066781509E-2</v>
      </c>
      <c r="W225" s="221">
        <f t="shared" si="416"/>
        <v>4.6224865868116431E-7</v>
      </c>
      <c r="X225" s="201">
        <f t="shared" si="417"/>
        <v>350</v>
      </c>
      <c r="Y225" s="451">
        <f t="shared" si="418"/>
        <v>350</v>
      </c>
      <c r="AA225" s="221">
        <f t="shared" si="419"/>
        <v>2.6665592966620477</v>
      </c>
      <c r="AB225" s="177">
        <f t="shared" si="420"/>
        <v>1.1503929066313219E-4</v>
      </c>
      <c r="AC225" s="177">
        <f t="shared" si="421"/>
        <v>2.4527153110202145</v>
      </c>
      <c r="AD225" s="177"/>
      <c r="AE225" s="177">
        <f t="shared" si="422"/>
        <v>6.4712206554230591E-6</v>
      </c>
      <c r="AF225" s="555">
        <f t="shared" si="423"/>
        <v>405.86666666666673</v>
      </c>
      <c r="AG225" s="538">
        <f t="shared" si="424"/>
        <v>7.7611695137976321E-3</v>
      </c>
      <c r="AI225" s="177">
        <f t="shared" si="425"/>
        <v>0.16152841413023458</v>
      </c>
      <c r="AJ225" s="177">
        <f t="shared" si="426"/>
        <v>0.16152841413023458</v>
      </c>
      <c r="AK225" s="177">
        <f t="shared" si="427"/>
        <v>1.2076856094201562</v>
      </c>
      <c r="AM225" s="555">
        <f t="shared" si="428"/>
        <v>9</v>
      </c>
      <c r="AN225" s="469">
        <f t="shared" si="429"/>
        <v>350</v>
      </c>
      <c r="AP225">
        <f t="shared" si="430"/>
        <v>9</v>
      </c>
      <c r="AQ225">
        <f t="shared" si="431"/>
        <v>350</v>
      </c>
      <c r="AS225" s="5">
        <f t="shared" si="364"/>
        <v>2.8571428571428572</v>
      </c>
      <c r="AT225" s="5">
        <f t="shared" si="432"/>
        <v>0.17306615799667993</v>
      </c>
      <c r="AU225" s="5">
        <f t="shared" si="304"/>
        <v>2.6840766991461771</v>
      </c>
      <c r="AV225" s="5"/>
      <c r="AW225" s="177">
        <f t="shared" si="305"/>
        <v>6.0573155298837972E-2</v>
      </c>
      <c r="AX225" s="177"/>
      <c r="BA225" s="469">
        <f t="shared" si="433"/>
        <v>3.7498490124508512</v>
      </c>
      <c r="BB225" s="469">
        <f t="shared" si="434"/>
        <v>3.6573610167242462E-2</v>
      </c>
      <c r="BC225" s="5">
        <f t="shared" si="359"/>
        <v>1.1982485264045431E-2</v>
      </c>
      <c r="BD225" s="469">
        <f t="shared" si="435"/>
        <v>0</v>
      </c>
      <c r="BQ225" s="538">
        <f t="shared" si="436"/>
        <v>2.5784999999999996E-3</v>
      </c>
      <c r="CG225" s="571">
        <f t="shared" si="437"/>
        <v>-50</v>
      </c>
      <c r="CH225">
        <f t="shared" si="438"/>
        <v>-50</v>
      </c>
    </row>
    <row r="226" spans="5:86" x14ac:dyDescent="0.25">
      <c r="E226" s="174">
        <v>10</v>
      </c>
      <c r="F226" s="221">
        <f t="shared" si="439"/>
        <v>1.0000000000000002E-2</v>
      </c>
      <c r="G226" s="221"/>
      <c r="H226" s="221">
        <f t="shared" si="404"/>
        <v>0.15000000000000002</v>
      </c>
      <c r="I226" s="551">
        <f t="shared" si="405"/>
        <v>28</v>
      </c>
      <c r="J226" s="451">
        <f t="shared" si="406"/>
        <v>695386.58000000007</v>
      </c>
      <c r="K226" s="451">
        <f t="shared" si="407"/>
        <v>695414.58000000007</v>
      </c>
      <c r="L226" s="451"/>
      <c r="M226" s="221">
        <f t="shared" si="408"/>
        <v>0.99995973624826795</v>
      </c>
      <c r="N226" s="176">
        <f t="shared" si="409"/>
        <v>9.8024053024945204</v>
      </c>
      <c r="O226" s="176">
        <f t="shared" si="363"/>
        <v>0.15000000000000002</v>
      </c>
      <c r="P226" s="221">
        <f t="shared" si="410"/>
        <v>0.65349368683296805</v>
      </c>
      <c r="Q226" s="221">
        <f t="shared" si="411"/>
        <v>15</v>
      </c>
      <c r="R226" s="221"/>
      <c r="S226" s="176">
        <f t="shared" si="412"/>
        <v>944.99938730366159</v>
      </c>
      <c r="T226" s="176">
        <f t="shared" si="413"/>
        <v>15</v>
      </c>
      <c r="U226" s="221">
        <f t="shared" si="414"/>
        <v>1.1905241254440086E-2</v>
      </c>
      <c r="V226" s="221">
        <f t="shared" si="415"/>
        <v>1.2755615629757236E-2</v>
      </c>
      <c r="W226" s="221">
        <f t="shared" si="416"/>
        <v>5.1360962075684946E-7</v>
      </c>
      <c r="X226" s="201">
        <f t="shared" si="417"/>
        <v>350</v>
      </c>
      <c r="Y226" s="451">
        <f t="shared" si="418"/>
        <v>350</v>
      </c>
      <c r="AA226" s="221">
        <f t="shared" si="419"/>
        <v>2.6665592966620477</v>
      </c>
      <c r="AB226" s="177">
        <f t="shared" si="420"/>
        <v>1.1503929066313219E-4</v>
      </c>
      <c r="AC226" s="177">
        <f t="shared" si="421"/>
        <v>2.4527153110202145</v>
      </c>
      <c r="AD226" s="177"/>
      <c r="AE226" s="177">
        <f t="shared" si="422"/>
        <v>6.4712206554230591E-6</v>
      </c>
      <c r="AF226" s="555">
        <f t="shared" si="423"/>
        <v>450.96296296296316</v>
      </c>
      <c r="AG226" s="538">
        <f t="shared" si="424"/>
        <v>7.7611695137976321E-3</v>
      </c>
      <c r="AI226" s="177">
        <f t="shared" si="425"/>
        <v>0.17026589849548909</v>
      </c>
      <c r="AJ226" s="177">
        <f t="shared" si="426"/>
        <v>0.17026589849548909</v>
      </c>
      <c r="AK226" s="177">
        <f t="shared" si="427"/>
        <v>1.2135105989969928</v>
      </c>
      <c r="AM226" s="555">
        <f t="shared" si="428"/>
        <v>10.000000000000002</v>
      </c>
      <c r="AN226" s="469">
        <f t="shared" si="429"/>
        <v>350</v>
      </c>
      <c r="AP226">
        <f t="shared" si="430"/>
        <v>10.000000000000002</v>
      </c>
      <c r="AQ226">
        <f t="shared" si="431"/>
        <v>350</v>
      </c>
      <c r="AS226" s="5">
        <f t="shared" si="364"/>
        <v>2.8571428571428572</v>
      </c>
      <c r="AT226" s="5">
        <f t="shared" si="432"/>
        <v>0.18242774838802403</v>
      </c>
      <c r="AU226" s="5">
        <f t="shared" si="304"/>
        <v>2.6747151087548331</v>
      </c>
      <c r="AV226" s="5"/>
      <c r="AW226" s="177">
        <f t="shared" si="305"/>
        <v>6.3849711935808406E-2</v>
      </c>
      <c r="AX226" s="177"/>
      <c r="BA226" s="469">
        <f t="shared" si="433"/>
        <v>3.7498490124508512</v>
      </c>
      <c r="BB226" s="469">
        <f t="shared" si="434"/>
        <v>4.1819271811410465E-2</v>
      </c>
      <c r="BC226" s="5">
        <f t="shared" si="359"/>
        <v>1.3267436055331512E-2</v>
      </c>
      <c r="BD226" s="469">
        <f t="shared" si="435"/>
        <v>0</v>
      </c>
      <c r="BQ226" s="538">
        <f t="shared" si="436"/>
        <v>2.8650000000000004E-3</v>
      </c>
      <c r="CG226" s="571">
        <f t="shared" si="437"/>
        <v>-50</v>
      </c>
      <c r="CH226">
        <f t="shared" si="438"/>
        <v>-50</v>
      </c>
    </row>
    <row r="227" spans="5:86" x14ac:dyDescent="0.25">
      <c r="E227" s="174">
        <v>11</v>
      </c>
      <c r="F227" s="221">
        <f t="shared" si="439"/>
        <v>1.1000000000000001E-2</v>
      </c>
      <c r="G227" s="221"/>
      <c r="H227" s="221">
        <f t="shared" si="404"/>
        <v>0.16500000000000001</v>
      </c>
      <c r="I227" s="551">
        <f t="shared" si="405"/>
        <v>28</v>
      </c>
      <c r="J227" s="451">
        <f t="shared" si="406"/>
        <v>695386.58000000007</v>
      </c>
      <c r="K227" s="451">
        <f t="shared" si="407"/>
        <v>695414.58000000007</v>
      </c>
      <c r="L227" s="451"/>
      <c r="M227" s="221">
        <f t="shared" si="408"/>
        <v>0.99995973624826795</v>
      </c>
      <c r="N227" s="176">
        <f t="shared" si="409"/>
        <v>9.8024053024945204</v>
      </c>
      <c r="O227" s="176">
        <f t="shared" si="363"/>
        <v>0.16500000000000001</v>
      </c>
      <c r="P227" s="221">
        <f t="shared" si="410"/>
        <v>0.65349368683296805</v>
      </c>
      <c r="Q227" s="221">
        <f t="shared" si="411"/>
        <v>15</v>
      </c>
      <c r="R227" s="221"/>
      <c r="S227" s="176">
        <f t="shared" si="412"/>
        <v>859.09029640883102</v>
      </c>
      <c r="T227" s="176">
        <f t="shared" si="413"/>
        <v>15</v>
      </c>
      <c r="U227" s="221">
        <f t="shared" si="414"/>
        <v>1.3095765379884093E-2</v>
      </c>
      <c r="V227" s="221">
        <f t="shared" si="415"/>
        <v>1.4031177192732957E-2</v>
      </c>
      <c r="W227" s="221">
        <f t="shared" si="416"/>
        <v>5.6497058283253429E-7</v>
      </c>
      <c r="X227" s="201">
        <f t="shared" si="417"/>
        <v>350</v>
      </c>
      <c r="Y227" s="451">
        <f t="shared" si="418"/>
        <v>350</v>
      </c>
      <c r="AA227" s="221">
        <f t="shared" si="419"/>
        <v>2.6665592966620477</v>
      </c>
      <c r="AB227" s="177">
        <f t="shared" si="420"/>
        <v>1.1503929066313219E-4</v>
      </c>
      <c r="AC227" s="177">
        <f t="shared" si="421"/>
        <v>2.4527153110202145</v>
      </c>
      <c r="AD227" s="177"/>
      <c r="AE227" s="177">
        <f t="shared" si="422"/>
        <v>6.4712206554230591E-6</v>
      </c>
      <c r="AF227" s="555">
        <f t="shared" si="423"/>
        <v>496.05925925925942</v>
      </c>
      <c r="AG227" s="538">
        <f t="shared" si="424"/>
        <v>7.7611695137976321E-3</v>
      </c>
      <c r="AI227" s="177">
        <f t="shared" si="425"/>
        <v>0.17857638088370983</v>
      </c>
      <c r="AJ227" s="177">
        <f t="shared" si="426"/>
        <v>0.17857638088370983</v>
      </c>
      <c r="AK227" s="177">
        <f t="shared" si="427"/>
        <v>1.2190509205891398</v>
      </c>
      <c r="AM227" s="555">
        <f t="shared" si="428"/>
        <v>11.000000000000002</v>
      </c>
      <c r="AN227" s="469">
        <f t="shared" si="429"/>
        <v>350</v>
      </c>
      <c r="AP227">
        <f t="shared" si="430"/>
        <v>11.000000000000002</v>
      </c>
      <c r="AQ227">
        <f t="shared" si="431"/>
        <v>350</v>
      </c>
      <c r="AS227" s="5">
        <f t="shared" si="364"/>
        <v>2.8571428571428572</v>
      </c>
      <c r="AT227" s="5">
        <f t="shared" si="432"/>
        <v>0.19133183666111769</v>
      </c>
      <c r="AU227" s="5">
        <f t="shared" si="304"/>
        <v>2.6658110204817396</v>
      </c>
      <c r="AV227" s="5"/>
      <c r="AW227" s="177">
        <f t="shared" si="305"/>
        <v>6.6966142831391184E-2</v>
      </c>
      <c r="AX227" s="177"/>
      <c r="BA227" s="469">
        <f t="shared" si="433"/>
        <v>3.7498490124508512</v>
      </c>
      <c r="BB227" s="469">
        <f t="shared" si="434"/>
        <v>4.7301318891806651E-2</v>
      </c>
      <c r="BC227" s="5">
        <f t="shared" si="359"/>
        <v>1.4545595845882504E-2</v>
      </c>
      <c r="BD227" s="469">
        <f t="shared" si="435"/>
        <v>0</v>
      </c>
      <c r="BQ227" s="538">
        <f t="shared" si="436"/>
        <v>3.1515000000000002E-3</v>
      </c>
      <c r="CG227" s="571">
        <f t="shared" si="437"/>
        <v>-50</v>
      </c>
      <c r="CH227">
        <f t="shared" si="438"/>
        <v>-50</v>
      </c>
    </row>
    <row r="228" spans="5:86" x14ac:dyDescent="0.25">
      <c r="E228" s="174">
        <v>12</v>
      </c>
      <c r="F228" s="221">
        <f t="shared" si="439"/>
        <v>1.2E-2</v>
      </c>
      <c r="G228" s="221"/>
      <c r="H228" s="221">
        <f t="shared" si="404"/>
        <v>0.18</v>
      </c>
      <c r="I228" s="551">
        <f t="shared" si="405"/>
        <v>28</v>
      </c>
      <c r="J228" s="451">
        <f t="shared" si="406"/>
        <v>695386.58000000007</v>
      </c>
      <c r="K228" s="451">
        <f t="shared" si="407"/>
        <v>695414.58000000007</v>
      </c>
      <c r="L228" s="451"/>
      <c r="M228" s="221">
        <f t="shared" si="408"/>
        <v>0.99995973624826795</v>
      </c>
      <c r="N228" s="176">
        <f t="shared" si="409"/>
        <v>9.8024053024945204</v>
      </c>
      <c r="O228" s="176">
        <f t="shared" si="363"/>
        <v>0.18</v>
      </c>
      <c r="P228" s="221">
        <f t="shared" si="410"/>
        <v>0.65349368683296805</v>
      </c>
      <c r="Q228" s="221">
        <f t="shared" si="411"/>
        <v>15</v>
      </c>
      <c r="R228" s="221"/>
      <c r="S228" s="176">
        <f t="shared" si="412"/>
        <v>787.49938733218164</v>
      </c>
      <c r="T228" s="176">
        <f t="shared" si="413"/>
        <v>15</v>
      </c>
      <c r="U228" s="221">
        <f t="shared" si="414"/>
        <v>1.4286289505328101E-2</v>
      </c>
      <c r="V228" s="221">
        <f t="shared" si="415"/>
        <v>1.530673875570868E-2</v>
      </c>
      <c r="W228" s="221">
        <f t="shared" si="416"/>
        <v>6.1633154490821933E-7</v>
      </c>
      <c r="X228" s="201">
        <f t="shared" si="417"/>
        <v>350</v>
      </c>
      <c r="Y228" s="451">
        <f t="shared" si="418"/>
        <v>350</v>
      </c>
      <c r="AA228" s="221">
        <f t="shared" si="419"/>
        <v>2.6665592966620477</v>
      </c>
      <c r="AB228" s="177">
        <f t="shared" si="420"/>
        <v>1.1503929066313219E-4</v>
      </c>
      <c r="AC228" s="177">
        <f t="shared" si="421"/>
        <v>2.4527153110202145</v>
      </c>
      <c r="AD228" s="177"/>
      <c r="AE228" s="177">
        <f t="shared" si="422"/>
        <v>6.4712206554230591E-6</v>
      </c>
      <c r="AF228" s="555">
        <f t="shared" si="423"/>
        <v>541.15555555555579</v>
      </c>
      <c r="AG228" s="538">
        <f t="shared" si="424"/>
        <v>7.7611695137976321E-3</v>
      </c>
      <c r="AI228" s="177">
        <f t="shared" si="425"/>
        <v>0.1865169467597286</v>
      </c>
      <c r="AJ228" s="177">
        <f t="shared" si="426"/>
        <v>0.1865169467597286</v>
      </c>
      <c r="AK228" s="177">
        <f t="shared" si="427"/>
        <v>1.2243446311731523</v>
      </c>
      <c r="AM228" s="555">
        <f t="shared" si="428"/>
        <v>12</v>
      </c>
      <c r="AN228" s="469">
        <f t="shared" si="429"/>
        <v>350</v>
      </c>
      <c r="AP228">
        <f t="shared" si="430"/>
        <v>12</v>
      </c>
      <c r="AQ228">
        <f t="shared" si="431"/>
        <v>350</v>
      </c>
      <c r="AS228" s="5">
        <f t="shared" si="364"/>
        <v>2.8571428571428572</v>
      </c>
      <c r="AT228" s="5">
        <f t="shared" si="432"/>
        <v>0.19983958581399494</v>
      </c>
      <c r="AU228" s="5">
        <f t="shared" si="304"/>
        <v>2.6573032713288622</v>
      </c>
      <c r="AV228" s="5"/>
      <c r="AW228" s="177">
        <f t="shared" si="305"/>
        <v>6.9943855034898222E-2</v>
      </c>
      <c r="AX228" s="177"/>
      <c r="BA228" s="469">
        <f t="shared" si="433"/>
        <v>3.7498490124508512</v>
      </c>
      <c r="BB228" s="469">
        <f t="shared" si="434"/>
        <v>5.301975140843105E-2</v>
      </c>
      <c r="BC228" s="5">
        <f t="shared" si="359"/>
        <v>1.5817281376957509E-2</v>
      </c>
      <c r="BD228" s="469">
        <f t="shared" si="435"/>
        <v>0</v>
      </c>
      <c r="BQ228" s="538">
        <f t="shared" si="436"/>
        <v>3.4379999999999997E-3</v>
      </c>
      <c r="CG228" s="571">
        <f t="shared" si="437"/>
        <v>-50</v>
      </c>
      <c r="CH228">
        <f t="shared" si="438"/>
        <v>-50</v>
      </c>
    </row>
    <row r="229" spans="5:86" x14ac:dyDescent="0.25">
      <c r="E229" s="174">
        <v>13</v>
      </c>
      <c r="F229" s="221">
        <f t="shared" si="439"/>
        <v>1.3000000000000001E-2</v>
      </c>
      <c r="G229" s="221"/>
      <c r="H229" s="221">
        <f t="shared" si="404"/>
        <v>0.19500000000000001</v>
      </c>
      <c r="I229" s="551">
        <f t="shared" si="405"/>
        <v>28</v>
      </c>
      <c r="J229" s="451">
        <f t="shared" si="406"/>
        <v>695386.58000000007</v>
      </c>
      <c r="K229" s="451">
        <f t="shared" si="407"/>
        <v>695414.58000000007</v>
      </c>
      <c r="L229" s="451"/>
      <c r="M229" s="221">
        <f t="shared" si="408"/>
        <v>0.99995973624826795</v>
      </c>
      <c r="N229" s="176">
        <f t="shared" si="409"/>
        <v>9.8024053024945204</v>
      </c>
      <c r="O229" s="176">
        <f t="shared" si="363"/>
        <v>0.19500000000000001</v>
      </c>
      <c r="P229" s="221">
        <f t="shared" si="410"/>
        <v>0.65349368683296805</v>
      </c>
      <c r="Q229" s="221">
        <f t="shared" si="411"/>
        <v>15</v>
      </c>
      <c r="R229" s="221"/>
      <c r="S229" s="176">
        <f t="shared" si="412"/>
        <v>726.92246426951726</v>
      </c>
      <c r="T229" s="176">
        <f t="shared" si="413"/>
        <v>15</v>
      </c>
      <c r="U229" s="221">
        <f t="shared" si="414"/>
        <v>1.5476813630772111E-2</v>
      </c>
      <c r="V229" s="221">
        <f t="shared" si="415"/>
        <v>1.6582300318684403E-2</v>
      </c>
      <c r="W229" s="221">
        <f t="shared" si="416"/>
        <v>6.6769250698390416E-7</v>
      </c>
      <c r="X229" s="201">
        <f t="shared" si="417"/>
        <v>350</v>
      </c>
      <c r="Y229" s="451">
        <f t="shared" si="418"/>
        <v>350</v>
      </c>
      <c r="AA229" s="221">
        <f t="shared" si="419"/>
        <v>2.6665592966620477</v>
      </c>
      <c r="AB229" s="177">
        <f t="shared" si="420"/>
        <v>1.1503929066313219E-4</v>
      </c>
      <c r="AC229" s="177">
        <f t="shared" si="421"/>
        <v>2.4527153110202145</v>
      </c>
      <c r="AD229" s="177"/>
      <c r="AE229" s="177">
        <f t="shared" si="422"/>
        <v>6.4712206554230591E-6</v>
      </c>
      <c r="AF229" s="555">
        <f t="shared" si="423"/>
        <v>586.25185185185205</v>
      </c>
      <c r="AG229" s="538">
        <f t="shared" si="424"/>
        <v>7.7611695137976321E-3</v>
      </c>
      <c r="AI229" s="177">
        <f t="shared" si="425"/>
        <v>0.19413299319698096</v>
      </c>
      <c r="AJ229" s="177">
        <f t="shared" si="426"/>
        <v>0.19413299319698096</v>
      </c>
      <c r="AK229" s="177">
        <f t="shared" si="427"/>
        <v>1.2294219954646539</v>
      </c>
      <c r="AM229" s="555">
        <f t="shared" si="428"/>
        <v>13.000000000000002</v>
      </c>
      <c r="AN229" s="469">
        <f t="shared" si="429"/>
        <v>350</v>
      </c>
      <c r="AP229">
        <f t="shared" si="430"/>
        <v>13.000000000000002</v>
      </c>
      <c r="AQ229">
        <f t="shared" si="431"/>
        <v>350</v>
      </c>
      <c r="AS229" s="5">
        <f t="shared" si="364"/>
        <v>2.8571428571428572</v>
      </c>
      <c r="AT229" s="5">
        <f t="shared" si="432"/>
        <v>0.2079996355681939</v>
      </c>
      <c r="AU229" s="5">
        <f t="shared" si="304"/>
        <v>2.6491432215746631</v>
      </c>
      <c r="AV229" s="5"/>
      <c r="AW229" s="177">
        <f t="shared" si="305"/>
        <v>7.2799872448867861E-2</v>
      </c>
      <c r="AX229" s="177"/>
      <c r="BA229" s="469">
        <f t="shared" si="433"/>
        <v>3.7498490124508512</v>
      </c>
      <c r="BB229" s="469">
        <f t="shared" si="434"/>
        <v>5.8974569361283674E-2</v>
      </c>
      <c r="BC229" s="5">
        <f t="shared" si="359"/>
        <v>1.7082768789915978E-2</v>
      </c>
      <c r="BD229" s="469">
        <f t="shared" si="435"/>
        <v>0</v>
      </c>
      <c r="BQ229" s="538">
        <f t="shared" si="436"/>
        <v>3.7244999999999999E-3</v>
      </c>
      <c r="CG229" s="571">
        <f t="shared" si="437"/>
        <v>-50</v>
      </c>
      <c r="CH229">
        <f t="shared" si="438"/>
        <v>-50</v>
      </c>
    </row>
    <row r="230" spans="5:86" x14ac:dyDescent="0.25">
      <c r="E230" s="174">
        <v>14</v>
      </c>
      <c r="F230" s="221">
        <f t="shared" si="439"/>
        <v>1.4000000000000002E-2</v>
      </c>
      <c r="G230" s="221"/>
      <c r="H230" s="221">
        <f t="shared" si="404"/>
        <v>0.21000000000000002</v>
      </c>
      <c r="I230" s="551">
        <f t="shared" si="405"/>
        <v>28</v>
      </c>
      <c r="J230" s="451">
        <f t="shared" si="406"/>
        <v>695386.58000000007</v>
      </c>
      <c r="K230" s="451">
        <f t="shared" si="407"/>
        <v>695414.58000000007</v>
      </c>
      <c r="L230" s="451"/>
      <c r="M230" s="221">
        <f t="shared" si="408"/>
        <v>0.99995973624826795</v>
      </c>
      <c r="N230" s="176">
        <f t="shared" si="409"/>
        <v>9.8024053024945204</v>
      </c>
      <c r="O230" s="176">
        <f t="shared" si="363"/>
        <v>0.21000000000000002</v>
      </c>
      <c r="P230" s="221">
        <f t="shared" si="410"/>
        <v>0.65349368683296805</v>
      </c>
      <c r="Q230" s="221">
        <f t="shared" si="411"/>
        <v>15</v>
      </c>
      <c r="R230" s="221"/>
      <c r="S230" s="176">
        <f t="shared" si="412"/>
        <v>674.99938736069851</v>
      </c>
      <c r="T230" s="176">
        <f t="shared" si="413"/>
        <v>15</v>
      </c>
      <c r="U230" s="221">
        <f t="shared" si="414"/>
        <v>1.6667337756216118E-2</v>
      </c>
      <c r="V230" s="221">
        <f t="shared" si="415"/>
        <v>1.7857861881660126E-2</v>
      </c>
      <c r="W230" s="221">
        <f t="shared" si="416"/>
        <v>7.1905346905958899E-7</v>
      </c>
      <c r="X230" s="201">
        <f t="shared" si="417"/>
        <v>350</v>
      </c>
      <c r="Y230" s="451">
        <f t="shared" si="418"/>
        <v>350</v>
      </c>
      <c r="AA230" s="221">
        <f t="shared" si="419"/>
        <v>2.6665592966620477</v>
      </c>
      <c r="AB230" s="177">
        <f t="shared" si="420"/>
        <v>1.1503929066313219E-4</v>
      </c>
      <c r="AC230" s="177">
        <f t="shared" si="421"/>
        <v>2.4527153110202145</v>
      </c>
      <c r="AD230" s="177"/>
      <c r="AE230" s="177">
        <f t="shared" si="422"/>
        <v>6.4712206554230591E-6</v>
      </c>
      <c r="AF230" s="555">
        <f t="shared" si="423"/>
        <v>631.34814814814843</v>
      </c>
      <c r="AG230" s="538">
        <f t="shared" si="424"/>
        <v>7.7611695137976321E-3</v>
      </c>
      <c r="AI230" s="177">
        <f t="shared" si="425"/>
        <v>0.20146132796809088</v>
      </c>
      <c r="AJ230" s="177">
        <f t="shared" si="426"/>
        <v>0.20146132796809088</v>
      </c>
      <c r="AK230" s="177">
        <f t="shared" si="427"/>
        <v>1.2343075519787272</v>
      </c>
      <c r="AM230" s="555">
        <f t="shared" si="428"/>
        <v>14.000000000000002</v>
      </c>
      <c r="AN230" s="469">
        <f t="shared" si="429"/>
        <v>350</v>
      </c>
      <c r="AP230">
        <f t="shared" si="430"/>
        <v>14.000000000000002</v>
      </c>
      <c r="AQ230">
        <f t="shared" si="431"/>
        <v>350</v>
      </c>
      <c r="AS230" s="5">
        <f t="shared" si="364"/>
        <v>2.8571428571428572</v>
      </c>
      <c r="AT230" s="5">
        <f t="shared" si="432"/>
        <v>0.21585142282295453</v>
      </c>
      <c r="AU230" s="5">
        <f t="shared" si="304"/>
        <v>2.6412914343199025</v>
      </c>
      <c r="AV230" s="5"/>
      <c r="AW230" s="177">
        <f t="shared" si="305"/>
        <v>7.5547997988034077E-2</v>
      </c>
      <c r="AX230" s="177"/>
      <c r="BA230" s="469">
        <f t="shared" si="433"/>
        <v>3.7498490124508512</v>
      </c>
      <c r="BB230" s="469">
        <f t="shared" si="434"/>
        <v>6.5165772750364503E-2</v>
      </c>
      <c r="BC230" s="5">
        <f t="shared" si="359"/>
        <v>1.834230162722154E-2</v>
      </c>
      <c r="BD230" s="469">
        <f t="shared" si="435"/>
        <v>0</v>
      </c>
      <c r="BQ230" s="538">
        <f t="shared" si="436"/>
        <v>4.0110000000000007E-3</v>
      </c>
      <c r="CG230" s="571">
        <f t="shared" si="437"/>
        <v>-50</v>
      </c>
      <c r="CH230">
        <f t="shared" si="438"/>
        <v>-50</v>
      </c>
    </row>
    <row r="231" spans="5:86" x14ac:dyDescent="0.25">
      <c r="E231" s="174">
        <v>15</v>
      </c>
      <c r="F231" s="221">
        <f t="shared" si="439"/>
        <v>1.4999999999999999E-2</v>
      </c>
      <c r="G231" s="221"/>
      <c r="H231" s="221">
        <f t="shared" si="404"/>
        <v>0.22499999999999998</v>
      </c>
      <c r="I231" s="551">
        <f t="shared" si="405"/>
        <v>28</v>
      </c>
      <c r="J231" s="451">
        <f t="shared" si="406"/>
        <v>695386.58000000007</v>
      </c>
      <c r="K231" s="451">
        <f t="shared" si="407"/>
        <v>695414.58000000007</v>
      </c>
      <c r="L231" s="451"/>
      <c r="M231" s="221">
        <f t="shared" si="408"/>
        <v>0.99995973624826795</v>
      </c>
      <c r="N231" s="176">
        <f t="shared" si="409"/>
        <v>9.8024053024945204</v>
      </c>
      <c r="O231" s="176">
        <f t="shared" si="363"/>
        <v>0.22499999999999998</v>
      </c>
      <c r="P231" s="221">
        <f t="shared" si="410"/>
        <v>0.65349368683296805</v>
      </c>
      <c r="Q231" s="221">
        <f t="shared" si="411"/>
        <v>15</v>
      </c>
      <c r="R231" s="221"/>
      <c r="S231" s="176">
        <f t="shared" si="412"/>
        <v>629.9993873749562</v>
      </c>
      <c r="T231" s="176">
        <f t="shared" si="413"/>
        <v>15</v>
      </c>
      <c r="U231" s="221">
        <f t="shared" si="414"/>
        <v>1.7857861881660126E-2</v>
      </c>
      <c r="V231" s="221">
        <f t="shared" si="415"/>
        <v>1.9133423444635849E-2</v>
      </c>
      <c r="W231" s="221">
        <f t="shared" si="416"/>
        <v>7.7041443113527403E-7</v>
      </c>
      <c r="X231" s="201">
        <f t="shared" si="417"/>
        <v>350</v>
      </c>
      <c r="Y231" s="451">
        <f t="shared" si="418"/>
        <v>350</v>
      </c>
      <c r="AA231" s="221">
        <f t="shared" si="419"/>
        <v>2.6665592966620477</v>
      </c>
      <c r="AB231" s="177">
        <f t="shared" si="420"/>
        <v>1.1503929066313219E-4</v>
      </c>
      <c r="AC231" s="177">
        <f t="shared" si="421"/>
        <v>2.4527153110202145</v>
      </c>
      <c r="AD231" s="177"/>
      <c r="AE231" s="177">
        <f t="shared" si="422"/>
        <v>6.4712206554230591E-6</v>
      </c>
      <c r="AF231" s="555">
        <f t="shared" si="423"/>
        <v>676.44444444444457</v>
      </c>
      <c r="AG231" s="538">
        <f t="shared" si="424"/>
        <v>7.7611695137976321E-3</v>
      </c>
      <c r="AI231" s="177">
        <f t="shared" si="425"/>
        <v>0.20853228595523113</v>
      </c>
      <c r="AJ231" s="177">
        <f t="shared" si="426"/>
        <v>0.20853228595523113</v>
      </c>
      <c r="AK231" s="177">
        <f t="shared" si="427"/>
        <v>1.2390215239701541</v>
      </c>
      <c r="AM231" s="555">
        <f t="shared" si="428"/>
        <v>15</v>
      </c>
      <c r="AN231" s="469">
        <f t="shared" si="429"/>
        <v>350</v>
      </c>
      <c r="AP231">
        <f t="shared" si="430"/>
        <v>15</v>
      </c>
      <c r="AQ231">
        <f t="shared" si="431"/>
        <v>350</v>
      </c>
      <c r="AS231" s="5">
        <f t="shared" si="364"/>
        <v>2.8571428571428572</v>
      </c>
      <c r="AT231" s="5">
        <f t="shared" si="432"/>
        <v>0.22342744923774766</v>
      </c>
      <c r="AU231" s="5">
        <f t="shared" si="304"/>
        <v>2.6337154079051097</v>
      </c>
      <c r="AV231" s="5"/>
      <c r="AW231" s="177">
        <f t="shared" si="305"/>
        <v>7.8199607233211677E-2</v>
      </c>
      <c r="AX231" s="177"/>
      <c r="BA231" s="469">
        <f t="shared" si="433"/>
        <v>3.7498490124508512</v>
      </c>
      <c r="BB231" s="469">
        <f t="shared" si="434"/>
        <v>7.1593361575673517E-2</v>
      </c>
      <c r="BC231" s="5">
        <f t="shared" si="359"/>
        <v>1.959609678500825E-2</v>
      </c>
      <c r="BD231" s="469">
        <f t="shared" si="435"/>
        <v>0</v>
      </c>
      <c r="BQ231" s="538">
        <f t="shared" si="436"/>
        <v>4.2974999999999992E-3</v>
      </c>
      <c r="CG231" s="571">
        <f t="shared" si="437"/>
        <v>-50</v>
      </c>
      <c r="CH231">
        <f t="shared" si="438"/>
        <v>-50</v>
      </c>
    </row>
    <row r="232" spans="5:86" x14ac:dyDescent="0.25">
      <c r="E232" s="174">
        <v>16</v>
      </c>
      <c r="F232" s="221">
        <f t="shared" si="439"/>
        <v>1.6E-2</v>
      </c>
      <c r="G232" s="221"/>
      <c r="H232" s="221">
        <f t="shared" si="404"/>
        <v>0.24</v>
      </c>
      <c r="I232" s="551">
        <f t="shared" si="405"/>
        <v>28</v>
      </c>
      <c r="J232" s="451">
        <f t="shared" si="406"/>
        <v>695386.58000000007</v>
      </c>
      <c r="K232" s="451">
        <f t="shared" si="407"/>
        <v>695414.58000000007</v>
      </c>
      <c r="L232" s="451"/>
      <c r="M232" s="221">
        <f t="shared" si="408"/>
        <v>0.99995973624826795</v>
      </c>
      <c r="N232" s="176">
        <f t="shared" si="409"/>
        <v>9.8024053024945204</v>
      </c>
      <c r="O232" s="176">
        <f t="shared" si="363"/>
        <v>0.24</v>
      </c>
      <c r="P232" s="221">
        <f t="shared" si="410"/>
        <v>0.65349368683296805</v>
      </c>
      <c r="Q232" s="221">
        <f t="shared" si="411"/>
        <v>15</v>
      </c>
      <c r="R232" s="221"/>
      <c r="S232" s="176">
        <f t="shared" si="412"/>
        <v>590.62438738921298</v>
      </c>
      <c r="T232" s="176">
        <f t="shared" si="413"/>
        <v>15</v>
      </c>
      <c r="U232" s="221">
        <f t="shared" si="414"/>
        <v>1.9048386007104134E-2</v>
      </c>
      <c r="V232" s="221">
        <f t="shared" si="415"/>
        <v>2.0408985007611572E-2</v>
      </c>
      <c r="W232" s="221">
        <f t="shared" si="416"/>
        <v>8.2177539321095896E-7</v>
      </c>
      <c r="X232" s="201">
        <f t="shared" si="417"/>
        <v>350</v>
      </c>
      <c r="Y232" s="451">
        <f t="shared" si="418"/>
        <v>350</v>
      </c>
      <c r="AA232" s="221">
        <f t="shared" si="419"/>
        <v>2.6665592966620477</v>
      </c>
      <c r="AB232" s="177">
        <f t="shared" si="420"/>
        <v>1.1503929066313219E-4</v>
      </c>
      <c r="AC232" s="177">
        <f t="shared" si="421"/>
        <v>2.4527153110202145</v>
      </c>
      <c r="AD232" s="177"/>
      <c r="AE232" s="177">
        <f t="shared" si="422"/>
        <v>6.4712206554230591E-6</v>
      </c>
      <c r="AF232" s="555">
        <f t="shared" si="423"/>
        <v>721.54074074074094</v>
      </c>
      <c r="AG232" s="538">
        <f t="shared" si="424"/>
        <v>7.7611695137976321E-3</v>
      </c>
      <c r="AI232" s="177">
        <f t="shared" si="425"/>
        <v>0.21537121884031279</v>
      </c>
      <c r="AJ232" s="177">
        <f t="shared" si="426"/>
        <v>0.21537121884031279</v>
      </c>
      <c r="AK232" s="177">
        <f t="shared" si="427"/>
        <v>1.2435808125602086</v>
      </c>
      <c r="AM232" s="555">
        <f t="shared" si="428"/>
        <v>16</v>
      </c>
      <c r="AN232" s="469">
        <f t="shared" si="429"/>
        <v>350</v>
      </c>
      <c r="AP232">
        <f t="shared" si="430"/>
        <v>16</v>
      </c>
      <c r="AQ232">
        <f t="shared" si="431"/>
        <v>350</v>
      </c>
      <c r="AS232" s="5">
        <f t="shared" si="364"/>
        <v>2.8571428571428572</v>
      </c>
      <c r="AT232" s="5">
        <f t="shared" si="432"/>
        <v>0.23075487732890659</v>
      </c>
      <c r="AU232" s="5">
        <f t="shared" si="304"/>
        <v>2.6263879798139507</v>
      </c>
      <c r="AV232" s="5"/>
      <c r="AW232" s="177">
        <f t="shared" si="305"/>
        <v>8.0764207065117305E-2</v>
      </c>
      <c r="AX232" s="177"/>
      <c r="BA232" s="469">
        <f t="shared" si="433"/>
        <v>3.7498490124508512</v>
      </c>
      <c r="BB232" s="469">
        <f t="shared" si="434"/>
        <v>7.8257335837210756E-2</v>
      </c>
      <c r="BC232" s="5">
        <f t="shared" si="359"/>
        <v>2.084434904614246E-2</v>
      </c>
      <c r="BD232" s="469">
        <f t="shared" si="435"/>
        <v>0</v>
      </c>
      <c r="BQ232" s="538">
        <f t="shared" si="436"/>
        <v>4.5839999999999995E-3</v>
      </c>
      <c r="CG232" s="571">
        <f t="shared" si="437"/>
        <v>-50</v>
      </c>
      <c r="CH232">
        <f t="shared" si="438"/>
        <v>-50</v>
      </c>
    </row>
    <row r="233" spans="5:86" x14ac:dyDescent="0.25">
      <c r="E233" s="174">
        <v>17</v>
      </c>
      <c r="F233" s="221">
        <f t="shared" si="439"/>
        <v>1.7000000000000001E-2</v>
      </c>
      <c r="G233" s="221"/>
      <c r="H233" s="221">
        <f t="shared" si="404"/>
        <v>0.255</v>
      </c>
      <c r="I233" s="551">
        <f t="shared" si="405"/>
        <v>28</v>
      </c>
      <c r="J233" s="451">
        <f t="shared" si="406"/>
        <v>695386.58000000007</v>
      </c>
      <c r="K233" s="451">
        <f t="shared" si="407"/>
        <v>695414.58000000007</v>
      </c>
      <c r="L233" s="451"/>
      <c r="M233" s="221">
        <f t="shared" si="408"/>
        <v>0.99995973624826795</v>
      </c>
      <c r="N233" s="176">
        <f t="shared" si="409"/>
        <v>9.8024053024945204</v>
      </c>
      <c r="O233" s="176">
        <f t="shared" si="363"/>
        <v>0.255</v>
      </c>
      <c r="P233" s="221">
        <f t="shared" si="410"/>
        <v>0.65349368683296805</v>
      </c>
      <c r="Q233" s="221">
        <f t="shared" si="411"/>
        <v>15</v>
      </c>
      <c r="R233" s="221"/>
      <c r="S233" s="176">
        <f t="shared" si="412"/>
        <v>555.88174034464578</v>
      </c>
      <c r="T233" s="176">
        <f t="shared" si="413"/>
        <v>15</v>
      </c>
      <c r="U233" s="221">
        <f t="shared" si="414"/>
        <v>2.0238910132548145E-2</v>
      </c>
      <c r="V233" s="221">
        <f t="shared" si="415"/>
        <v>2.1684546570587299E-2</v>
      </c>
      <c r="W233" s="221">
        <f t="shared" si="416"/>
        <v>8.73136355286644E-7</v>
      </c>
      <c r="X233" s="201">
        <f t="shared" si="417"/>
        <v>350</v>
      </c>
      <c r="Y233" s="451">
        <f t="shared" si="418"/>
        <v>350</v>
      </c>
      <c r="AA233" s="221">
        <f t="shared" si="419"/>
        <v>2.6665592966620477</v>
      </c>
      <c r="AB233" s="177">
        <f t="shared" si="420"/>
        <v>1.1503929066313219E-4</v>
      </c>
      <c r="AC233" s="177">
        <f t="shared" si="421"/>
        <v>2.4527153110202145</v>
      </c>
      <c r="AD233" s="177"/>
      <c r="AE233" s="177">
        <f t="shared" si="422"/>
        <v>6.4712206554230591E-6</v>
      </c>
      <c r="AF233" s="555">
        <f t="shared" si="423"/>
        <v>766.63703703703732</v>
      </c>
      <c r="AG233" s="538">
        <f t="shared" si="424"/>
        <v>7.7611695137976321E-3</v>
      </c>
      <c r="AI233" s="177">
        <f t="shared" si="425"/>
        <v>0.22199957099915651</v>
      </c>
      <c r="AJ233" s="177">
        <f t="shared" si="426"/>
        <v>0.22199957099915651</v>
      </c>
      <c r="AK233" s="177">
        <f t="shared" si="427"/>
        <v>1.2479997139994377</v>
      </c>
      <c r="AM233" s="555">
        <f t="shared" si="428"/>
        <v>17</v>
      </c>
      <c r="AN233" s="469">
        <f t="shared" si="429"/>
        <v>350</v>
      </c>
      <c r="AP233">
        <f t="shared" si="430"/>
        <v>17</v>
      </c>
      <c r="AQ233">
        <f t="shared" si="431"/>
        <v>350</v>
      </c>
      <c r="AS233" s="5">
        <f t="shared" si="364"/>
        <v>2.8571428571428572</v>
      </c>
      <c r="AT233" s="5">
        <f t="shared" si="432"/>
        <v>0.23785668321338196</v>
      </c>
      <c r="AU233" s="5">
        <f t="shared" si="304"/>
        <v>2.619286173929475</v>
      </c>
      <c r="AV233" s="5"/>
      <c r="AW233" s="177">
        <f t="shared" si="305"/>
        <v>8.3249839124683686E-2</v>
      </c>
      <c r="AX233" s="177"/>
      <c r="BA233" s="469">
        <f t="shared" si="433"/>
        <v>3.7498490124508512</v>
      </c>
      <c r="BB233" s="469">
        <f t="shared" si="434"/>
        <v>8.5157695534976208E-2</v>
      </c>
      <c r="BC233" s="5">
        <f t="shared" si="359"/>
        <v>2.2087234601587832E-2</v>
      </c>
      <c r="BD233" s="469">
        <f t="shared" si="435"/>
        <v>0</v>
      </c>
      <c r="BQ233" s="538">
        <f t="shared" si="436"/>
        <v>4.8704999999999998E-3</v>
      </c>
      <c r="CG233" s="571">
        <f t="shared" si="437"/>
        <v>-50</v>
      </c>
      <c r="CH233">
        <f t="shared" si="438"/>
        <v>-50</v>
      </c>
    </row>
    <row r="234" spans="5:86" x14ac:dyDescent="0.25">
      <c r="E234" s="174">
        <v>18</v>
      </c>
      <c r="F234" s="221">
        <f t="shared" si="439"/>
        <v>1.7999999999999999E-2</v>
      </c>
      <c r="G234" s="221"/>
      <c r="H234" s="221">
        <f t="shared" si="404"/>
        <v>0.26999999999999996</v>
      </c>
      <c r="I234" s="551">
        <f t="shared" si="405"/>
        <v>28</v>
      </c>
      <c r="J234" s="451">
        <f t="shared" si="406"/>
        <v>695386.58000000007</v>
      </c>
      <c r="K234" s="451">
        <f t="shared" si="407"/>
        <v>695414.58000000007</v>
      </c>
      <c r="L234" s="451"/>
      <c r="M234" s="221">
        <f t="shared" si="408"/>
        <v>0.99995973624826795</v>
      </c>
      <c r="N234" s="176">
        <f t="shared" si="409"/>
        <v>9.8024053024945204</v>
      </c>
      <c r="O234" s="176">
        <f t="shared" si="363"/>
        <v>0.26999999999999996</v>
      </c>
      <c r="P234" s="221">
        <f t="shared" si="410"/>
        <v>0.65349368683296805</v>
      </c>
      <c r="Q234" s="221">
        <f t="shared" si="411"/>
        <v>15</v>
      </c>
      <c r="R234" s="221"/>
      <c r="S234" s="176">
        <f t="shared" si="412"/>
        <v>524.99938741772496</v>
      </c>
      <c r="T234" s="176">
        <f t="shared" si="413"/>
        <v>15</v>
      </c>
      <c r="U234" s="221">
        <f t="shared" si="414"/>
        <v>2.1429434257992149E-2</v>
      </c>
      <c r="V234" s="221">
        <f t="shared" si="415"/>
        <v>2.2960108133563018E-2</v>
      </c>
      <c r="W234" s="221">
        <f t="shared" si="416"/>
        <v>9.2449731736232862E-7</v>
      </c>
      <c r="X234" s="201">
        <f t="shared" si="417"/>
        <v>350</v>
      </c>
      <c r="Y234" s="451">
        <f t="shared" si="418"/>
        <v>350</v>
      </c>
      <c r="AA234" s="221">
        <f t="shared" si="419"/>
        <v>2.6665592966620477</v>
      </c>
      <c r="AB234" s="177">
        <f t="shared" si="420"/>
        <v>1.1503929066313219E-4</v>
      </c>
      <c r="AC234" s="177">
        <f t="shared" si="421"/>
        <v>2.4527153110202145</v>
      </c>
      <c r="AD234" s="177"/>
      <c r="AE234" s="177">
        <f t="shared" si="422"/>
        <v>6.4712206554230591E-6</v>
      </c>
      <c r="AF234" s="555">
        <f t="shared" si="423"/>
        <v>811.73333333333346</v>
      </c>
      <c r="AG234" s="538">
        <f t="shared" si="424"/>
        <v>7.7611695137976321E-3</v>
      </c>
      <c r="AI234" s="177">
        <f t="shared" si="425"/>
        <v>0.22843567397159564</v>
      </c>
      <c r="AJ234" s="177">
        <f t="shared" si="426"/>
        <v>0.22843567397159564</v>
      </c>
      <c r="AK234" s="177">
        <f t="shared" si="427"/>
        <v>1.2522904493143971</v>
      </c>
      <c r="AM234" s="555">
        <f t="shared" si="428"/>
        <v>18</v>
      </c>
      <c r="AN234" s="469">
        <f t="shared" si="429"/>
        <v>350</v>
      </c>
      <c r="AP234">
        <f t="shared" si="430"/>
        <v>18</v>
      </c>
      <c r="AQ234">
        <f t="shared" si="431"/>
        <v>350</v>
      </c>
      <c r="AS234" s="5">
        <f t="shared" si="364"/>
        <v>2.8571428571428572</v>
      </c>
      <c r="AT234" s="5">
        <f t="shared" si="432"/>
        <v>0.24475250782670963</v>
      </c>
      <c r="AU234" s="5">
        <f t="shared" ref="AU234:AU297" si="440">AS234-AT234</f>
        <v>2.6123903493161476</v>
      </c>
      <c r="AV234" s="5"/>
      <c r="AW234" s="177">
        <f t="shared" ref="AW234:AW297" si="441">AT234/AS234</f>
        <v>8.5663377739348373E-2</v>
      </c>
      <c r="AX234" s="177"/>
      <c r="BA234" s="469">
        <f t="shared" si="433"/>
        <v>3.7498490124508512</v>
      </c>
      <c r="BB234" s="469">
        <f t="shared" si="434"/>
        <v>9.2294440668969857E-2</v>
      </c>
      <c r="BC234" s="5">
        <f t="shared" si="359"/>
        <v>2.3324913833179882E-2</v>
      </c>
      <c r="BD234" s="469">
        <f t="shared" si="435"/>
        <v>0</v>
      </c>
      <c r="BQ234" s="538">
        <f t="shared" si="436"/>
        <v>5.1569999999999993E-3</v>
      </c>
      <c r="CG234" s="571">
        <f t="shared" si="437"/>
        <v>-50</v>
      </c>
      <c r="CH234">
        <f t="shared" si="438"/>
        <v>-50</v>
      </c>
    </row>
    <row r="235" spans="5:86" x14ac:dyDescent="0.25">
      <c r="E235" s="174">
        <v>19</v>
      </c>
      <c r="F235" s="221">
        <f t="shared" si="439"/>
        <v>1.9000000000000003E-2</v>
      </c>
      <c r="G235" s="221"/>
      <c r="H235" s="221">
        <f t="shared" si="404"/>
        <v>0.28500000000000003</v>
      </c>
      <c r="I235" s="551">
        <f t="shared" si="405"/>
        <v>28</v>
      </c>
      <c r="J235" s="451">
        <f t="shared" si="406"/>
        <v>695386.58000000007</v>
      </c>
      <c r="K235" s="451">
        <f t="shared" si="407"/>
        <v>695414.58000000007</v>
      </c>
      <c r="L235" s="451"/>
      <c r="M235" s="221">
        <f t="shared" si="408"/>
        <v>0.99995973624826795</v>
      </c>
      <c r="N235" s="176">
        <f t="shared" si="409"/>
        <v>9.8024053024945204</v>
      </c>
      <c r="O235" s="176">
        <f t="shared" si="363"/>
        <v>0.28500000000000003</v>
      </c>
      <c r="P235" s="221">
        <f t="shared" si="410"/>
        <v>0.65349368683296805</v>
      </c>
      <c r="Q235" s="221">
        <f t="shared" si="411"/>
        <v>15</v>
      </c>
      <c r="R235" s="221"/>
      <c r="S235" s="176">
        <f t="shared" si="412"/>
        <v>497.36780848461126</v>
      </c>
      <c r="T235" s="176">
        <f t="shared" si="413"/>
        <v>15</v>
      </c>
      <c r="U235" s="221">
        <f t="shared" si="414"/>
        <v>2.2619958383436164E-2</v>
      </c>
      <c r="V235" s="221">
        <f t="shared" si="415"/>
        <v>2.4235669696538748E-2</v>
      </c>
      <c r="W235" s="221">
        <f t="shared" si="416"/>
        <v>9.7585827943801387E-7</v>
      </c>
      <c r="X235" s="201">
        <f t="shared" si="417"/>
        <v>350</v>
      </c>
      <c r="Y235" s="451">
        <f t="shared" si="418"/>
        <v>350</v>
      </c>
      <c r="AA235" s="221">
        <f t="shared" si="419"/>
        <v>2.6665592966620477</v>
      </c>
      <c r="AB235" s="177">
        <f t="shared" si="420"/>
        <v>1.1503929066313219E-4</v>
      </c>
      <c r="AC235" s="177">
        <f t="shared" si="421"/>
        <v>2.4527153110202145</v>
      </c>
      <c r="AD235" s="177"/>
      <c r="AE235" s="177">
        <f t="shared" si="422"/>
        <v>6.4712206554230591E-6</v>
      </c>
      <c r="AF235" s="555">
        <f t="shared" si="423"/>
        <v>856.82962962963006</v>
      </c>
      <c r="AG235" s="538">
        <f t="shared" si="424"/>
        <v>7.7611695137976321E-3</v>
      </c>
      <c r="AI235" s="177">
        <f t="shared" si="425"/>
        <v>0.23469534456802668</v>
      </c>
      <c r="AJ235" s="177">
        <f t="shared" si="426"/>
        <v>0.23469534456802668</v>
      </c>
      <c r="AK235" s="177">
        <f t="shared" si="427"/>
        <v>1.2564635630453511</v>
      </c>
      <c r="AM235" s="555">
        <f t="shared" si="428"/>
        <v>19.000000000000004</v>
      </c>
      <c r="AN235" s="469">
        <f t="shared" si="429"/>
        <v>350</v>
      </c>
      <c r="AP235">
        <f t="shared" si="430"/>
        <v>19.000000000000004</v>
      </c>
      <c r="AQ235">
        <f t="shared" si="431"/>
        <v>350</v>
      </c>
      <c r="AS235" s="5">
        <f t="shared" si="364"/>
        <v>2.8571428571428572</v>
      </c>
      <c r="AT235" s="5">
        <f t="shared" si="432"/>
        <v>0.2514592977514572</v>
      </c>
      <c r="AU235" s="5">
        <f t="shared" si="440"/>
        <v>2.6056835593913998</v>
      </c>
      <c r="AV235" s="5"/>
      <c r="AW235" s="177">
        <f t="shared" si="441"/>
        <v>8.8010754213010023E-2</v>
      </c>
      <c r="AX235" s="177"/>
      <c r="BA235" s="469">
        <f t="shared" si="433"/>
        <v>3.7498490124508512</v>
      </c>
      <c r="BB235" s="469">
        <f t="shared" si="434"/>
        <v>9.9667571239191732E-2</v>
      </c>
      <c r="BC235" s="5">
        <f t="shared" si="359"/>
        <v>2.4557533545851485E-2</v>
      </c>
      <c r="BD235" s="469">
        <f t="shared" si="435"/>
        <v>0</v>
      </c>
      <c r="BQ235" s="538">
        <f t="shared" si="436"/>
        <v>5.4435000000000004E-3</v>
      </c>
      <c r="CG235" s="571">
        <f t="shared" si="437"/>
        <v>-50</v>
      </c>
      <c r="CH235">
        <f t="shared" si="438"/>
        <v>-50</v>
      </c>
    </row>
    <row r="236" spans="5:86" x14ac:dyDescent="0.25">
      <c r="E236" s="174">
        <v>20</v>
      </c>
      <c r="F236" s="221">
        <f t="shared" si="439"/>
        <v>2.0000000000000004E-2</v>
      </c>
      <c r="G236" s="221"/>
      <c r="H236" s="221">
        <f t="shared" si="404"/>
        <v>0.30000000000000004</v>
      </c>
      <c r="I236" s="551">
        <f t="shared" si="405"/>
        <v>28</v>
      </c>
      <c r="J236" s="451">
        <f t="shared" si="406"/>
        <v>695386.58000000007</v>
      </c>
      <c r="K236" s="451">
        <f t="shared" si="407"/>
        <v>695414.58000000007</v>
      </c>
      <c r="L236" s="451"/>
      <c r="M236" s="221">
        <f t="shared" si="408"/>
        <v>0.99995973624826795</v>
      </c>
      <c r="N236" s="176">
        <f t="shared" si="409"/>
        <v>9.8024053024945204</v>
      </c>
      <c r="O236" s="176">
        <f t="shared" si="363"/>
        <v>0.30000000000000004</v>
      </c>
      <c r="P236" s="221">
        <f t="shared" si="410"/>
        <v>0.65349368683296805</v>
      </c>
      <c r="Q236" s="221">
        <f t="shared" si="411"/>
        <v>15</v>
      </c>
      <c r="R236" s="221"/>
      <c r="S236" s="176">
        <f t="shared" si="412"/>
        <v>472.49938744623392</v>
      </c>
      <c r="T236" s="176">
        <f t="shared" si="413"/>
        <v>15</v>
      </c>
      <c r="U236" s="221">
        <f t="shared" si="414"/>
        <v>2.3810482508880172E-2</v>
      </c>
      <c r="V236" s="221">
        <f t="shared" si="415"/>
        <v>2.5511231259514471E-2</v>
      </c>
      <c r="W236" s="221">
        <f t="shared" si="416"/>
        <v>1.0272192415136989E-6</v>
      </c>
      <c r="X236" s="201">
        <f t="shared" si="417"/>
        <v>350</v>
      </c>
      <c r="Y236" s="451">
        <f t="shared" si="418"/>
        <v>350</v>
      </c>
      <c r="AA236" s="221">
        <f t="shared" si="419"/>
        <v>2.6665592966620477</v>
      </c>
      <c r="AB236" s="177">
        <f t="shared" si="420"/>
        <v>1.1503929066313219E-4</v>
      </c>
      <c r="AC236" s="177">
        <f t="shared" si="421"/>
        <v>2.4527153110202145</v>
      </c>
      <c r="AD236" s="177"/>
      <c r="AE236" s="177">
        <f t="shared" si="422"/>
        <v>6.4712206554230591E-6</v>
      </c>
      <c r="AF236" s="555">
        <f t="shared" si="423"/>
        <v>901.92592592592632</v>
      </c>
      <c r="AG236" s="538">
        <f t="shared" si="424"/>
        <v>7.7611695137976321E-3</v>
      </c>
      <c r="AI236" s="177">
        <f t="shared" si="425"/>
        <v>0.24079234286196144</v>
      </c>
      <c r="AJ236" s="177">
        <f t="shared" si="426"/>
        <v>0.24079234286196144</v>
      </c>
      <c r="AK236" s="177">
        <f t="shared" si="427"/>
        <v>1.2605282285746409</v>
      </c>
      <c r="AM236" s="555">
        <f t="shared" si="428"/>
        <v>20.000000000000004</v>
      </c>
      <c r="AN236" s="469">
        <f t="shared" si="429"/>
        <v>350</v>
      </c>
      <c r="AP236">
        <f t="shared" si="430"/>
        <v>20.000000000000004</v>
      </c>
      <c r="AQ236">
        <f t="shared" si="431"/>
        <v>350</v>
      </c>
      <c r="AS236" s="5">
        <f t="shared" si="364"/>
        <v>2.8571428571428572</v>
      </c>
      <c r="AT236" s="5">
        <f t="shared" si="432"/>
        <v>0.25799179592353011</v>
      </c>
      <c r="AU236" s="5">
        <f t="shared" si="440"/>
        <v>2.5991510612193269</v>
      </c>
      <c r="AV236" s="5"/>
      <c r="AW236" s="177">
        <f t="shared" si="441"/>
        <v>9.0297128573235533E-2</v>
      </c>
      <c r="AX236" s="177"/>
      <c r="BA236" s="469">
        <f t="shared" si="433"/>
        <v>3.7498490124508512</v>
      </c>
      <c r="BB236" s="469">
        <f t="shared" si="434"/>
        <v>0.10727708724564183</v>
      </c>
      <c r="BC236" s="5">
        <f t="shared" si="359"/>
        <v>2.5785228781937765E-2</v>
      </c>
      <c r="BD236" s="469">
        <f t="shared" si="435"/>
        <v>0</v>
      </c>
      <c r="BQ236" s="538">
        <f t="shared" si="436"/>
        <v>5.7300000000000007E-3</v>
      </c>
      <c r="CG236" s="571">
        <f t="shared" si="437"/>
        <v>-50</v>
      </c>
      <c r="CH236">
        <f t="shared" si="438"/>
        <v>-50</v>
      </c>
    </row>
    <row r="237" spans="5:86" x14ac:dyDescent="0.25">
      <c r="E237" s="174">
        <v>21</v>
      </c>
      <c r="F237" s="221">
        <f t="shared" si="439"/>
        <v>2.1000000000000001E-2</v>
      </c>
      <c r="G237" s="221"/>
      <c r="H237" s="221">
        <f t="shared" si="404"/>
        <v>0.315</v>
      </c>
      <c r="I237" s="551">
        <f t="shared" si="405"/>
        <v>28</v>
      </c>
      <c r="J237" s="451">
        <f t="shared" si="406"/>
        <v>695386.58000000007</v>
      </c>
      <c r="K237" s="451">
        <f t="shared" si="407"/>
        <v>695414.58000000007</v>
      </c>
      <c r="L237" s="451"/>
      <c r="M237" s="221">
        <f t="shared" si="408"/>
        <v>0.99995973624826795</v>
      </c>
      <c r="N237" s="176">
        <f t="shared" si="409"/>
        <v>9.8024053024945204</v>
      </c>
      <c r="O237" s="176">
        <f t="shared" si="363"/>
        <v>0.315</v>
      </c>
      <c r="P237" s="221">
        <f t="shared" si="410"/>
        <v>0.65349368683296805</v>
      </c>
      <c r="Q237" s="221">
        <f t="shared" si="411"/>
        <v>15</v>
      </c>
      <c r="R237" s="221"/>
      <c r="S237" s="176">
        <f t="shared" si="412"/>
        <v>449.99938746048758</v>
      </c>
      <c r="T237" s="176">
        <f t="shared" si="413"/>
        <v>15</v>
      </c>
      <c r="U237" s="221">
        <f t="shared" si="414"/>
        <v>2.5001006634324176E-2</v>
      </c>
      <c r="V237" s="221">
        <f t="shared" si="415"/>
        <v>2.6786792822490191E-2</v>
      </c>
      <c r="W237" s="221">
        <f t="shared" si="416"/>
        <v>1.0785802035893835E-6</v>
      </c>
      <c r="X237" s="201">
        <f t="shared" si="417"/>
        <v>350</v>
      </c>
      <c r="Y237" s="451">
        <f t="shared" si="418"/>
        <v>350</v>
      </c>
      <c r="AA237" s="221">
        <f t="shared" si="419"/>
        <v>2.6665592966620477</v>
      </c>
      <c r="AB237" s="177">
        <f t="shared" si="420"/>
        <v>1.1503929066313219E-4</v>
      </c>
      <c r="AC237" s="177">
        <f t="shared" si="421"/>
        <v>2.4527153110202145</v>
      </c>
      <c r="AD237" s="177"/>
      <c r="AE237" s="177">
        <f t="shared" si="422"/>
        <v>6.4712206554230591E-6</v>
      </c>
      <c r="AF237" s="555">
        <f t="shared" si="423"/>
        <v>947.02222222222247</v>
      </c>
      <c r="AG237" s="538">
        <f t="shared" si="424"/>
        <v>7.7611695137976321E-3</v>
      </c>
      <c r="AI237" s="177">
        <f t="shared" si="425"/>
        <v>0.24673872821265819</v>
      </c>
      <c r="AJ237" s="177">
        <f t="shared" si="426"/>
        <v>0.24673872821265819</v>
      </c>
      <c r="AK237" s="177">
        <f t="shared" si="427"/>
        <v>1.2644924854751054</v>
      </c>
      <c r="AM237" s="555">
        <f t="shared" si="428"/>
        <v>21</v>
      </c>
      <c r="AN237" s="469">
        <f t="shared" si="429"/>
        <v>350</v>
      </c>
      <c r="AP237">
        <f t="shared" si="430"/>
        <v>21</v>
      </c>
      <c r="AQ237">
        <f t="shared" si="431"/>
        <v>350</v>
      </c>
      <c r="AS237" s="5">
        <f t="shared" si="364"/>
        <v>2.8571428571428572</v>
      </c>
      <c r="AT237" s="5">
        <f t="shared" si="432"/>
        <v>0.26436292308499093</v>
      </c>
      <c r="AU237" s="5">
        <f t="shared" si="440"/>
        <v>2.5927799340578663</v>
      </c>
      <c r="AV237" s="5"/>
      <c r="AW237" s="177">
        <f t="shared" si="441"/>
        <v>9.252702307974682E-2</v>
      </c>
      <c r="AX237" s="177"/>
      <c r="BA237" s="469">
        <f t="shared" si="433"/>
        <v>3.7498490124508512</v>
      </c>
      <c r="BB237" s="469">
        <f t="shared" si="434"/>
        <v>0.11512298868832009</v>
      </c>
      <c r="BC237" s="5">
        <f t="shared" si="359"/>
        <v>2.7008124313102767E-2</v>
      </c>
      <c r="BD237" s="469">
        <f t="shared" si="435"/>
        <v>0</v>
      </c>
      <c r="BQ237" s="538">
        <f t="shared" si="436"/>
        <v>6.0165000000000001E-3</v>
      </c>
      <c r="CG237" s="571">
        <f t="shared" si="437"/>
        <v>-50</v>
      </c>
      <c r="CH237">
        <f t="shared" si="438"/>
        <v>-50</v>
      </c>
    </row>
    <row r="238" spans="5:86" x14ac:dyDescent="0.25">
      <c r="E238" s="174">
        <v>22</v>
      </c>
      <c r="F238" s="221">
        <f t="shared" si="439"/>
        <v>2.2000000000000002E-2</v>
      </c>
      <c r="G238" s="221"/>
      <c r="H238" s="221">
        <f t="shared" si="404"/>
        <v>0.33</v>
      </c>
      <c r="I238" s="551">
        <f t="shared" si="405"/>
        <v>28</v>
      </c>
      <c r="J238" s="451">
        <f t="shared" si="406"/>
        <v>695386.58000000007</v>
      </c>
      <c r="K238" s="451">
        <f t="shared" si="407"/>
        <v>695414.58000000007</v>
      </c>
      <c r="L238" s="451"/>
      <c r="M238" s="221">
        <f t="shared" si="408"/>
        <v>0.99995973624826795</v>
      </c>
      <c r="N238" s="176">
        <f t="shared" si="409"/>
        <v>9.8024053024945204</v>
      </c>
      <c r="O238" s="176">
        <f t="shared" si="363"/>
        <v>0.33</v>
      </c>
      <c r="P238" s="221">
        <f t="shared" si="410"/>
        <v>0.65349368683296805</v>
      </c>
      <c r="Q238" s="221">
        <f t="shared" si="411"/>
        <v>15</v>
      </c>
      <c r="R238" s="221"/>
      <c r="S238" s="176">
        <f t="shared" si="412"/>
        <v>429.54484202019506</v>
      </c>
      <c r="T238" s="176">
        <f t="shared" si="413"/>
        <v>15</v>
      </c>
      <c r="U238" s="221">
        <f t="shared" si="414"/>
        <v>2.6191530759768187E-2</v>
      </c>
      <c r="V238" s="221">
        <f t="shared" si="415"/>
        <v>2.8062354385465914E-2</v>
      </c>
      <c r="W238" s="221">
        <f t="shared" si="416"/>
        <v>1.1299411656650686E-6</v>
      </c>
      <c r="X238" s="201">
        <f t="shared" si="417"/>
        <v>350</v>
      </c>
      <c r="Y238" s="451">
        <f t="shared" si="418"/>
        <v>350</v>
      </c>
      <c r="AA238" s="221">
        <f t="shared" si="419"/>
        <v>2.6665592966620477</v>
      </c>
      <c r="AB238" s="177">
        <f t="shared" si="420"/>
        <v>1.1503929066313219E-4</v>
      </c>
      <c r="AC238" s="177">
        <f t="shared" si="421"/>
        <v>2.4527153110202145</v>
      </c>
      <c r="AD238" s="177"/>
      <c r="AE238" s="177">
        <f t="shared" si="422"/>
        <v>6.4712206554230591E-6</v>
      </c>
      <c r="AF238" s="555">
        <f t="shared" si="423"/>
        <v>992.11851851851884</v>
      </c>
      <c r="AG238" s="538">
        <f t="shared" si="424"/>
        <v>7.7611695137976321E-3</v>
      </c>
      <c r="AI238" s="177">
        <f t="shared" si="425"/>
        <v>0.25254513976524595</v>
      </c>
      <c r="AJ238" s="177">
        <f t="shared" si="426"/>
        <v>0.25254513976524595</v>
      </c>
      <c r="AK238" s="177">
        <f t="shared" si="427"/>
        <v>1.268363426510164</v>
      </c>
      <c r="AM238" s="555">
        <f t="shared" si="428"/>
        <v>22.000000000000004</v>
      </c>
      <c r="AN238" s="469">
        <f t="shared" si="429"/>
        <v>350</v>
      </c>
      <c r="AP238">
        <f t="shared" si="430"/>
        <v>22.000000000000004</v>
      </c>
      <c r="AQ238">
        <f t="shared" si="431"/>
        <v>350</v>
      </c>
      <c r="AS238" s="5">
        <f t="shared" si="364"/>
        <v>2.8571428571428572</v>
      </c>
      <c r="AT238" s="5">
        <f t="shared" si="432"/>
        <v>0.27058407831990633</v>
      </c>
      <c r="AU238" s="5">
        <f t="shared" si="440"/>
        <v>2.5865587788229507</v>
      </c>
      <c r="AV238" s="5"/>
      <c r="AW238" s="177">
        <f t="shared" si="441"/>
        <v>9.4704427411967218E-2</v>
      </c>
      <c r="AX238" s="177"/>
      <c r="BA238" s="469">
        <f t="shared" si="433"/>
        <v>3.7498490124508512</v>
      </c>
      <c r="BB238" s="469">
        <f t="shared" si="434"/>
        <v>0.1232052755672266</v>
      </c>
      <c r="BC238" s="5">
        <f t="shared" si="359"/>
        <v>2.8226335880012356E-2</v>
      </c>
      <c r="BD238" s="469">
        <f t="shared" si="435"/>
        <v>0</v>
      </c>
      <c r="BQ238" s="538">
        <f t="shared" si="436"/>
        <v>6.3030000000000004E-3</v>
      </c>
      <c r="CG238" s="571">
        <f t="shared" si="437"/>
        <v>-50</v>
      </c>
      <c r="CH238">
        <f t="shared" si="438"/>
        <v>-50</v>
      </c>
    </row>
    <row r="239" spans="5:86" x14ac:dyDescent="0.25">
      <c r="E239" s="174">
        <v>23</v>
      </c>
      <c r="F239" s="221">
        <f t="shared" si="439"/>
        <v>2.3000000000000003E-2</v>
      </c>
      <c r="G239" s="221"/>
      <c r="H239" s="221">
        <f t="shared" si="404"/>
        <v>0.34500000000000003</v>
      </c>
      <c r="I239" s="551">
        <f t="shared" si="405"/>
        <v>28</v>
      </c>
      <c r="J239" s="451">
        <f t="shared" si="406"/>
        <v>695386.58000000007</v>
      </c>
      <c r="K239" s="451">
        <f t="shared" si="407"/>
        <v>695414.58000000007</v>
      </c>
      <c r="L239" s="451"/>
      <c r="M239" s="221">
        <f t="shared" si="408"/>
        <v>0.99995973624826795</v>
      </c>
      <c r="N239" s="176">
        <f t="shared" si="409"/>
        <v>9.8024053024945204</v>
      </c>
      <c r="O239" s="176">
        <f t="shared" si="363"/>
        <v>0.34500000000000003</v>
      </c>
      <c r="P239" s="221">
        <f t="shared" si="410"/>
        <v>0.65349368683296805</v>
      </c>
      <c r="Q239" s="221">
        <f t="shared" si="411"/>
        <v>15</v>
      </c>
      <c r="R239" s="221"/>
      <c r="S239" s="176">
        <f t="shared" si="412"/>
        <v>410.86895270638416</v>
      </c>
      <c r="T239" s="176">
        <f t="shared" si="413"/>
        <v>15</v>
      </c>
      <c r="U239" s="221">
        <f t="shared" si="414"/>
        <v>2.7382054885212198E-2</v>
      </c>
      <c r="V239" s="221">
        <f t="shared" si="415"/>
        <v>2.933791594844164E-2</v>
      </c>
      <c r="W239" s="221">
        <f t="shared" si="416"/>
        <v>1.1813021277407538E-6</v>
      </c>
      <c r="X239" s="201">
        <f t="shared" si="417"/>
        <v>350</v>
      </c>
      <c r="Y239" s="451">
        <f t="shared" si="418"/>
        <v>350</v>
      </c>
      <c r="AA239" s="221">
        <f t="shared" si="419"/>
        <v>2.6665592966620477</v>
      </c>
      <c r="AB239" s="177">
        <f t="shared" si="420"/>
        <v>1.1503929066313219E-4</v>
      </c>
      <c r="AC239" s="177">
        <f t="shared" si="421"/>
        <v>2.4527153110202145</v>
      </c>
      <c r="AD239" s="177"/>
      <c r="AE239" s="177">
        <f t="shared" si="422"/>
        <v>6.4712206554230591E-6</v>
      </c>
      <c r="AF239" s="555">
        <f t="shared" si="423"/>
        <v>1037.2148148148151</v>
      </c>
      <c r="AG239" s="538">
        <f t="shared" si="424"/>
        <v>7.7611695137976321E-3</v>
      </c>
      <c r="AI239" s="177">
        <f t="shared" si="425"/>
        <v>0.25822102013216364</v>
      </c>
      <c r="AJ239" s="177">
        <f t="shared" si="426"/>
        <v>0.25822102013216364</v>
      </c>
      <c r="AK239" s="177">
        <f t="shared" si="427"/>
        <v>1.2721473467547757</v>
      </c>
      <c r="AM239" s="555">
        <f t="shared" si="428"/>
        <v>23.000000000000004</v>
      </c>
      <c r="AN239" s="469">
        <f t="shared" si="429"/>
        <v>350</v>
      </c>
      <c r="AP239">
        <f t="shared" si="430"/>
        <v>23.000000000000004</v>
      </c>
      <c r="AQ239">
        <f t="shared" si="431"/>
        <v>350</v>
      </c>
      <c r="AS239" s="5">
        <f t="shared" si="364"/>
        <v>2.8571428571428572</v>
      </c>
      <c r="AT239" s="5">
        <f t="shared" si="432"/>
        <v>0.27666537871303248</v>
      </c>
      <c r="AU239" s="5">
        <f t="shared" si="440"/>
        <v>2.5804774784298248</v>
      </c>
      <c r="AV239" s="5"/>
      <c r="AW239" s="177">
        <f t="shared" si="441"/>
        <v>9.6832882549561364E-2</v>
      </c>
      <c r="AX239" s="177"/>
      <c r="BA239" s="469">
        <f t="shared" si="433"/>
        <v>3.7498490124508512</v>
      </c>
      <c r="BB239" s="469">
        <f t="shared" si="434"/>
        <v>0.13152394788236133</v>
      </c>
      <c r="BC239" s="5">
        <f t="shared" si="359"/>
        <v>2.9439971232086293E-2</v>
      </c>
      <c r="BD239" s="469">
        <f t="shared" si="435"/>
        <v>0</v>
      </c>
      <c r="BQ239" s="538">
        <f t="shared" si="436"/>
        <v>6.5895000000000007E-3</v>
      </c>
      <c r="CG239" s="571">
        <f t="shared" si="437"/>
        <v>-50</v>
      </c>
      <c r="CH239">
        <f t="shared" si="438"/>
        <v>-50</v>
      </c>
    </row>
    <row r="240" spans="5:86" x14ac:dyDescent="0.25">
      <c r="E240" s="174">
        <v>24</v>
      </c>
      <c r="F240" s="221">
        <f t="shared" si="439"/>
        <v>2.4E-2</v>
      </c>
      <c r="G240" s="221"/>
      <c r="H240" s="221">
        <f t="shared" si="404"/>
        <v>0.36</v>
      </c>
      <c r="I240" s="551">
        <f t="shared" si="405"/>
        <v>28</v>
      </c>
      <c r="J240" s="451">
        <f t="shared" si="406"/>
        <v>695386.58000000007</v>
      </c>
      <c r="K240" s="451">
        <f t="shared" si="407"/>
        <v>695414.58000000007</v>
      </c>
      <c r="L240" s="451"/>
      <c r="M240" s="221">
        <f t="shared" si="408"/>
        <v>0.99995973624826795</v>
      </c>
      <c r="N240" s="176">
        <f t="shared" si="409"/>
        <v>9.8024053024945204</v>
      </c>
      <c r="O240" s="176">
        <f t="shared" si="363"/>
        <v>0.36</v>
      </c>
      <c r="P240" s="221">
        <f t="shared" si="410"/>
        <v>0.65349368683296805</v>
      </c>
      <c r="Q240" s="221">
        <f t="shared" si="411"/>
        <v>15</v>
      </c>
      <c r="R240" s="221"/>
      <c r="S240" s="176">
        <f t="shared" si="412"/>
        <v>393.74938750324441</v>
      </c>
      <c r="T240" s="176">
        <f t="shared" si="413"/>
        <v>15</v>
      </c>
      <c r="U240" s="221">
        <f t="shared" si="414"/>
        <v>2.8572579010656202E-2</v>
      </c>
      <c r="V240" s="221">
        <f t="shared" si="415"/>
        <v>3.061347751141736E-2</v>
      </c>
      <c r="W240" s="221">
        <f t="shared" si="416"/>
        <v>1.2326630898164387E-6</v>
      </c>
      <c r="X240" s="201">
        <f t="shared" si="417"/>
        <v>350</v>
      </c>
      <c r="Y240" s="451">
        <f t="shared" si="418"/>
        <v>350</v>
      </c>
      <c r="AA240" s="221">
        <f t="shared" si="419"/>
        <v>2.6665592966620477</v>
      </c>
      <c r="AB240" s="177">
        <f t="shared" si="420"/>
        <v>1.1503929066313219E-4</v>
      </c>
      <c r="AC240" s="177">
        <f t="shared" si="421"/>
        <v>2.4527153110202145</v>
      </c>
      <c r="AD240" s="177"/>
      <c r="AE240" s="177">
        <f t="shared" si="422"/>
        <v>6.4712206554230591E-6</v>
      </c>
      <c r="AF240" s="555">
        <f t="shared" si="423"/>
        <v>1082.3111111111116</v>
      </c>
      <c r="AG240" s="538">
        <f t="shared" si="424"/>
        <v>7.7611695137976321E-3</v>
      </c>
      <c r="AI240" s="177">
        <f t="shared" si="425"/>
        <v>0.26377479572002871</v>
      </c>
      <c r="AJ240" s="177">
        <f t="shared" si="426"/>
        <v>0.26377479572002871</v>
      </c>
      <c r="AK240" s="177">
        <f t="shared" si="427"/>
        <v>1.2758498638133524</v>
      </c>
      <c r="AM240" s="555">
        <f t="shared" si="428"/>
        <v>24</v>
      </c>
      <c r="AN240" s="469">
        <f t="shared" si="429"/>
        <v>350</v>
      </c>
      <c r="AP240">
        <f t="shared" si="430"/>
        <v>24</v>
      </c>
      <c r="AQ240">
        <f t="shared" si="431"/>
        <v>350</v>
      </c>
      <c r="AS240" s="5">
        <f t="shared" si="364"/>
        <v>2.8571428571428572</v>
      </c>
      <c r="AT240" s="5">
        <f t="shared" si="432"/>
        <v>0.28261585255717364</v>
      </c>
      <c r="AU240" s="5">
        <f t="shared" si="440"/>
        <v>2.5745270045856836</v>
      </c>
      <c r="AV240" s="5"/>
      <c r="AW240" s="177">
        <f t="shared" si="441"/>
        <v>9.8915548395010766E-2</v>
      </c>
      <c r="AX240" s="177"/>
      <c r="BA240" s="469">
        <f t="shared" si="433"/>
        <v>3.7498490124508512</v>
      </c>
      <c r="BB240" s="469">
        <f t="shared" si="434"/>
        <v>0.14007900563372419</v>
      </c>
      <c r="BC240" s="5">
        <f t="shared" si="359"/>
        <v>3.0649131006972419E-2</v>
      </c>
      <c r="BD240" s="469">
        <f t="shared" si="435"/>
        <v>0</v>
      </c>
      <c r="BQ240" s="538">
        <f t="shared" si="436"/>
        <v>6.8759999999999993E-3</v>
      </c>
      <c r="CG240" s="571">
        <f t="shared" si="437"/>
        <v>-50</v>
      </c>
      <c r="CH240">
        <f t="shared" si="438"/>
        <v>-50</v>
      </c>
    </row>
    <row r="241" spans="5:86" x14ac:dyDescent="0.25">
      <c r="E241" s="174">
        <v>25</v>
      </c>
      <c r="F241" s="221">
        <f t="shared" si="439"/>
        <v>2.5000000000000001E-2</v>
      </c>
      <c r="G241" s="221"/>
      <c r="H241" s="221">
        <f t="shared" si="404"/>
        <v>0.375</v>
      </c>
      <c r="I241" s="551">
        <f t="shared" si="405"/>
        <v>28</v>
      </c>
      <c r="J241" s="451">
        <f t="shared" si="406"/>
        <v>695386.58000000007</v>
      </c>
      <c r="K241" s="451">
        <f t="shared" si="407"/>
        <v>695414.58000000007</v>
      </c>
      <c r="L241" s="451"/>
      <c r="M241" s="221">
        <f t="shared" si="408"/>
        <v>0.99995973624826795</v>
      </c>
      <c r="N241" s="176">
        <f t="shared" si="409"/>
        <v>9.8024053024945204</v>
      </c>
      <c r="O241" s="176">
        <f t="shared" si="363"/>
        <v>0.375</v>
      </c>
      <c r="P241" s="221">
        <f t="shared" si="410"/>
        <v>0.65349368683296805</v>
      </c>
      <c r="Q241" s="221">
        <f t="shared" si="411"/>
        <v>15</v>
      </c>
      <c r="R241" s="221"/>
      <c r="S241" s="176">
        <f t="shared" si="412"/>
        <v>377.99938751749534</v>
      </c>
      <c r="T241" s="176">
        <f t="shared" si="413"/>
        <v>15</v>
      </c>
      <c r="U241" s="221">
        <f t="shared" si="414"/>
        <v>2.976310313610021E-2</v>
      </c>
      <c r="V241" s="221">
        <f t="shared" si="415"/>
        <v>3.1889039074393083E-2</v>
      </c>
      <c r="W241" s="221">
        <f t="shared" si="416"/>
        <v>1.2840240518921235E-6</v>
      </c>
      <c r="X241" s="201">
        <f t="shared" si="417"/>
        <v>350</v>
      </c>
      <c r="Y241" s="451">
        <f t="shared" si="418"/>
        <v>350</v>
      </c>
      <c r="AA241" s="221">
        <f t="shared" si="419"/>
        <v>2.6665592966620477</v>
      </c>
      <c r="AB241" s="177">
        <f t="shared" si="420"/>
        <v>1.1503929066313219E-4</v>
      </c>
      <c r="AC241" s="177">
        <f t="shared" si="421"/>
        <v>2.4527153110202145</v>
      </c>
      <c r="AD241" s="177"/>
      <c r="AE241" s="177">
        <f t="shared" si="422"/>
        <v>6.4712206554230591E-6</v>
      </c>
      <c r="AF241" s="555">
        <f t="shared" si="423"/>
        <v>1127.4074074074076</v>
      </c>
      <c r="AG241" s="538">
        <f t="shared" si="424"/>
        <v>7.7611695137976321E-3</v>
      </c>
      <c r="AI241" s="177">
        <f t="shared" si="425"/>
        <v>0.26921402355039104</v>
      </c>
      <c r="AJ241" s="177">
        <f t="shared" si="426"/>
        <v>0.26921402355039104</v>
      </c>
      <c r="AK241" s="177">
        <f t="shared" si="427"/>
        <v>1.2794760157002607</v>
      </c>
      <c r="AM241" s="555">
        <f t="shared" si="428"/>
        <v>25</v>
      </c>
      <c r="AN241" s="469">
        <f t="shared" si="429"/>
        <v>350</v>
      </c>
      <c r="AP241">
        <f t="shared" si="430"/>
        <v>25</v>
      </c>
      <c r="AQ241">
        <f t="shared" si="431"/>
        <v>350</v>
      </c>
      <c r="AS241" s="5">
        <f t="shared" si="364"/>
        <v>2.8571428571428572</v>
      </c>
      <c r="AT241" s="5">
        <f t="shared" si="432"/>
        <v>0.28844359666113323</v>
      </c>
      <c r="AU241" s="5">
        <f t="shared" si="440"/>
        <v>2.5686992604817238</v>
      </c>
      <c r="AV241" s="5"/>
      <c r="AW241" s="177">
        <f t="shared" si="441"/>
        <v>0.10095525883139662</v>
      </c>
      <c r="AX241" s="177"/>
      <c r="BA241" s="469">
        <f t="shared" si="433"/>
        <v>3.7498490124508512</v>
      </c>
      <c r="BB241" s="469">
        <f t="shared" si="434"/>
        <v>0.14887044882131534</v>
      </c>
      <c r="BC241" s="5">
        <f t="shared" si="359"/>
        <v>3.1853909480180097E-2</v>
      </c>
      <c r="BD241" s="469">
        <f t="shared" si="435"/>
        <v>0</v>
      </c>
      <c r="BQ241" s="538">
        <f t="shared" si="436"/>
        <v>7.1624999999999996E-3</v>
      </c>
      <c r="CG241" s="571">
        <f t="shared" si="437"/>
        <v>-50</v>
      </c>
      <c r="CH241">
        <f t="shared" si="438"/>
        <v>-50</v>
      </c>
    </row>
    <row r="242" spans="5:86" x14ac:dyDescent="0.25">
      <c r="E242" s="174">
        <v>26</v>
      </c>
      <c r="F242" s="221">
        <f t="shared" si="439"/>
        <v>2.6000000000000002E-2</v>
      </c>
      <c r="G242" s="221"/>
      <c r="H242" s="221">
        <f t="shared" si="404"/>
        <v>0.39</v>
      </c>
      <c r="I242" s="551">
        <f t="shared" si="405"/>
        <v>28</v>
      </c>
      <c r="J242" s="451">
        <f t="shared" si="406"/>
        <v>695386.58000000007</v>
      </c>
      <c r="K242" s="451">
        <f t="shared" si="407"/>
        <v>695414.58000000007</v>
      </c>
      <c r="L242" s="451"/>
      <c r="M242" s="221">
        <f t="shared" si="408"/>
        <v>0.99995973624826795</v>
      </c>
      <c r="N242" s="176">
        <f t="shared" si="409"/>
        <v>9.8024053024945204</v>
      </c>
      <c r="O242" s="176">
        <f t="shared" si="363"/>
        <v>0.39</v>
      </c>
      <c r="P242" s="221">
        <f t="shared" si="410"/>
        <v>0.65349368683296805</v>
      </c>
      <c r="Q242" s="221">
        <f t="shared" si="411"/>
        <v>15</v>
      </c>
      <c r="R242" s="221"/>
      <c r="S242" s="176">
        <f t="shared" si="412"/>
        <v>363.46092599328398</v>
      </c>
      <c r="T242" s="176">
        <f t="shared" si="413"/>
        <v>15</v>
      </c>
      <c r="U242" s="221">
        <f t="shared" si="414"/>
        <v>3.0953627261544221E-2</v>
      </c>
      <c r="V242" s="221">
        <f t="shared" si="415"/>
        <v>3.3164600637368806E-2</v>
      </c>
      <c r="W242" s="221">
        <f t="shared" si="416"/>
        <v>1.3353850139678083E-6</v>
      </c>
      <c r="X242" s="201">
        <f t="shared" si="417"/>
        <v>350</v>
      </c>
      <c r="Y242" s="451">
        <f t="shared" si="418"/>
        <v>350</v>
      </c>
      <c r="AA242" s="221">
        <f t="shared" si="419"/>
        <v>2.6665592966620477</v>
      </c>
      <c r="AB242" s="177">
        <f t="shared" si="420"/>
        <v>1.1503929066313219E-4</v>
      </c>
      <c r="AC242" s="177">
        <f t="shared" si="421"/>
        <v>2.4527153110202145</v>
      </c>
      <c r="AD242" s="177"/>
      <c r="AE242" s="177">
        <f t="shared" si="422"/>
        <v>6.4712206554230591E-6</v>
      </c>
      <c r="AF242" s="555">
        <f t="shared" si="423"/>
        <v>1172.5037037037041</v>
      </c>
      <c r="AG242" s="538">
        <f t="shared" si="424"/>
        <v>7.7611695137976321E-3</v>
      </c>
      <c r="AI242" s="177">
        <f t="shared" si="425"/>
        <v>0.27454551188325427</v>
      </c>
      <c r="AJ242" s="177">
        <f t="shared" si="426"/>
        <v>0.27454551188325427</v>
      </c>
      <c r="AK242" s="177">
        <f t="shared" si="427"/>
        <v>1.2830303412555029</v>
      </c>
      <c r="AM242" s="555">
        <f t="shared" si="428"/>
        <v>26.000000000000004</v>
      </c>
      <c r="AN242" s="469">
        <f t="shared" si="429"/>
        <v>350</v>
      </c>
      <c r="AP242">
        <f t="shared" si="430"/>
        <v>26.000000000000004</v>
      </c>
      <c r="AQ242">
        <f t="shared" si="431"/>
        <v>350</v>
      </c>
      <c r="AS242" s="5">
        <f t="shared" si="364"/>
        <v>2.8571428571428572</v>
      </c>
      <c r="AT242" s="5">
        <f t="shared" si="432"/>
        <v>0.29415590558920102</v>
      </c>
      <c r="AU242" s="5">
        <f t="shared" si="440"/>
        <v>2.5629869515536563</v>
      </c>
      <c r="AV242" s="5"/>
      <c r="AW242" s="177">
        <f t="shared" si="441"/>
        <v>0.10295456695622035</v>
      </c>
      <c r="AX242" s="177"/>
      <c r="BA242" s="469">
        <f t="shared" si="433"/>
        <v>3.7498490124508512</v>
      </c>
      <c r="BB242" s="469">
        <f t="shared" si="434"/>
        <v>0.15789827744513468</v>
      </c>
      <c r="BC242" s="5">
        <f t="shared" si="359"/>
        <v>3.3054395208529291E-2</v>
      </c>
      <c r="BD242" s="469">
        <f t="shared" si="435"/>
        <v>0</v>
      </c>
      <c r="BQ242" s="538">
        <f t="shared" si="436"/>
        <v>7.4489999999999999E-3</v>
      </c>
      <c r="CG242" s="571">
        <f t="shared" si="437"/>
        <v>-50</v>
      </c>
      <c r="CH242">
        <f t="shared" si="438"/>
        <v>-50</v>
      </c>
    </row>
    <row r="243" spans="5:86" x14ac:dyDescent="0.25">
      <c r="E243" s="174">
        <v>27</v>
      </c>
      <c r="F243" s="221">
        <f t="shared" si="439"/>
        <v>2.7000000000000003E-2</v>
      </c>
      <c r="G243" s="221"/>
      <c r="H243" s="221">
        <f t="shared" si="404"/>
        <v>0.40500000000000003</v>
      </c>
      <c r="I243" s="551">
        <f t="shared" si="405"/>
        <v>28</v>
      </c>
      <c r="J243" s="451">
        <f t="shared" si="406"/>
        <v>695386.58000000007</v>
      </c>
      <c r="K243" s="451">
        <f t="shared" si="407"/>
        <v>695414.58000000007</v>
      </c>
      <c r="L243" s="451"/>
      <c r="M243" s="221">
        <f t="shared" si="408"/>
        <v>0.99995973624826795</v>
      </c>
      <c r="N243" s="176">
        <f t="shared" si="409"/>
        <v>9.8024053024945204</v>
      </c>
      <c r="O243" s="176">
        <f t="shared" si="363"/>
        <v>0.40500000000000003</v>
      </c>
      <c r="P243" s="221">
        <f t="shared" si="410"/>
        <v>0.65349368683296805</v>
      </c>
      <c r="Q243" s="221">
        <f t="shared" si="411"/>
        <v>15</v>
      </c>
      <c r="R243" s="221"/>
      <c r="S243" s="176">
        <f t="shared" si="412"/>
        <v>349.99938754599521</v>
      </c>
      <c r="T243" s="176">
        <f t="shared" si="413"/>
        <v>15</v>
      </c>
      <c r="U243" s="221">
        <f t="shared" si="414"/>
        <v>3.2144151386988229E-2</v>
      </c>
      <c r="V243" s="221">
        <f t="shared" si="415"/>
        <v>3.4440162200344529E-2</v>
      </c>
      <c r="W243" s="221">
        <f t="shared" si="416"/>
        <v>1.3867459760434934E-6</v>
      </c>
      <c r="X243" s="201">
        <f t="shared" si="417"/>
        <v>350</v>
      </c>
      <c r="Y243" s="451">
        <f t="shared" si="418"/>
        <v>350</v>
      </c>
      <c r="AA243" s="221">
        <f t="shared" si="419"/>
        <v>2.6665592966620477</v>
      </c>
      <c r="AB243" s="177">
        <f t="shared" si="420"/>
        <v>1.1503929066313219E-4</v>
      </c>
      <c r="AC243" s="177">
        <f t="shared" si="421"/>
        <v>2.4527153110202145</v>
      </c>
      <c r="AD243" s="177"/>
      <c r="AE243" s="177">
        <f t="shared" si="422"/>
        <v>6.4712206554230591E-6</v>
      </c>
      <c r="AF243" s="555">
        <f t="shared" si="423"/>
        <v>1217.6000000000004</v>
      </c>
      <c r="AG243" s="538">
        <f t="shared" si="424"/>
        <v>7.7611695137976321E-3</v>
      </c>
      <c r="AI243" s="177">
        <f t="shared" si="425"/>
        <v>0.27977542013959289</v>
      </c>
      <c r="AJ243" s="177">
        <f t="shared" si="426"/>
        <v>0.27977542013959289</v>
      </c>
      <c r="AK243" s="177">
        <f t="shared" si="427"/>
        <v>1.2865169467597286</v>
      </c>
      <c r="AM243" s="555">
        <f t="shared" si="428"/>
        <v>27.000000000000004</v>
      </c>
      <c r="AN243" s="469">
        <f t="shared" si="429"/>
        <v>350</v>
      </c>
      <c r="AP243">
        <f t="shared" si="430"/>
        <v>27.000000000000004</v>
      </c>
      <c r="AQ243">
        <f t="shared" si="431"/>
        <v>350</v>
      </c>
      <c r="AS243" s="5">
        <f t="shared" si="364"/>
        <v>2.8571428571428572</v>
      </c>
      <c r="AT243" s="5">
        <f t="shared" si="432"/>
        <v>0.2997593787209924</v>
      </c>
      <c r="AU243" s="5">
        <f t="shared" si="440"/>
        <v>2.557383478421865</v>
      </c>
      <c r="AV243" s="5"/>
      <c r="AW243" s="177">
        <f t="shared" si="441"/>
        <v>0.10491578255234733</v>
      </c>
      <c r="AX243" s="177"/>
      <c r="BA243" s="469">
        <f t="shared" si="433"/>
        <v>3.7498490124508512</v>
      </c>
      <c r="BB243" s="469">
        <f t="shared" si="434"/>
        <v>0.16716249150518223</v>
      </c>
      <c r="BC243" s="5">
        <f t="shared" si="359"/>
        <v>3.4250671586007114E-2</v>
      </c>
      <c r="BD243" s="469">
        <f t="shared" si="435"/>
        <v>0</v>
      </c>
      <c r="BQ243" s="538">
        <f t="shared" si="436"/>
        <v>7.7355000000000011E-3</v>
      </c>
      <c r="CG243" s="571">
        <f t="shared" si="437"/>
        <v>-50</v>
      </c>
      <c r="CH243">
        <f t="shared" si="438"/>
        <v>-50</v>
      </c>
    </row>
    <row r="244" spans="5:86" x14ac:dyDescent="0.25">
      <c r="E244" s="174">
        <v>28</v>
      </c>
      <c r="F244" s="221">
        <f t="shared" si="439"/>
        <v>2.8000000000000004E-2</v>
      </c>
      <c r="G244" s="221"/>
      <c r="H244" s="221">
        <f t="shared" si="404"/>
        <v>0.42000000000000004</v>
      </c>
      <c r="I244" s="551">
        <f t="shared" si="405"/>
        <v>28</v>
      </c>
      <c r="J244" s="451">
        <f t="shared" si="406"/>
        <v>695386.58000000007</v>
      </c>
      <c r="K244" s="451">
        <f t="shared" si="407"/>
        <v>695414.58000000007</v>
      </c>
      <c r="L244" s="451"/>
      <c r="M244" s="221">
        <f t="shared" si="408"/>
        <v>0.99995973624826795</v>
      </c>
      <c r="N244" s="176">
        <f t="shared" si="409"/>
        <v>9.8024053024945204</v>
      </c>
      <c r="O244" s="176">
        <f t="shared" si="363"/>
        <v>0.42000000000000004</v>
      </c>
      <c r="P244" s="221">
        <f t="shared" si="410"/>
        <v>0.65349368683296805</v>
      </c>
      <c r="Q244" s="221">
        <f t="shared" si="411"/>
        <v>15</v>
      </c>
      <c r="R244" s="221"/>
      <c r="S244" s="176">
        <f t="shared" si="412"/>
        <v>337.49938756024409</v>
      </c>
      <c r="T244" s="176">
        <f t="shared" si="413"/>
        <v>15</v>
      </c>
      <c r="U244" s="221">
        <f t="shared" si="414"/>
        <v>3.3334675512432237E-2</v>
      </c>
      <c r="V244" s="221">
        <f t="shared" si="415"/>
        <v>3.5715723763320252E-2</v>
      </c>
      <c r="W244" s="221">
        <f t="shared" si="416"/>
        <v>1.438106938119178E-6</v>
      </c>
      <c r="X244" s="201">
        <f t="shared" si="417"/>
        <v>350</v>
      </c>
      <c r="Y244" s="451">
        <f t="shared" si="418"/>
        <v>350</v>
      </c>
      <c r="AA244" s="221">
        <f t="shared" si="419"/>
        <v>2.6665592966620477</v>
      </c>
      <c r="AB244" s="177">
        <f t="shared" si="420"/>
        <v>1.1503929066313219E-4</v>
      </c>
      <c r="AC244" s="177">
        <f t="shared" si="421"/>
        <v>2.4527153110202145</v>
      </c>
      <c r="AD244" s="177"/>
      <c r="AE244" s="177">
        <f t="shared" si="422"/>
        <v>6.4712206554230591E-6</v>
      </c>
      <c r="AF244" s="555">
        <f t="shared" si="423"/>
        <v>1262.6962962962969</v>
      </c>
      <c r="AG244" s="538">
        <f t="shared" si="424"/>
        <v>7.7611695137976321E-3</v>
      </c>
      <c r="AI244" s="177">
        <f t="shared" si="425"/>
        <v>0.28490934230616821</v>
      </c>
      <c r="AJ244" s="177">
        <f t="shared" si="426"/>
        <v>0.28490934230616821</v>
      </c>
      <c r="AK244" s="177">
        <f t="shared" si="427"/>
        <v>1.2899395615374454</v>
      </c>
      <c r="AM244" s="555">
        <f t="shared" si="428"/>
        <v>28.000000000000004</v>
      </c>
      <c r="AN244" s="469">
        <f t="shared" si="429"/>
        <v>350</v>
      </c>
      <c r="AP244">
        <f t="shared" si="430"/>
        <v>28.000000000000004</v>
      </c>
      <c r="AQ244">
        <f t="shared" si="431"/>
        <v>350</v>
      </c>
      <c r="AS244" s="5">
        <f t="shared" si="364"/>
        <v>2.8571428571428572</v>
      </c>
      <c r="AT244" s="5">
        <f t="shared" si="432"/>
        <v>0.30526000961375166</v>
      </c>
      <c r="AU244" s="5">
        <f t="shared" si="440"/>
        <v>2.5518828475291055</v>
      </c>
      <c r="AV244" s="5"/>
      <c r="AW244" s="177">
        <f t="shared" si="441"/>
        <v>0.10684100336481307</v>
      </c>
      <c r="AX244" s="177"/>
      <c r="BA244" s="469">
        <f t="shared" si="433"/>
        <v>3.7498490124508512</v>
      </c>
      <c r="BB244" s="469">
        <f t="shared" si="434"/>
        <v>0.17666309100145797</v>
      </c>
      <c r="BC244" s="5">
        <f t="shared" si="359"/>
        <v>3.5442817326793129E-2</v>
      </c>
      <c r="BD244" s="469">
        <f t="shared" si="435"/>
        <v>0</v>
      </c>
      <c r="BQ244" s="538">
        <f t="shared" si="436"/>
        <v>8.0220000000000014E-3</v>
      </c>
      <c r="CG244" s="571">
        <f t="shared" si="437"/>
        <v>-50</v>
      </c>
      <c r="CH244">
        <f t="shared" si="438"/>
        <v>-50</v>
      </c>
    </row>
    <row r="245" spans="5:86" x14ac:dyDescent="0.25">
      <c r="E245" s="174">
        <v>29</v>
      </c>
      <c r="F245" s="221">
        <f t="shared" si="439"/>
        <v>2.8999999999999998E-2</v>
      </c>
      <c r="G245" s="221"/>
      <c r="H245" s="221">
        <f t="shared" si="404"/>
        <v>0.43499999999999994</v>
      </c>
      <c r="I245" s="551">
        <f t="shared" si="405"/>
        <v>28</v>
      </c>
      <c r="J245" s="451">
        <f t="shared" si="406"/>
        <v>695386.58000000007</v>
      </c>
      <c r="K245" s="451">
        <f t="shared" si="407"/>
        <v>695414.58000000007</v>
      </c>
      <c r="L245" s="451"/>
      <c r="M245" s="221">
        <f t="shared" si="408"/>
        <v>0.99995973624826795</v>
      </c>
      <c r="N245" s="176">
        <f t="shared" si="409"/>
        <v>9.8024053024945204</v>
      </c>
      <c r="O245" s="176">
        <f t="shared" si="363"/>
        <v>0.43499999999999994</v>
      </c>
      <c r="P245" s="221">
        <f t="shared" si="410"/>
        <v>0.65349368683296805</v>
      </c>
      <c r="Q245" s="221">
        <f t="shared" si="411"/>
        <v>15</v>
      </c>
      <c r="R245" s="221"/>
      <c r="S245" s="176">
        <f t="shared" si="412"/>
        <v>325.86145654000967</v>
      </c>
      <c r="T245" s="176">
        <f t="shared" si="413"/>
        <v>15</v>
      </c>
      <c r="U245" s="221">
        <f t="shared" si="414"/>
        <v>3.4525199637876237E-2</v>
      </c>
      <c r="V245" s="221">
        <f t="shared" si="415"/>
        <v>3.6991285326295968E-2</v>
      </c>
      <c r="W245" s="221">
        <f t="shared" si="416"/>
        <v>1.489467900194863E-6</v>
      </c>
      <c r="X245" s="201">
        <f t="shared" si="417"/>
        <v>350</v>
      </c>
      <c r="Y245" s="451">
        <f t="shared" si="418"/>
        <v>350</v>
      </c>
      <c r="AA245" s="221">
        <f t="shared" si="419"/>
        <v>2.6665592966620477</v>
      </c>
      <c r="AB245" s="177">
        <f t="shared" si="420"/>
        <v>1.1503929066313219E-4</v>
      </c>
      <c r="AC245" s="177">
        <f t="shared" si="421"/>
        <v>2.4527153110202145</v>
      </c>
      <c r="AD245" s="177"/>
      <c r="AE245" s="177">
        <f t="shared" si="422"/>
        <v>6.4712206554230591E-6</v>
      </c>
      <c r="AF245" s="555">
        <f t="shared" si="423"/>
        <v>1307.7925925925929</v>
      </c>
      <c r="AG245" s="538">
        <f t="shared" si="424"/>
        <v>7.7611695137976321E-3</v>
      </c>
      <c r="AI245" s="177">
        <f t="shared" si="425"/>
        <v>0.28995237704212901</v>
      </c>
      <c r="AJ245" s="177">
        <f t="shared" si="426"/>
        <v>0.28995237704212901</v>
      </c>
      <c r="AK245" s="177">
        <f t="shared" si="427"/>
        <v>1.2933015846947526</v>
      </c>
      <c r="AM245" s="555">
        <f t="shared" si="428"/>
        <v>28.999999999999996</v>
      </c>
      <c r="AN245" s="469">
        <f t="shared" si="429"/>
        <v>350</v>
      </c>
      <c r="AP245">
        <f t="shared" si="430"/>
        <v>28.999999999999996</v>
      </c>
      <c r="AQ245">
        <f t="shared" si="431"/>
        <v>350</v>
      </c>
      <c r="AS245" s="5">
        <f t="shared" si="364"/>
        <v>2.8571428571428572</v>
      </c>
      <c r="AT245" s="5">
        <f t="shared" si="432"/>
        <v>0.31066326111656678</v>
      </c>
      <c r="AU245" s="5">
        <f t="shared" si="440"/>
        <v>2.5464795960262903</v>
      </c>
      <c r="AV245" s="5"/>
      <c r="AW245" s="177">
        <f t="shared" si="441"/>
        <v>0.10873214139079837</v>
      </c>
      <c r="AX245" s="177"/>
      <c r="BA245" s="469">
        <f t="shared" si="433"/>
        <v>3.7498490124508512</v>
      </c>
      <c r="BB245" s="469">
        <f t="shared" si="434"/>
        <v>0.18640007593396185</v>
      </c>
      <c r="BC245" s="5">
        <f t="shared" ref="BC245:BC308" si="442">H245/Efficiency/I245*AU245/Vinripple1</f>
        <v>3.6630906887282932E-2</v>
      </c>
      <c r="BD245" s="469">
        <f t="shared" si="435"/>
        <v>0</v>
      </c>
      <c r="BQ245" s="538">
        <f t="shared" si="436"/>
        <v>8.3084999999999999E-3</v>
      </c>
      <c r="CG245" s="571">
        <f t="shared" si="437"/>
        <v>-50</v>
      </c>
      <c r="CH245">
        <f t="shared" si="438"/>
        <v>-50</v>
      </c>
    </row>
    <row r="246" spans="5:86" x14ac:dyDescent="0.25">
      <c r="E246" s="174">
        <v>30</v>
      </c>
      <c r="F246" s="221">
        <f t="shared" si="439"/>
        <v>0.03</v>
      </c>
      <c r="G246" s="221"/>
      <c r="H246" s="221">
        <f t="shared" si="404"/>
        <v>0.44999999999999996</v>
      </c>
      <c r="I246" s="551">
        <f t="shared" si="405"/>
        <v>28</v>
      </c>
      <c r="J246" s="451">
        <f t="shared" si="406"/>
        <v>695386.58000000007</v>
      </c>
      <c r="K246" s="451">
        <f t="shared" si="407"/>
        <v>695414.58000000007</v>
      </c>
      <c r="L246" s="451"/>
      <c r="M246" s="221">
        <f t="shared" si="408"/>
        <v>0.99995973624826795</v>
      </c>
      <c r="N246" s="176">
        <f t="shared" si="409"/>
        <v>9.8024053024945204</v>
      </c>
      <c r="O246" s="176">
        <f t="shared" si="363"/>
        <v>0.44999999999999996</v>
      </c>
      <c r="P246" s="221">
        <f t="shared" si="410"/>
        <v>0.65349368683296805</v>
      </c>
      <c r="Q246" s="221">
        <f t="shared" si="411"/>
        <v>15</v>
      </c>
      <c r="R246" s="221"/>
      <c r="S246" s="176">
        <f t="shared" si="412"/>
        <v>314.99938758874009</v>
      </c>
      <c r="T246" s="176">
        <f t="shared" si="413"/>
        <v>15</v>
      </c>
      <c r="U246" s="221">
        <f t="shared" si="414"/>
        <v>3.5715723763320252E-2</v>
      </c>
      <c r="V246" s="221">
        <f t="shared" si="415"/>
        <v>3.8266846889271698E-2</v>
      </c>
      <c r="W246" s="221">
        <f t="shared" si="416"/>
        <v>1.5408288622705481E-6</v>
      </c>
      <c r="X246" s="201">
        <f t="shared" si="417"/>
        <v>350</v>
      </c>
      <c r="Y246" s="451">
        <f t="shared" si="418"/>
        <v>350</v>
      </c>
      <c r="AA246" s="221">
        <f t="shared" si="419"/>
        <v>2.6665592966620477</v>
      </c>
      <c r="AB246" s="177">
        <f t="shared" si="420"/>
        <v>1.1503929066313219E-4</v>
      </c>
      <c r="AC246" s="177">
        <f t="shared" si="421"/>
        <v>2.4527153110202145</v>
      </c>
      <c r="AD246" s="177"/>
      <c r="AE246" s="177">
        <f t="shared" si="422"/>
        <v>6.4712206554230591E-6</v>
      </c>
      <c r="AF246" s="555">
        <f t="shared" si="423"/>
        <v>1352.8888888888891</v>
      </c>
      <c r="AG246" s="538">
        <f t="shared" si="424"/>
        <v>7.7611695137976321E-3</v>
      </c>
      <c r="AI246" s="177">
        <f t="shared" si="425"/>
        <v>0.29490918699055235</v>
      </c>
      <c r="AJ246" s="177">
        <f t="shared" si="426"/>
        <v>0.29490918699055235</v>
      </c>
      <c r="AK246" s="177">
        <f t="shared" si="427"/>
        <v>1.2966061246603682</v>
      </c>
      <c r="AM246" s="555">
        <f t="shared" si="428"/>
        <v>30</v>
      </c>
      <c r="AN246" s="469">
        <f t="shared" si="429"/>
        <v>350</v>
      </c>
      <c r="AP246">
        <f t="shared" si="430"/>
        <v>30</v>
      </c>
      <c r="AQ246">
        <f t="shared" si="431"/>
        <v>350</v>
      </c>
      <c r="AS246" s="5">
        <f t="shared" si="364"/>
        <v>2.8571428571428572</v>
      </c>
      <c r="AT246" s="5">
        <f t="shared" si="432"/>
        <v>0.315974128918449</v>
      </c>
      <c r="AU246" s="5">
        <f t="shared" si="440"/>
        <v>2.5411687282244082</v>
      </c>
      <c r="AV246" s="5"/>
      <c r="AW246" s="177">
        <f t="shared" si="441"/>
        <v>0.11059094512145715</v>
      </c>
      <c r="AX246" s="177"/>
      <c r="BA246" s="469">
        <f t="shared" si="433"/>
        <v>3.7498490124508512</v>
      </c>
      <c r="BB246" s="469">
        <f t="shared" si="434"/>
        <v>0.19637344630269404</v>
      </c>
      <c r="BC246" s="5">
        <f t="shared" si="442"/>
        <v>3.7815010836672734E-2</v>
      </c>
      <c r="BD246" s="469">
        <f t="shared" si="435"/>
        <v>0</v>
      </c>
      <c r="BQ246" s="538">
        <f t="shared" si="436"/>
        <v>8.5949999999999985E-3</v>
      </c>
      <c r="CG246" s="571">
        <f t="shared" si="437"/>
        <v>-50</v>
      </c>
      <c r="CH246">
        <f t="shared" si="438"/>
        <v>-50</v>
      </c>
    </row>
    <row r="247" spans="5:86" x14ac:dyDescent="0.25">
      <c r="E247" s="174">
        <v>31</v>
      </c>
      <c r="F247" s="221">
        <f t="shared" si="439"/>
        <v>3.1E-2</v>
      </c>
      <c r="G247" s="221"/>
      <c r="H247" s="221">
        <f t="shared" si="404"/>
        <v>0.46499999999999997</v>
      </c>
      <c r="I247" s="551">
        <f t="shared" si="405"/>
        <v>28</v>
      </c>
      <c r="J247" s="451">
        <f t="shared" si="406"/>
        <v>695386.58000000007</v>
      </c>
      <c r="K247" s="451">
        <f t="shared" si="407"/>
        <v>695414.58000000007</v>
      </c>
      <c r="L247" s="451"/>
      <c r="M247" s="221">
        <f t="shared" si="408"/>
        <v>0.99995973624826795</v>
      </c>
      <c r="N247" s="176">
        <f t="shared" si="409"/>
        <v>9.8024053024945204</v>
      </c>
      <c r="O247" s="176">
        <f t="shared" si="363"/>
        <v>0.46499999999999997</v>
      </c>
      <c r="P247" s="221">
        <f t="shared" si="410"/>
        <v>0.65349368683296805</v>
      </c>
      <c r="Q247" s="221">
        <f t="shared" si="411"/>
        <v>15</v>
      </c>
      <c r="R247" s="221"/>
      <c r="S247" s="176">
        <f t="shared" si="412"/>
        <v>304.83809728040643</v>
      </c>
      <c r="T247" s="176">
        <f t="shared" si="413"/>
        <v>15</v>
      </c>
      <c r="U247" s="221">
        <f t="shared" si="414"/>
        <v>3.690624788876426E-2</v>
      </c>
      <c r="V247" s="221">
        <f t="shared" si="415"/>
        <v>3.9542408452247421E-2</v>
      </c>
      <c r="W247" s="221">
        <f t="shared" si="416"/>
        <v>1.5921898243462331E-6</v>
      </c>
      <c r="X247" s="201">
        <f t="shared" si="417"/>
        <v>350</v>
      </c>
      <c r="Y247" s="451">
        <f t="shared" si="418"/>
        <v>350</v>
      </c>
      <c r="AA247" s="221">
        <f t="shared" si="419"/>
        <v>2.6665592966620477</v>
      </c>
      <c r="AB247" s="177">
        <f t="shared" si="420"/>
        <v>1.1503929066313219E-4</v>
      </c>
      <c r="AC247" s="177">
        <f t="shared" si="421"/>
        <v>2.4527153110202145</v>
      </c>
      <c r="AD247" s="177"/>
      <c r="AE247" s="177">
        <f t="shared" si="422"/>
        <v>6.4712206554230591E-6</v>
      </c>
      <c r="AF247" s="555">
        <f t="shared" si="423"/>
        <v>1397.9851851851856</v>
      </c>
      <c r="AG247" s="538">
        <f t="shared" si="424"/>
        <v>7.7611695137976321E-3</v>
      </c>
      <c r="AI247" s="177">
        <f t="shared" si="425"/>
        <v>0.29978404925958985</v>
      </c>
      <c r="AJ247" s="177">
        <f t="shared" si="426"/>
        <v>0.29978404925958985</v>
      </c>
      <c r="AK247" s="177">
        <f t="shared" si="427"/>
        <v>1.2998560328397266</v>
      </c>
      <c r="AM247" s="555">
        <f t="shared" si="428"/>
        <v>31</v>
      </c>
      <c r="AN247" s="469">
        <f t="shared" si="429"/>
        <v>350</v>
      </c>
      <c r="AP247">
        <f t="shared" si="430"/>
        <v>31</v>
      </c>
      <c r="AQ247">
        <f t="shared" si="431"/>
        <v>350</v>
      </c>
      <c r="AS247" s="5">
        <f t="shared" si="364"/>
        <v>2.8571428571428572</v>
      </c>
      <c r="AT247" s="5">
        <f t="shared" si="432"/>
        <v>0.32119719563527482</v>
      </c>
      <c r="AU247" s="5">
        <f t="shared" si="440"/>
        <v>2.5359456615075824</v>
      </c>
      <c r="AV247" s="5"/>
      <c r="AW247" s="177">
        <f t="shared" si="441"/>
        <v>0.11241901847234619</v>
      </c>
      <c r="AX247" s="177"/>
      <c r="BA247" s="469">
        <f t="shared" si="433"/>
        <v>3.7498490124508512</v>
      </c>
      <c r="BB247" s="469">
        <f t="shared" si="434"/>
        <v>0.20658320210765441</v>
      </c>
      <c r="BC247" s="5">
        <f t="shared" si="442"/>
        <v>3.8995196183896345E-2</v>
      </c>
      <c r="BD247" s="469">
        <f t="shared" si="435"/>
        <v>0</v>
      </c>
      <c r="BQ247" s="538">
        <f t="shared" si="436"/>
        <v>8.8814999999999988E-3</v>
      </c>
      <c r="CG247" s="571">
        <f t="shared" si="437"/>
        <v>-50</v>
      </c>
      <c r="CH247">
        <f t="shared" si="438"/>
        <v>-50</v>
      </c>
    </row>
    <row r="248" spans="5:86" x14ac:dyDescent="0.25">
      <c r="E248" s="174">
        <v>32</v>
      </c>
      <c r="F248" s="221">
        <f t="shared" si="439"/>
        <v>3.2000000000000001E-2</v>
      </c>
      <c r="G248" s="221"/>
      <c r="H248" s="221">
        <f t="shared" ref="H248:H279" si="443">F248*Vout</f>
        <v>0.48</v>
      </c>
      <c r="I248" s="551">
        <f t="shared" ref="I248:I279" si="444">VIN_max</f>
        <v>28</v>
      </c>
      <c r="J248" s="451">
        <f t="shared" ref="J248:J279" si="445">(T248+Vfwd1)*Nps</f>
        <v>695386.58000000007</v>
      </c>
      <c r="K248" s="451">
        <f t="shared" ref="K248:K279" si="446">(Vout+Vfwd1)*Nps+I248</f>
        <v>695414.58000000007</v>
      </c>
      <c r="L248" s="451"/>
      <c r="M248" s="221">
        <f t="shared" ref="M248:M279" si="447">(Vout+Vfwd1)*Nps/((Vout+Vfwd1)*Nps+I248)</f>
        <v>0.99995973624826795</v>
      </c>
      <c r="N248" s="176">
        <f t="shared" ref="N248:N279" si="448">M248*I248*(Isw_max+VIN_max/Lmag*ILIM_delay)*0.5*Efficiency</f>
        <v>9.8024053024945204</v>
      </c>
      <c r="O248" s="176">
        <f t="shared" si="363"/>
        <v>0.48</v>
      </c>
      <c r="P248" s="221">
        <f t="shared" ref="P248:P279" si="449">N248/Vout</f>
        <v>0.65349368683296805</v>
      </c>
      <c r="Q248" s="221">
        <f t="shared" ref="Q248:Q279" si="450">MIN(Vout,N248/F248)</f>
        <v>15</v>
      </c>
      <c r="R248" s="221"/>
      <c r="S248" s="176">
        <f t="shared" ref="S248:S279" si="451">(SQRT(Isw_max^2*Nps^2*I248^2+4*Isw_max*F248/Efficiency*(Nps^2*Vfwd1*I248-Nps*I248^2)+4*(F248/Efficiency)^2*Nps^2*Vfwd1^2+8*(F248/Efficiency)^2*Nps*Vfwd1*I248+4*(F248/Efficiency)^2*I248^2)-2*F248/Efficiency*I248-2*F248/Efficiency*Nps*Vfwd1+Isw_max*Nps*I248)/(4*F248/Efficiency*Nps)</f>
        <v>295.31188761723331</v>
      </c>
      <c r="T248" s="176">
        <f t="shared" ref="T248:T279" si="452">MIN(Vout, S248)</f>
        <v>15</v>
      </c>
      <c r="U248" s="221">
        <f t="shared" ref="U248:U279" si="453">MIN(2*Vout*F248/(Efficiency*I248*M248), Isw_max)</f>
        <v>3.8096772014208267E-2</v>
      </c>
      <c r="V248" s="221">
        <f t="shared" ref="V248:V279" si="454">L*U248/I248*1000000</f>
        <v>4.0817970015223144E-2</v>
      </c>
      <c r="W248" s="221">
        <f t="shared" ref="W248:W279" si="455">L*U248/J248*1000000</f>
        <v>1.6435507864219179E-6</v>
      </c>
      <c r="X248" s="201">
        <f t="shared" ref="X248:X279" si="456">IF(1/((350000*L)*(1/I248+1/J248))&gt;Isw_min, 350, 0.001/((Isw_min*L)*(1/I248+1/J248)))</f>
        <v>350</v>
      </c>
      <c r="Y248" s="451">
        <f t="shared" si="418"/>
        <v>350</v>
      </c>
      <c r="AA248" s="221">
        <f t="shared" ref="AA248:AA279" si="457">1/((X248*1000*L)*(1/I248+1/J248))</f>
        <v>2.6665592966620477</v>
      </c>
      <c r="AB248" s="177">
        <f t="shared" ref="AB248:AB279" si="458">L*AA248/J248*1000000</f>
        <v>1.1503929066313219E-4</v>
      </c>
      <c r="AC248" s="177">
        <f t="shared" ref="AC248:AC279" si="459">0.5*AB248*AA248*Nps*X248/1000</f>
        <v>2.4527153110202145</v>
      </c>
      <c r="AD248" s="177"/>
      <c r="AE248" s="177">
        <f t="shared" ref="AE248:AE279" si="460">L*Isw_min/J248*1000000</f>
        <v>6.4712206554230591E-6</v>
      </c>
      <c r="AF248" s="555">
        <f t="shared" ref="AF248:AF279" si="461">MAX(12000,F248/(0.5*AE248/1000000*Isw_min*Nps))/1000</f>
        <v>1443.0814814814819</v>
      </c>
      <c r="AG248" s="538">
        <f t="shared" ref="AG248:AG279" si="462">0.5*AE248/1000000*Isw_min*Nps*X248*1000</f>
        <v>7.7611695137976321E-3</v>
      </c>
      <c r="AI248" s="177">
        <f t="shared" ref="AI248:AI279" si="463">SQRT(F248/(0.5*L/J248*Fsw_DCM*Nps))</f>
        <v>0.30458089862879423</v>
      </c>
      <c r="AJ248" s="177">
        <f t="shared" ref="AJ248:AJ279" si="464">MAX(IF(F248&gt;AC248,U248,AI248),Isw_min)</f>
        <v>0.30458089862879423</v>
      </c>
      <c r="AK248" s="177">
        <f t="shared" ref="AK248:AK279" si="465">IF(F248&gt;AG248, (AJ248-Isw_min)/1.2*0.8+1.2, AF248*0.2/350+1)</f>
        <v>1.3030539324191961</v>
      </c>
      <c r="AM248" s="555">
        <f t="shared" ref="AM248:AM279" si="466">F248*1000</f>
        <v>32</v>
      </c>
      <c r="AN248" s="469">
        <f t="shared" ref="AN248:AN279" si="467">IF(F248&gt;AG248, Y248, AF248)</f>
        <v>350</v>
      </c>
      <c r="AP248">
        <f t="shared" ref="AP248:AP279" si="468">IF(H248&gt;N248, "",AM248)</f>
        <v>32</v>
      </c>
      <c r="AQ248">
        <f t="shared" ref="AQ248:AQ279" si="469">IF(H248&gt;N248, "",AN248)</f>
        <v>350</v>
      </c>
      <c r="AS248" s="5">
        <f t="shared" si="364"/>
        <v>2.8571428571428572</v>
      </c>
      <c r="AT248" s="5">
        <f t="shared" ref="AT248:AT279" si="470">L*AJ248/I248*1000000</f>
        <v>0.32633667710227948</v>
      </c>
      <c r="AU248" s="5">
        <f t="shared" si="440"/>
        <v>2.5308061800405777</v>
      </c>
      <c r="AV248" s="5"/>
      <c r="AW248" s="177">
        <f t="shared" si="441"/>
        <v>0.11421783698579782</v>
      </c>
      <c r="AX248" s="177"/>
      <c r="BA248" s="469">
        <f t="shared" ref="BA248:BA279" si="471">L*Isw_max^2/(2*Vout_ripple*Vout)*1000000000*((1+M248)/2)^2</f>
        <v>3.7498490124508512</v>
      </c>
      <c r="BB248" s="469">
        <f t="shared" ref="BB248:BB279" si="472">L*F248^2/(2*Cout*Vout*Nps^2)*1000000000*((1+M248)/(1-M248))^2+F248*RCoutEsr</f>
        <v>0.21702934334884302</v>
      </c>
      <c r="BC248" s="5">
        <f t="shared" si="442"/>
        <v>4.0171526667310747E-2</v>
      </c>
      <c r="BD248" s="469">
        <f t="shared" ref="BD248:BD279" si="473">((CB248/I248/Efficiency)*AU248/Cin+(CB248/I248/Efficiency)*RCinEsr)*1000</f>
        <v>0</v>
      </c>
      <c r="BQ248" s="538">
        <f t="shared" ref="BQ248:BQ279" si="474">(Vfwd2*F248+BG248^2*Rdiode)*(1+Diode_TC/1000*(Ta-25))</f>
        <v>9.1679999999999991E-3</v>
      </c>
      <c r="CG248" s="571">
        <f t="shared" ref="CG248:CG279" si="475">IF(ABS(F248-Ioutmax_Vinmax)&lt;Iout/200, AN248, -50)</f>
        <v>-50</v>
      </c>
      <c r="CH248">
        <f t="shared" ref="CH248:CH279" si="476">IF(ABS(F248-Ioutmax_Vinmin)&lt;Iout/200, N248*CC248, -50)</f>
        <v>-50</v>
      </c>
    </row>
    <row r="249" spans="5:86" x14ac:dyDescent="0.25">
      <c r="E249" s="174">
        <v>33</v>
      </c>
      <c r="F249" s="221">
        <f t="shared" ref="F249:F280" si="477">IF(PLOT_TYPE=1, E249/100*Iout_max, min_I*EXP(N249*rr/100))</f>
        <v>3.3000000000000002E-2</v>
      </c>
      <c r="G249" s="221"/>
      <c r="H249" s="221">
        <f t="shared" si="443"/>
        <v>0.495</v>
      </c>
      <c r="I249" s="551">
        <f t="shared" si="444"/>
        <v>28</v>
      </c>
      <c r="J249" s="451">
        <f t="shared" si="445"/>
        <v>695386.58000000007</v>
      </c>
      <c r="K249" s="451">
        <f t="shared" si="446"/>
        <v>695414.58000000007</v>
      </c>
      <c r="L249" s="451"/>
      <c r="M249" s="221">
        <f t="shared" si="447"/>
        <v>0.99995973624826795</v>
      </c>
      <c r="N249" s="176">
        <f t="shared" si="448"/>
        <v>9.8024053024945204</v>
      </c>
      <c r="O249" s="176">
        <f t="shared" si="363"/>
        <v>0.495</v>
      </c>
      <c r="P249" s="221">
        <f t="shared" si="449"/>
        <v>0.65349368683296805</v>
      </c>
      <c r="Q249" s="221">
        <f t="shared" si="450"/>
        <v>15</v>
      </c>
      <c r="R249" s="221"/>
      <c r="S249" s="176">
        <f t="shared" si="451"/>
        <v>286.36302399511533</v>
      </c>
      <c r="T249" s="176">
        <f t="shared" si="452"/>
        <v>15</v>
      </c>
      <c r="U249" s="221">
        <f t="shared" si="453"/>
        <v>3.9287296139652275E-2</v>
      </c>
      <c r="V249" s="221">
        <f t="shared" si="454"/>
        <v>4.209353157819886E-2</v>
      </c>
      <c r="W249" s="221">
        <f t="shared" si="455"/>
        <v>1.6949117484976028E-6</v>
      </c>
      <c r="X249" s="201">
        <f t="shared" si="456"/>
        <v>350</v>
      </c>
      <c r="Y249" s="451">
        <f t="shared" si="418"/>
        <v>350</v>
      </c>
      <c r="AA249" s="221">
        <f t="shared" si="457"/>
        <v>2.6665592966620477</v>
      </c>
      <c r="AB249" s="177">
        <f t="shared" si="458"/>
        <v>1.1503929066313219E-4</v>
      </c>
      <c r="AC249" s="177">
        <f t="shared" si="459"/>
        <v>2.4527153110202145</v>
      </c>
      <c r="AD249" s="177"/>
      <c r="AE249" s="177">
        <f t="shared" si="460"/>
        <v>6.4712206554230591E-6</v>
      </c>
      <c r="AF249" s="555">
        <f t="shared" si="461"/>
        <v>1488.1777777777781</v>
      </c>
      <c r="AG249" s="538">
        <f t="shared" si="462"/>
        <v>7.7611695137976321E-3</v>
      </c>
      <c r="AI249" s="177">
        <f t="shared" si="463"/>
        <v>0.30930336472235709</v>
      </c>
      <c r="AJ249" s="177">
        <f t="shared" si="464"/>
        <v>0.30930336472235709</v>
      </c>
      <c r="AK249" s="177">
        <f t="shared" si="465"/>
        <v>1.3062022431482381</v>
      </c>
      <c r="AM249" s="555">
        <f t="shared" si="466"/>
        <v>33</v>
      </c>
      <c r="AN249" s="469">
        <f t="shared" si="467"/>
        <v>350</v>
      </c>
      <c r="AP249">
        <f t="shared" si="468"/>
        <v>33</v>
      </c>
      <c r="AQ249">
        <f t="shared" si="469"/>
        <v>350</v>
      </c>
      <c r="AS249" s="5">
        <f t="shared" si="364"/>
        <v>2.8571428571428572</v>
      </c>
      <c r="AT249" s="5">
        <f t="shared" si="470"/>
        <v>0.33139646220252544</v>
      </c>
      <c r="AU249" s="5">
        <f t="shared" si="440"/>
        <v>2.5257463949403318</v>
      </c>
      <c r="AV249" s="5"/>
      <c r="AW249" s="177">
        <f t="shared" si="441"/>
        <v>0.11598876177088391</v>
      </c>
      <c r="AX249" s="177"/>
      <c r="BA249" s="469">
        <f t="shared" si="471"/>
        <v>3.7498490124508512</v>
      </c>
      <c r="BB249" s="469">
        <f t="shared" si="472"/>
        <v>0.22771187002625984</v>
      </c>
      <c r="BC249" s="5">
        <f t="shared" si="442"/>
        <v>4.1344063012416131E-2</v>
      </c>
      <c r="BD249" s="469">
        <f t="shared" si="473"/>
        <v>0</v>
      </c>
      <c r="BQ249" s="538">
        <f t="shared" si="474"/>
        <v>9.4545000000000011E-3</v>
      </c>
      <c r="CG249" s="571">
        <f t="shared" si="475"/>
        <v>-50</v>
      </c>
      <c r="CH249">
        <f t="shared" si="476"/>
        <v>-50</v>
      </c>
    </row>
    <row r="250" spans="5:86" x14ac:dyDescent="0.25">
      <c r="E250" s="174">
        <v>34</v>
      </c>
      <c r="F250" s="221">
        <f t="shared" si="477"/>
        <v>3.4000000000000002E-2</v>
      </c>
      <c r="G250" s="221"/>
      <c r="H250" s="221">
        <f t="shared" si="443"/>
        <v>0.51</v>
      </c>
      <c r="I250" s="551">
        <f t="shared" si="444"/>
        <v>28</v>
      </c>
      <c r="J250" s="451">
        <f t="shared" si="445"/>
        <v>695386.58000000007</v>
      </c>
      <c r="K250" s="451">
        <f t="shared" si="446"/>
        <v>695414.58000000007</v>
      </c>
      <c r="L250" s="451"/>
      <c r="M250" s="221">
        <f t="shared" si="447"/>
        <v>0.99995973624826795</v>
      </c>
      <c r="N250" s="176">
        <f t="shared" si="448"/>
        <v>9.8024053024945204</v>
      </c>
      <c r="O250" s="176">
        <f t="shared" si="363"/>
        <v>0.51</v>
      </c>
      <c r="P250" s="221">
        <f t="shared" si="449"/>
        <v>0.65349368683296805</v>
      </c>
      <c r="Q250" s="221">
        <f t="shared" si="450"/>
        <v>15</v>
      </c>
      <c r="R250" s="221"/>
      <c r="S250" s="176">
        <f t="shared" si="451"/>
        <v>277.9405641163122</v>
      </c>
      <c r="T250" s="176">
        <f t="shared" si="452"/>
        <v>15</v>
      </c>
      <c r="U250" s="221">
        <f t="shared" si="453"/>
        <v>4.047782026509629E-2</v>
      </c>
      <c r="V250" s="221">
        <f t="shared" si="454"/>
        <v>4.3369093141174597E-2</v>
      </c>
      <c r="W250" s="221">
        <f t="shared" si="455"/>
        <v>1.746272710573288E-6</v>
      </c>
      <c r="X250" s="201">
        <f t="shared" si="456"/>
        <v>350</v>
      </c>
      <c r="Y250" s="451">
        <f t="shared" si="418"/>
        <v>350</v>
      </c>
      <c r="AA250" s="221">
        <f t="shared" si="457"/>
        <v>2.6665592966620477</v>
      </c>
      <c r="AB250" s="177">
        <f t="shared" si="458"/>
        <v>1.1503929066313219E-4</v>
      </c>
      <c r="AC250" s="177">
        <f t="shared" si="459"/>
        <v>2.4527153110202145</v>
      </c>
      <c r="AD250" s="177"/>
      <c r="AE250" s="177">
        <f t="shared" si="460"/>
        <v>6.4712206554230591E-6</v>
      </c>
      <c r="AF250" s="555">
        <f t="shared" si="461"/>
        <v>1533.2740740740746</v>
      </c>
      <c r="AG250" s="538">
        <f t="shared" si="462"/>
        <v>7.7611695137976321E-3</v>
      </c>
      <c r="AI250" s="177">
        <f t="shared" si="463"/>
        <v>0.31395480414801596</v>
      </c>
      <c r="AJ250" s="177">
        <f t="shared" si="464"/>
        <v>0.31395480414801596</v>
      </c>
      <c r="AK250" s="177">
        <f t="shared" si="465"/>
        <v>1.309303202765344</v>
      </c>
      <c r="AM250" s="555">
        <f t="shared" si="466"/>
        <v>34</v>
      </c>
      <c r="AN250" s="469">
        <f t="shared" si="467"/>
        <v>350</v>
      </c>
      <c r="AP250">
        <f t="shared" si="468"/>
        <v>34</v>
      </c>
      <c r="AQ250">
        <f t="shared" si="469"/>
        <v>350</v>
      </c>
      <c r="AS250" s="5">
        <f t="shared" si="364"/>
        <v>2.8571428571428572</v>
      </c>
      <c r="AT250" s="5">
        <f t="shared" si="470"/>
        <v>0.33638014730144566</v>
      </c>
      <c r="AU250" s="5">
        <f t="shared" si="440"/>
        <v>2.5207627098414114</v>
      </c>
      <c r="AV250" s="5"/>
      <c r="AW250" s="177">
        <f t="shared" si="441"/>
        <v>0.11773305155550598</v>
      </c>
      <c r="AX250" s="177"/>
      <c r="BA250" s="469">
        <f t="shared" si="471"/>
        <v>3.7498490124508512</v>
      </c>
      <c r="BB250" s="469">
        <f t="shared" si="472"/>
        <v>0.23863078213990482</v>
      </c>
      <c r="BC250" s="5">
        <f t="shared" si="442"/>
        <v>4.2512863162007926E-2</v>
      </c>
      <c r="BD250" s="469">
        <f t="shared" si="473"/>
        <v>0</v>
      </c>
      <c r="BQ250" s="538">
        <f t="shared" si="474"/>
        <v>9.7409999999999997E-3</v>
      </c>
      <c r="CG250" s="571">
        <f t="shared" si="475"/>
        <v>-50</v>
      </c>
      <c r="CH250">
        <f t="shared" si="476"/>
        <v>-50</v>
      </c>
    </row>
    <row r="251" spans="5:86" x14ac:dyDescent="0.25">
      <c r="E251" s="174">
        <v>35</v>
      </c>
      <c r="F251" s="221">
        <f t="shared" si="477"/>
        <v>3.4999999999999996E-2</v>
      </c>
      <c r="G251" s="221"/>
      <c r="H251" s="221">
        <f t="shared" si="443"/>
        <v>0.52499999999999991</v>
      </c>
      <c r="I251" s="551">
        <f t="shared" si="444"/>
        <v>28</v>
      </c>
      <c r="J251" s="451">
        <f t="shared" si="445"/>
        <v>695386.58000000007</v>
      </c>
      <c r="K251" s="451">
        <f t="shared" si="446"/>
        <v>695414.58000000007</v>
      </c>
      <c r="L251" s="451"/>
      <c r="M251" s="221">
        <f t="shared" si="447"/>
        <v>0.99995973624826795</v>
      </c>
      <c r="N251" s="176">
        <f t="shared" si="448"/>
        <v>9.8024053024945204</v>
      </c>
      <c r="O251" s="176">
        <f t="shared" si="363"/>
        <v>0.52499999999999991</v>
      </c>
      <c r="P251" s="221">
        <f t="shared" si="449"/>
        <v>0.65349368683296805</v>
      </c>
      <c r="Q251" s="221">
        <f t="shared" si="450"/>
        <v>15</v>
      </c>
      <c r="R251" s="221"/>
      <c r="S251" s="176">
        <f t="shared" si="451"/>
        <v>269.99938765996831</v>
      </c>
      <c r="T251" s="176">
        <f t="shared" si="452"/>
        <v>15</v>
      </c>
      <c r="U251" s="221">
        <f t="shared" si="453"/>
        <v>4.1668344390540291E-2</v>
      </c>
      <c r="V251" s="221">
        <f t="shared" si="454"/>
        <v>4.4644654704150313E-2</v>
      </c>
      <c r="W251" s="221">
        <f t="shared" si="455"/>
        <v>1.7976336726489726E-6</v>
      </c>
      <c r="X251" s="201">
        <f t="shared" si="456"/>
        <v>350</v>
      </c>
      <c r="Y251" s="451">
        <f t="shared" si="418"/>
        <v>350</v>
      </c>
      <c r="AA251" s="221">
        <f t="shared" si="457"/>
        <v>2.6665592966620477</v>
      </c>
      <c r="AB251" s="177">
        <f t="shared" si="458"/>
        <v>1.1503929066313219E-4</v>
      </c>
      <c r="AC251" s="177">
        <f t="shared" si="459"/>
        <v>2.4527153110202145</v>
      </c>
      <c r="AD251" s="177"/>
      <c r="AE251" s="177">
        <f t="shared" si="460"/>
        <v>6.4712206554230591E-6</v>
      </c>
      <c r="AF251" s="555">
        <f t="shared" si="461"/>
        <v>1578.3703703703707</v>
      </c>
      <c r="AG251" s="538">
        <f t="shared" si="462"/>
        <v>7.7611695137976321E-3</v>
      </c>
      <c r="AI251" s="177">
        <f t="shared" si="463"/>
        <v>0.31853832841067442</v>
      </c>
      <c r="AJ251" s="177">
        <f t="shared" si="464"/>
        <v>0.31853832841067442</v>
      </c>
      <c r="AK251" s="177">
        <f t="shared" si="465"/>
        <v>1.3123588856071162</v>
      </c>
      <c r="AM251" s="555">
        <f t="shared" si="466"/>
        <v>34.999999999999993</v>
      </c>
      <c r="AN251" s="469">
        <f t="shared" si="467"/>
        <v>350</v>
      </c>
      <c r="AP251">
        <f t="shared" si="468"/>
        <v>34.999999999999993</v>
      </c>
      <c r="AQ251">
        <f t="shared" si="469"/>
        <v>350</v>
      </c>
      <c r="AS251" s="5">
        <f t="shared" si="364"/>
        <v>2.8571428571428572</v>
      </c>
      <c r="AT251" s="5">
        <f t="shared" si="470"/>
        <v>0.341291066154294</v>
      </c>
      <c r="AU251" s="5">
        <f t="shared" si="440"/>
        <v>2.5158517909885632</v>
      </c>
      <c r="AV251" s="5"/>
      <c r="AW251" s="177">
        <f t="shared" si="441"/>
        <v>0.11945187315400289</v>
      </c>
      <c r="AX251" s="177"/>
      <c r="BA251" s="469">
        <f t="shared" si="471"/>
        <v>3.7498490124508512</v>
      </c>
      <c r="BB251" s="469">
        <f t="shared" si="472"/>
        <v>0.24978607968977798</v>
      </c>
      <c r="BC251" s="5">
        <f t="shared" si="442"/>
        <v>4.3677982482440328E-2</v>
      </c>
      <c r="BD251" s="469">
        <f t="shared" si="473"/>
        <v>0</v>
      </c>
      <c r="BQ251" s="538">
        <f t="shared" si="474"/>
        <v>1.0027499999999998E-2</v>
      </c>
      <c r="CG251" s="571">
        <f t="shared" si="475"/>
        <v>-50</v>
      </c>
      <c r="CH251">
        <f t="shared" si="476"/>
        <v>-50</v>
      </c>
    </row>
    <row r="252" spans="5:86" x14ac:dyDescent="0.25">
      <c r="E252" s="174">
        <v>36</v>
      </c>
      <c r="F252" s="221">
        <f t="shared" si="477"/>
        <v>3.5999999999999997E-2</v>
      </c>
      <c r="G252" s="221"/>
      <c r="H252" s="221">
        <f t="shared" si="443"/>
        <v>0.53999999999999992</v>
      </c>
      <c r="I252" s="551">
        <f t="shared" si="444"/>
        <v>28</v>
      </c>
      <c r="J252" s="451">
        <f t="shared" si="445"/>
        <v>695386.58000000007</v>
      </c>
      <c r="K252" s="451">
        <f t="shared" si="446"/>
        <v>695414.58000000007</v>
      </c>
      <c r="L252" s="451"/>
      <c r="M252" s="221">
        <f t="shared" si="447"/>
        <v>0.99995973624826795</v>
      </c>
      <c r="N252" s="176">
        <f t="shared" si="448"/>
        <v>9.8024053024945204</v>
      </c>
      <c r="O252" s="176">
        <f t="shared" si="363"/>
        <v>0.53999999999999992</v>
      </c>
      <c r="P252" s="221">
        <f t="shared" si="449"/>
        <v>0.65349368683296805</v>
      </c>
      <c r="Q252" s="221">
        <f t="shared" si="450"/>
        <v>15</v>
      </c>
      <c r="R252" s="221"/>
      <c r="S252" s="176">
        <f t="shared" si="451"/>
        <v>262.49938767421202</v>
      </c>
      <c r="T252" s="176">
        <f t="shared" si="452"/>
        <v>15</v>
      </c>
      <c r="U252" s="221">
        <f t="shared" si="453"/>
        <v>4.2858868515984298E-2</v>
      </c>
      <c r="V252" s="221">
        <f t="shared" si="454"/>
        <v>4.5920216267126036E-2</v>
      </c>
      <c r="W252" s="221">
        <f t="shared" si="455"/>
        <v>1.8489946347246572E-6</v>
      </c>
      <c r="X252" s="201">
        <f t="shared" si="456"/>
        <v>350</v>
      </c>
      <c r="Y252" s="451">
        <f t="shared" si="418"/>
        <v>350</v>
      </c>
      <c r="AA252" s="221">
        <f t="shared" si="457"/>
        <v>2.6665592966620477</v>
      </c>
      <c r="AB252" s="177">
        <f t="shared" si="458"/>
        <v>1.1503929066313219E-4</v>
      </c>
      <c r="AC252" s="177">
        <f t="shared" si="459"/>
        <v>2.4527153110202145</v>
      </c>
      <c r="AD252" s="177"/>
      <c r="AE252" s="177">
        <f t="shared" si="460"/>
        <v>6.4712206554230591E-6</v>
      </c>
      <c r="AF252" s="555">
        <f t="shared" si="461"/>
        <v>1623.4666666666669</v>
      </c>
      <c r="AG252" s="538">
        <f t="shared" si="462"/>
        <v>7.7611695137976321E-3</v>
      </c>
      <c r="AI252" s="177">
        <f t="shared" si="463"/>
        <v>0.32305682826046916</v>
      </c>
      <c r="AJ252" s="177">
        <f t="shared" si="464"/>
        <v>0.32305682826046916</v>
      </c>
      <c r="AK252" s="177">
        <f t="shared" si="465"/>
        <v>1.3153712188403128</v>
      </c>
      <c r="AM252" s="555">
        <f t="shared" si="466"/>
        <v>36</v>
      </c>
      <c r="AN252" s="469">
        <f t="shared" si="467"/>
        <v>350</v>
      </c>
      <c r="AP252">
        <f t="shared" si="468"/>
        <v>36</v>
      </c>
      <c r="AQ252">
        <f t="shared" si="469"/>
        <v>350</v>
      </c>
      <c r="AS252" s="5">
        <f t="shared" si="364"/>
        <v>2.8571428571428572</v>
      </c>
      <c r="AT252" s="5">
        <f t="shared" si="470"/>
        <v>0.34613231599335986</v>
      </c>
      <c r="AU252" s="5">
        <f t="shared" si="440"/>
        <v>2.5110105411494974</v>
      </c>
      <c r="AV252" s="5"/>
      <c r="AW252" s="177">
        <f t="shared" si="441"/>
        <v>0.12114631059767594</v>
      </c>
      <c r="AX252" s="177"/>
      <c r="BA252" s="469">
        <f t="shared" si="471"/>
        <v>3.7498490124508512</v>
      </c>
      <c r="BB252" s="469">
        <f t="shared" si="472"/>
        <v>0.26117776267587944</v>
      </c>
      <c r="BC252" s="5">
        <f t="shared" si="442"/>
        <v>4.4839473949098159E-2</v>
      </c>
      <c r="BD252" s="469">
        <f t="shared" si="473"/>
        <v>0</v>
      </c>
      <c r="BQ252" s="538">
        <f t="shared" si="474"/>
        <v>1.0313999999999999E-2</v>
      </c>
      <c r="CG252" s="571">
        <f t="shared" si="475"/>
        <v>-50</v>
      </c>
      <c r="CH252">
        <f t="shared" si="476"/>
        <v>-50</v>
      </c>
    </row>
    <row r="253" spans="5:86" x14ac:dyDescent="0.25">
      <c r="E253" s="174">
        <v>37</v>
      </c>
      <c r="F253" s="221">
        <f t="shared" si="477"/>
        <v>3.6999999999999998E-2</v>
      </c>
      <c r="G253" s="221"/>
      <c r="H253" s="221">
        <f t="shared" si="443"/>
        <v>0.55499999999999994</v>
      </c>
      <c r="I253" s="551">
        <f t="shared" si="444"/>
        <v>28</v>
      </c>
      <c r="J253" s="451">
        <f t="shared" si="445"/>
        <v>695386.58000000007</v>
      </c>
      <c r="K253" s="451">
        <f t="shared" si="446"/>
        <v>695414.58000000007</v>
      </c>
      <c r="L253" s="451"/>
      <c r="M253" s="221">
        <f t="shared" si="447"/>
        <v>0.99995973624826795</v>
      </c>
      <c r="N253" s="176">
        <f t="shared" si="448"/>
        <v>9.8024053024945204</v>
      </c>
      <c r="O253" s="176">
        <f t="shared" si="363"/>
        <v>0.55499999999999994</v>
      </c>
      <c r="P253" s="221">
        <f t="shared" si="449"/>
        <v>0.65349368683296805</v>
      </c>
      <c r="Q253" s="221">
        <f t="shared" si="450"/>
        <v>15</v>
      </c>
      <c r="R253" s="221"/>
      <c r="S253" s="176">
        <f t="shared" si="451"/>
        <v>255.40479309386038</v>
      </c>
      <c r="T253" s="176">
        <f t="shared" si="452"/>
        <v>15</v>
      </c>
      <c r="U253" s="221">
        <f t="shared" si="453"/>
        <v>4.4049392641428306E-2</v>
      </c>
      <c r="V253" s="221">
        <f t="shared" si="454"/>
        <v>4.7195777830101759E-2</v>
      </c>
      <c r="W253" s="221">
        <f t="shared" si="455"/>
        <v>1.9003555968003427E-6</v>
      </c>
      <c r="X253" s="201">
        <f t="shared" si="456"/>
        <v>350</v>
      </c>
      <c r="Y253" s="451">
        <f t="shared" si="418"/>
        <v>350</v>
      </c>
      <c r="AA253" s="221">
        <f t="shared" si="457"/>
        <v>2.6665592966620477</v>
      </c>
      <c r="AB253" s="177">
        <f t="shared" si="458"/>
        <v>1.1503929066313219E-4</v>
      </c>
      <c r="AC253" s="177">
        <f t="shared" si="459"/>
        <v>2.4527153110202145</v>
      </c>
      <c r="AD253" s="177"/>
      <c r="AE253" s="177">
        <f t="shared" si="460"/>
        <v>6.4712206554230591E-6</v>
      </c>
      <c r="AF253" s="555">
        <f t="shared" si="461"/>
        <v>1668.5629629629634</v>
      </c>
      <c r="AG253" s="538">
        <f t="shared" si="462"/>
        <v>7.7611695137976321E-3</v>
      </c>
      <c r="AI253" s="177">
        <f t="shared" si="463"/>
        <v>0.32751299501662817</v>
      </c>
      <c r="AJ253" s="177">
        <f t="shared" si="464"/>
        <v>0.32751299501662817</v>
      </c>
      <c r="AK253" s="177">
        <f t="shared" si="465"/>
        <v>1.3183419966777521</v>
      </c>
      <c r="AM253" s="555">
        <f t="shared" si="466"/>
        <v>37</v>
      </c>
      <c r="AN253" s="469">
        <f t="shared" si="467"/>
        <v>350</v>
      </c>
      <c r="AP253">
        <f t="shared" si="468"/>
        <v>37</v>
      </c>
      <c r="AQ253">
        <f t="shared" si="469"/>
        <v>350</v>
      </c>
      <c r="AS253" s="5">
        <f t="shared" si="364"/>
        <v>2.8571428571428572</v>
      </c>
      <c r="AT253" s="5">
        <f t="shared" si="470"/>
        <v>0.35090678037495882</v>
      </c>
      <c r="AU253" s="5">
        <f t="shared" si="440"/>
        <v>2.5062360767678982</v>
      </c>
      <c r="AV253" s="5"/>
      <c r="AW253" s="177">
        <f t="shared" si="441"/>
        <v>0.12281737313123559</v>
      </c>
      <c r="AX253" s="177"/>
      <c r="BA253" s="469">
        <f t="shared" si="471"/>
        <v>3.7498490124508512</v>
      </c>
      <c r="BB253" s="469">
        <f t="shared" si="472"/>
        <v>0.272805831098209</v>
      </c>
      <c r="BC253" s="5">
        <f t="shared" si="442"/>
        <v>4.5997388313696534E-2</v>
      </c>
      <c r="BD253" s="469">
        <f t="shared" si="473"/>
        <v>0</v>
      </c>
      <c r="BQ253" s="538">
        <f t="shared" si="474"/>
        <v>1.0600499999999999E-2</v>
      </c>
      <c r="CG253" s="571">
        <f t="shared" si="475"/>
        <v>-50</v>
      </c>
      <c r="CH253">
        <f t="shared" si="476"/>
        <v>-50</v>
      </c>
    </row>
    <row r="254" spans="5:86" x14ac:dyDescent="0.25">
      <c r="E254" s="174">
        <v>38</v>
      </c>
      <c r="F254" s="221">
        <f t="shared" si="477"/>
        <v>3.8000000000000006E-2</v>
      </c>
      <c r="G254" s="221"/>
      <c r="H254" s="221">
        <f t="shared" si="443"/>
        <v>0.57000000000000006</v>
      </c>
      <c r="I254" s="551">
        <f t="shared" si="444"/>
        <v>28</v>
      </c>
      <c r="J254" s="451">
        <f t="shared" si="445"/>
        <v>695386.58000000007</v>
      </c>
      <c r="K254" s="451">
        <f t="shared" si="446"/>
        <v>695414.58000000007</v>
      </c>
      <c r="L254" s="451"/>
      <c r="M254" s="221">
        <f t="shared" si="447"/>
        <v>0.99995973624826795</v>
      </c>
      <c r="N254" s="176">
        <f t="shared" si="448"/>
        <v>9.8024053024945204</v>
      </c>
      <c r="O254" s="176">
        <f t="shared" si="363"/>
        <v>0.57000000000000006</v>
      </c>
      <c r="P254" s="221">
        <f t="shared" si="449"/>
        <v>0.65349368683296805</v>
      </c>
      <c r="Q254" s="221">
        <f t="shared" si="450"/>
        <v>15</v>
      </c>
      <c r="R254" s="221"/>
      <c r="S254" s="176">
        <f t="shared" si="451"/>
        <v>248.68359822901303</v>
      </c>
      <c r="T254" s="176">
        <f t="shared" si="452"/>
        <v>15</v>
      </c>
      <c r="U254" s="221">
        <f t="shared" si="453"/>
        <v>4.5239916766872328E-2</v>
      </c>
      <c r="V254" s="221">
        <f t="shared" si="454"/>
        <v>4.8471339393077496E-2</v>
      </c>
      <c r="W254" s="221">
        <f t="shared" si="455"/>
        <v>1.9517165588760277E-6</v>
      </c>
      <c r="X254" s="201">
        <f t="shared" si="456"/>
        <v>350</v>
      </c>
      <c r="Y254" s="451">
        <f t="shared" si="418"/>
        <v>350</v>
      </c>
      <c r="AA254" s="221">
        <f t="shared" si="457"/>
        <v>2.6665592966620477</v>
      </c>
      <c r="AB254" s="177">
        <f t="shared" si="458"/>
        <v>1.1503929066313219E-4</v>
      </c>
      <c r="AC254" s="177">
        <f t="shared" si="459"/>
        <v>2.4527153110202145</v>
      </c>
      <c r="AD254" s="177"/>
      <c r="AE254" s="177">
        <f t="shared" si="460"/>
        <v>6.4712206554230591E-6</v>
      </c>
      <c r="AF254" s="555">
        <f t="shared" si="461"/>
        <v>1713.6592592592601</v>
      </c>
      <c r="AG254" s="538">
        <f t="shared" si="462"/>
        <v>7.7611695137976321E-3</v>
      </c>
      <c r="AI254" s="177">
        <f t="shared" si="463"/>
        <v>0.33190933931393002</v>
      </c>
      <c r="AJ254" s="177">
        <f t="shared" si="464"/>
        <v>0.33190933931393002</v>
      </c>
      <c r="AK254" s="177">
        <f t="shared" si="465"/>
        <v>1.3212728928759534</v>
      </c>
      <c r="AM254" s="555">
        <f t="shared" si="466"/>
        <v>38.000000000000007</v>
      </c>
      <c r="AN254" s="469">
        <f t="shared" si="467"/>
        <v>350</v>
      </c>
      <c r="AP254">
        <f t="shared" si="468"/>
        <v>38.000000000000007</v>
      </c>
      <c r="AQ254">
        <f t="shared" si="469"/>
        <v>350</v>
      </c>
      <c r="AS254" s="5">
        <f t="shared" si="364"/>
        <v>2.8571428571428572</v>
      </c>
      <c r="AT254" s="5">
        <f t="shared" si="470"/>
        <v>0.35561714926492505</v>
      </c>
      <c r="AU254" s="5">
        <f t="shared" si="440"/>
        <v>2.5015257078779323</v>
      </c>
      <c r="AV254" s="5"/>
      <c r="AW254" s="177">
        <f t="shared" si="441"/>
        <v>0.12446600224272376</v>
      </c>
      <c r="AX254" s="177"/>
      <c r="BA254" s="469">
        <f t="shared" si="471"/>
        <v>3.7498490124508512</v>
      </c>
      <c r="BB254" s="469">
        <f t="shared" si="472"/>
        <v>0.28467028495676694</v>
      </c>
      <c r="BC254" s="5">
        <f t="shared" si="442"/>
        <v>4.7151774255635624E-2</v>
      </c>
      <c r="BD254" s="469">
        <f t="shared" si="473"/>
        <v>0</v>
      </c>
      <c r="BQ254" s="538">
        <f t="shared" si="474"/>
        <v>1.0887000000000001E-2</v>
      </c>
      <c r="CG254" s="571">
        <f t="shared" si="475"/>
        <v>-50</v>
      </c>
      <c r="CH254">
        <f t="shared" si="476"/>
        <v>-50</v>
      </c>
    </row>
    <row r="255" spans="5:86" x14ac:dyDescent="0.25">
      <c r="E255" s="174">
        <v>39</v>
      </c>
      <c r="F255" s="221">
        <f t="shared" si="477"/>
        <v>3.9000000000000007E-2</v>
      </c>
      <c r="G255" s="221"/>
      <c r="H255" s="221">
        <f t="shared" si="443"/>
        <v>0.58500000000000008</v>
      </c>
      <c r="I255" s="551">
        <f t="shared" si="444"/>
        <v>28</v>
      </c>
      <c r="J255" s="451">
        <f t="shared" si="445"/>
        <v>695386.58000000007</v>
      </c>
      <c r="K255" s="451">
        <f t="shared" si="446"/>
        <v>695414.58000000007</v>
      </c>
      <c r="L255" s="451"/>
      <c r="M255" s="221">
        <f t="shared" si="447"/>
        <v>0.99995973624826795</v>
      </c>
      <c r="N255" s="176">
        <f t="shared" si="448"/>
        <v>9.8024053024945204</v>
      </c>
      <c r="O255" s="176">
        <f t="shared" si="363"/>
        <v>0.58500000000000008</v>
      </c>
      <c r="P255" s="221">
        <f t="shared" si="449"/>
        <v>0.65349368683296805</v>
      </c>
      <c r="Q255" s="221">
        <f t="shared" si="450"/>
        <v>15</v>
      </c>
      <c r="R255" s="221"/>
      <c r="S255" s="176">
        <f t="shared" si="451"/>
        <v>242.30708002463126</v>
      </c>
      <c r="T255" s="176">
        <f t="shared" si="452"/>
        <v>15</v>
      </c>
      <c r="U255" s="221">
        <f t="shared" si="453"/>
        <v>4.6430440892316335E-2</v>
      </c>
      <c r="V255" s="221">
        <f t="shared" si="454"/>
        <v>4.9746900956053212E-2</v>
      </c>
      <c r="W255" s="221">
        <f t="shared" si="455"/>
        <v>2.0030775209517128E-6</v>
      </c>
      <c r="X255" s="201">
        <f t="shared" si="456"/>
        <v>350</v>
      </c>
      <c r="Y255" s="451">
        <f t="shared" si="418"/>
        <v>350</v>
      </c>
      <c r="AA255" s="221">
        <f t="shared" si="457"/>
        <v>2.6665592966620477</v>
      </c>
      <c r="AB255" s="177">
        <f t="shared" si="458"/>
        <v>1.1503929066313219E-4</v>
      </c>
      <c r="AC255" s="177">
        <f t="shared" si="459"/>
        <v>2.4527153110202145</v>
      </c>
      <c r="AD255" s="177"/>
      <c r="AE255" s="177">
        <f t="shared" si="460"/>
        <v>6.4712206554230591E-6</v>
      </c>
      <c r="AF255" s="555">
        <f t="shared" si="461"/>
        <v>1758.7555555555562</v>
      </c>
      <c r="AG255" s="538">
        <f t="shared" si="462"/>
        <v>7.7611695137976321E-3</v>
      </c>
      <c r="AI255" s="177">
        <f t="shared" si="463"/>
        <v>0.33624820764259422</v>
      </c>
      <c r="AJ255" s="177">
        <f t="shared" si="464"/>
        <v>0.33624820764259422</v>
      </c>
      <c r="AK255" s="177">
        <f t="shared" si="465"/>
        <v>1.3241654717617295</v>
      </c>
      <c r="AM255" s="555">
        <f t="shared" si="466"/>
        <v>39.000000000000007</v>
      </c>
      <c r="AN255" s="469">
        <f t="shared" si="467"/>
        <v>350</v>
      </c>
      <c r="AP255">
        <f t="shared" si="468"/>
        <v>39.000000000000007</v>
      </c>
      <c r="AQ255">
        <f t="shared" si="469"/>
        <v>350</v>
      </c>
      <c r="AS255" s="5">
        <f t="shared" si="364"/>
        <v>2.8571428571428572</v>
      </c>
      <c r="AT255" s="5">
        <f t="shared" si="470"/>
        <v>0.36026593675992241</v>
      </c>
      <c r="AU255" s="5">
        <f t="shared" si="440"/>
        <v>2.4968769203829346</v>
      </c>
      <c r="AV255" s="5"/>
      <c r="AW255" s="177">
        <f t="shared" si="441"/>
        <v>0.12609307786597285</v>
      </c>
      <c r="AX255" s="177"/>
      <c r="BA255" s="469">
        <f t="shared" si="471"/>
        <v>3.7498490124508512</v>
      </c>
      <c r="BB255" s="469">
        <f t="shared" si="472"/>
        <v>0.29677112425155305</v>
      </c>
      <c r="BC255" s="5">
        <f t="shared" si="442"/>
        <v>4.8302678519312719E-2</v>
      </c>
      <c r="BD255" s="469">
        <f t="shared" si="473"/>
        <v>0</v>
      </c>
      <c r="BQ255" s="538">
        <f t="shared" si="474"/>
        <v>1.1173500000000001E-2</v>
      </c>
      <c r="CG255" s="571">
        <f t="shared" si="475"/>
        <v>-50</v>
      </c>
      <c r="CH255">
        <f t="shared" si="476"/>
        <v>-50</v>
      </c>
    </row>
    <row r="256" spans="5:86" x14ac:dyDescent="0.25">
      <c r="E256" s="174">
        <v>40</v>
      </c>
      <c r="F256" s="221">
        <f t="shared" si="477"/>
        <v>4.0000000000000008E-2</v>
      </c>
      <c r="G256" s="221"/>
      <c r="H256" s="221">
        <f t="shared" si="443"/>
        <v>0.60000000000000009</v>
      </c>
      <c r="I256" s="551">
        <f t="shared" si="444"/>
        <v>28</v>
      </c>
      <c r="J256" s="451">
        <f t="shared" si="445"/>
        <v>695386.58000000007</v>
      </c>
      <c r="K256" s="451">
        <f t="shared" si="446"/>
        <v>695414.58000000007</v>
      </c>
      <c r="L256" s="451"/>
      <c r="M256" s="221">
        <f t="shared" si="447"/>
        <v>0.99995973624826795</v>
      </c>
      <c r="N256" s="176">
        <f t="shared" si="448"/>
        <v>9.8024053024945204</v>
      </c>
      <c r="O256" s="176">
        <f t="shared" si="363"/>
        <v>0.60000000000000009</v>
      </c>
      <c r="P256" s="221">
        <f t="shared" si="449"/>
        <v>0.65349368683296805</v>
      </c>
      <c r="Q256" s="221">
        <f t="shared" si="450"/>
        <v>15</v>
      </c>
      <c r="R256" s="221"/>
      <c r="S256" s="176">
        <f t="shared" si="451"/>
        <v>236.24938773117998</v>
      </c>
      <c r="T256" s="176">
        <f t="shared" si="452"/>
        <v>15</v>
      </c>
      <c r="U256" s="221">
        <f t="shared" si="453"/>
        <v>4.7620965017760343E-2</v>
      </c>
      <c r="V256" s="221">
        <f t="shared" si="454"/>
        <v>5.1022462519028942E-2</v>
      </c>
      <c r="W256" s="221">
        <f t="shared" si="455"/>
        <v>2.0544384830273978E-6</v>
      </c>
      <c r="X256" s="201">
        <f t="shared" si="456"/>
        <v>350</v>
      </c>
      <c r="Y256" s="451">
        <f t="shared" si="418"/>
        <v>350</v>
      </c>
      <c r="AA256" s="221">
        <f t="shared" si="457"/>
        <v>2.6665592966620477</v>
      </c>
      <c r="AB256" s="177">
        <f t="shared" si="458"/>
        <v>1.1503929066313219E-4</v>
      </c>
      <c r="AC256" s="177">
        <f t="shared" si="459"/>
        <v>2.4527153110202145</v>
      </c>
      <c r="AD256" s="177"/>
      <c r="AE256" s="177">
        <f t="shared" si="460"/>
        <v>6.4712206554230591E-6</v>
      </c>
      <c r="AF256" s="555">
        <f t="shared" si="461"/>
        <v>1803.8518518518526</v>
      </c>
      <c r="AG256" s="538">
        <f t="shared" si="462"/>
        <v>7.7611695137976321E-3</v>
      </c>
      <c r="AI256" s="177">
        <f t="shared" si="463"/>
        <v>0.34053179699097819</v>
      </c>
      <c r="AJ256" s="177">
        <f t="shared" si="464"/>
        <v>0.34053179699097819</v>
      </c>
      <c r="AK256" s="177">
        <f t="shared" si="465"/>
        <v>1.3270211979939854</v>
      </c>
      <c r="AM256" s="555">
        <f t="shared" si="466"/>
        <v>40.000000000000007</v>
      </c>
      <c r="AN256" s="469">
        <f t="shared" si="467"/>
        <v>350</v>
      </c>
      <c r="AP256">
        <f t="shared" si="468"/>
        <v>40.000000000000007</v>
      </c>
      <c r="AQ256">
        <f t="shared" si="469"/>
        <v>350</v>
      </c>
      <c r="AS256" s="5">
        <f t="shared" si="364"/>
        <v>2.8571428571428572</v>
      </c>
      <c r="AT256" s="5">
        <f t="shared" si="470"/>
        <v>0.36485549677604806</v>
      </c>
      <c r="AU256" s="5">
        <f t="shared" si="440"/>
        <v>2.492287360366809</v>
      </c>
      <c r="AV256" s="5"/>
      <c r="AW256" s="177">
        <f t="shared" si="441"/>
        <v>0.12769942387161681</v>
      </c>
      <c r="AX256" s="177"/>
      <c r="BA256" s="469">
        <f t="shared" si="471"/>
        <v>3.7498490124508512</v>
      </c>
      <c r="BB256" s="469">
        <f t="shared" si="472"/>
        <v>0.30910834898256734</v>
      </c>
      <c r="BC256" s="5">
        <f t="shared" si="442"/>
        <v>4.9450146039023986E-2</v>
      </c>
      <c r="BD256" s="469">
        <f t="shared" si="473"/>
        <v>0</v>
      </c>
      <c r="BQ256" s="538">
        <f t="shared" si="474"/>
        <v>1.1460000000000001E-2</v>
      </c>
      <c r="CG256" s="571">
        <f t="shared" si="475"/>
        <v>-50</v>
      </c>
      <c r="CH256">
        <f t="shared" si="476"/>
        <v>-50</v>
      </c>
    </row>
    <row r="257" spans="5:86" x14ac:dyDescent="0.25">
      <c r="E257" s="174">
        <v>41</v>
      </c>
      <c r="F257" s="221">
        <f t="shared" si="477"/>
        <v>4.1000000000000002E-2</v>
      </c>
      <c r="G257" s="221"/>
      <c r="H257" s="221">
        <f t="shared" si="443"/>
        <v>0.61499999999999999</v>
      </c>
      <c r="I257" s="551">
        <f t="shared" si="444"/>
        <v>28</v>
      </c>
      <c r="J257" s="451">
        <f t="shared" si="445"/>
        <v>695386.58000000007</v>
      </c>
      <c r="K257" s="451">
        <f t="shared" si="446"/>
        <v>695414.58000000007</v>
      </c>
      <c r="L257" s="451"/>
      <c r="M257" s="221">
        <f t="shared" si="447"/>
        <v>0.99995973624826795</v>
      </c>
      <c r="N257" s="176">
        <f t="shared" si="448"/>
        <v>9.8024053024945204</v>
      </c>
      <c r="O257" s="176">
        <f t="shared" si="363"/>
        <v>0.61499999999999999</v>
      </c>
      <c r="P257" s="221">
        <f t="shared" si="449"/>
        <v>0.65349368683296805</v>
      </c>
      <c r="Q257" s="221">
        <f t="shared" si="450"/>
        <v>15</v>
      </c>
      <c r="R257" s="221"/>
      <c r="S257" s="176">
        <f t="shared" si="451"/>
        <v>230.48719262346913</v>
      </c>
      <c r="T257" s="176">
        <f t="shared" si="452"/>
        <v>15</v>
      </c>
      <c r="U257" s="221">
        <f t="shared" si="453"/>
        <v>4.8811489143204344E-2</v>
      </c>
      <c r="V257" s="221">
        <f t="shared" si="454"/>
        <v>5.2298024082004652E-2</v>
      </c>
      <c r="W257" s="221">
        <f t="shared" si="455"/>
        <v>2.105799445103082E-6</v>
      </c>
      <c r="X257" s="201">
        <f t="shared" si="456"/>
        <v>350</v>
      </c>
      <c r="Y257" s="451">
        <f t="shared" si="418"/>
        <v>350</v>
      </c>
      <c r="AA257" s="221">
        <f t="shared" si="457"/>
        <v>2.6665592966620477</v>
      </c>
      <c r="AB257" s="177">
        <f t="shared" si="458"/>
        <v>1.1503929066313219E-4</v>
      </c>
      <c r="AC257" s="177">
        <f t="shared" si="459"/>
        <v>2.4527153110202145</v>
      </c>
      <c r="AD257" s="177"/>
      <c r="AE257" s="177">
        <f t="shared" si="460"/>
        <v>6.4712206554230591E-6</v>
      </c>
      <c r="AF257" s="555">
        <f t="shared" si="461"/>
        <v>1848.9481481481487</v>
      </c>
      <c r="AG257" s="538">
        <f t="shared" si="462"/>
        <v>7.7611695137976321E-3</v>
      </c>
      <c r="AI257" s="177">
        <f t="shared" si="463"/>
        <v>0.34476216785046526</v>
      </c>
      <c r="AJ257" s="177">
        <f t="shared" si="464"/>
        <v>0.34476216785046526</v>
      </c>
      <c r="AK257" s="177">
        <f t="shared" si="465"/>
        <v>1.3298414452336436</v>
      </c>
      <c r="AM257" s="555">
        <f t="shared" si="466"/>
        <v>41</v>
      </c>
      <c r="AN257" s="469">
        <f t="shared" si="467"/>
        <v>350</v>
      </c>
      <c r="AP257">
        <f t="shared" si="468"/>
        <v>41</v>
      </c>
      <c r="AQ257">
        <f t="shared" si="469"/>
        <v>350</v>
      </c>
      <c r="AS257" s="5">
        <f t="shared" si="364"/>
        <v>2.8571428571428572</v>
      </c>
      <c r="AT257" s="5">
        <f t="shared" si="470"/>
        <v>0.36938803698264133</v>
      </c>
      <c r="AU257" s="5">
        <f t="shared" si="440"/>
        <v>2.487754820160216</v>
      </c>
      <c r="AV257" s="5"/>
      <c r="AW257" s="177">
        <f t="shared" si="441"/>
        <v>0.12928581294392447</v>
      </c>
      <c r="AX257" s="177"/>
      <c r="BA257" s="469">
        <f t="shared" si="471"/>
        <v>3.7498490124508512</v>
      </c>
      <c r="BB257" s="469">
        <f t="shared" si="472"/>
        <v>0.32168195914980968</v>
      </c>
      <c r="BC257" s="5">
        <f t="shared" si="442"/>
        <v>5.059422005286153E-2</v>
      </c>
      <c r="BD257" s="469">
        <f t="shared" si="473"/>
        <v>0</v>
      </c>
      <c r="BQ257" s="538">
        <f t="shared" si="474"/>
        <v>1.17465E-2</v>
      </c>
      <c r="CG257" s="571">
        <f t="shared" si="475"/>
        <v>-50</v>
      </c>
      <c r="CH257">
        <f t="shared" si="476"/>
        <v>-50</v>
      </c>
    </row>
    <row r="258" spans="5:86" x14ac:dyDescent="0.25">
      <c r="E258" s="174">
        <v>42</v>
      </c>
      <c r="F258" s="221">
        <f t="shared" si="477"/>
        <v>4.2000000000000003E-2</v>
      </c>
      <c r="G258" s="221"/>
      <c r="H258" s="221">
        <f t="shared" si="443"/>
        <v>0.63</v>
      </c>
      <c r="I258" s="551">
        <f t="shared" si="444"/>
        <v>28</v>
      </c>
      <c r="J258" s="451">
        <f t="shared" si="445"/>
        <v>695386.58000000007</v>
      </c>
      <c r="K258" s="451">
        <f t="shared" si="446"/>
        <v>695414.58000000007</v>
      </c>
      <c r="L258" s="451"/>
      <c r="M258" s="221">
        <f t="shared" si="447"/>
        <v>0.99995973624826795</v>
      </c>
      <c r="N258" s="176">
        <f t="shared" si="448"/>
        <v>9.8024053024945204</v>
      </c>
      <c r="O258" s="176">
        <f t="shared" si="363"/>
        <v>0.63</v>
      </c>
      <c r="P258" s="221">
        <f t="shared" si="449"/>
        <v>0.65349368683296805</v>
      </c>
      <c r="Q258" s="221">
        <f t="shared" si="450"/>
        <v>15</v>
      </c>
      <c r="R258" s="221"/>
      <c r="S258" s="176">
        <f t="shared" si="451"/>
        <v>224.99938775966004</v>
      </c>
      <c r="T258" s="176">
        <f t="shared" si="452"/>
        <v>15</v>
      </c>
      <c r="U258" s="221">
        <f t="shared" si="453"/>
        <v>5.0002013268648351E-2</v>
      </c>
      <c r="V258" s="221">
        <f t="shared" si="454"/>
        <v>5.3573585644980382E-2</v>
      </c>
      <c r="W258" s="221">
        <f t="shared" si="455"/>
        <v>2.1571604071787671E-6</v>
      </c>
      <c r="X258" s="201">
        <f t="shared" si="456"/>
        <v>350</v>
      </c>
      <c r="Y258" s="451">
        <f t="shared" si="418"/>
        <v>350</v>
      </c>
      <c r="AA258" s="221">
        <f t="shared" si="457"/>
        <v>2.6665592966620477</v>
      </c>
      <c r="AB258" s="177">
        <f t="shared" si="458"/>
        <v>1.1503929066313219E-4</v>
      </c>
      <c r="AC258" s="177">
        <f t="shared" si="459"/>
        <v>2.4527153110202145</v>
      </c>
      <c r="AD258" s="177"/>
      <c r="AE258" s="177">
        <f t="shared" si="460"/>
        <v>6.4712206554230591E-6</v>
      </c>
      <c r="AF258" s="555">
        <f t="shared" si="461"/>
        <v>1894.0444444444449</v>
      </c>
      <c r="AG258" s="538">
        <f t="shared" si="462"/>
        <v>7.7611695137976321E-3</v>
      </c>
      <c r="AI258" s="177">
        <f t="shared" si="463"/>
        <v>0.34894125580103025</v>
      </c>
      <c r="AJ258" s="177">
        <f t="shared" si="464"/>
        <v>0.34894125580103025</v>
      </c>
      <c r="AK258" s="177">
        <f t="shared" si="465"/>
        <v>1.3326275038673534</v>
      </c>
      <c r="AM258" s="555">
        <f t="shared" si="466"/>
        <v>42</v>
      </c>
      <c r="AN258" s="469">
        <f t="shared" si="467"/>
        <v>350</v>
      </c>
      <c r="AP258">
        <f t="shared" si="468"/>
        <v>42</v>
      </c>
      <c r="AQ258">
        <f t="shared" si="469"/>
        <v>350</v>
      </c>
      <c r="AS258" s="5">
        <f t="shared" si="364"/>
        <v>2.8571428571428572</v>
      </c>
      <c r="AT258" s="5">
        <f t="shared" si="470"/>
        <v>0.37386563121538963</v>
      </c>
      <c r="AU258" s="5">
        <f t="shared" si="440"/>
        <v>2.4832772259274676</v>
      </c>
      <c r="AV258" s="5"/>
      <c r="AW258" s="177">
        <f t="shared" si="441"/>
        <v>0.13085297092538636</v>
      </c>
      <c r="AX258" s="177"/>
      <c r="BA258" s="469">
        <f t="shared" si="471"/>
        <v>3.7498490124508512</v>
      </c>
      <c r="BB258" s="469">
        <f t="shared" si="472"/>
        <v>0.33449195475328036</v>
      </c>
      <c r="BC258" s="5">
        <f t="shared" si="442"/>
        <v>5.1734942206822232E-2</v>
      </c>
      <c r="BD258" s="469">
        <f t="shared" si="473"/>
        <v>0</v>
      </c>
      <c r="BQ258" s="538">
        <f t="shared" si="474"/>
        <v>1.2033E-2</v>
      </c>
      <c r="CG258" s="571">
        <f t="shared" si="475"/>
        <v>-50</v>
      </c>
      <c r="CH258">
        <f t="shared" si="476"/>
        <v>-50</v>
      </c>
    </row>
    <row r="259" spans="5:86" x14ac:dyDescent="0.25">
      <c r="E259" s="174">
        <v>43</v>
      </c>
      <c r="F259" s="221">
        <f t="shared" si="477"/>
        <v>4.3000000000000003E-2</v>
      </c>
      <c r="G259" s="221"/>
      <c r="H259" s="221">
        <f t="shared" si="443"/>
        <v>0.64500000000000002</v>
      </c>
      <c r="I259" s="551">
        <f t="shared" si="444"/>
        <v>28</v>
      </c>
      <c r="J259" s="451">
        <f t="shared" si="445"/>
        <v>695386.58000000007</v>
      </c>
      <c r="K259" s="451">
        <f t="shared" si="446"/>
        <v>695414.58000000007</v>
      </c>
      <c r="L259" s="451"/>
      <c r="M259" s="221">
        <f t="shared" si="447"/>
        <v>0.99995973624826795</v>
      </c>
      <c r="N259" s="176">
        <f t="shared" si="448"/>
        <v>9.8024053024945204</v>
      </c>
      <c r="O259" s="176">
        <f t="shared" si="363"/>
        <v>0.64500000000000002</v>
      </c>
      <c r="P259" s="221">
        <f t="shared" si="449"/>
        <v>0.65349368683296805</v>
      </c>
      <c r="Q259" s="221">
        <f t="shared" si="450"/>
        <v>15</v>
      </c>
      <c r="R259" s="221"/>
      <c r="S259" s="176">
        <f t="shared" si="451"/>
        <v>219.76682963436423</v>
      </c>
      <c r="T259" s="176">
        <f t="shared" si="452"/>
        <v>15</v>
      </c>
      <c r="U259" s="221">
        <f t="shared" si="453"/>
        <v>5.1192537394092366E-2</v>
      </c>
      <c r="V259" s="221">
        <f t="shared" si="454"/>
        <v>5.4849147207956105E-2</v>
      </c>
      <c r="W259" s="221">
        <f t="shared" si="455"/>
        <v>2.2085213692544521E-6</v>
      </c>
      <c r="X259" s="201">
        <f t="shared" si="456"/>
        <v>350</v>
      </c>
      <c r="Y259" s="451">
        <f t="shared" si="418"/>
        <v>350</v>
      </c>
      <c r="AA259" s="221">
        <f t="shared" si="457"/>
        <v>2.6665592966620477</v>
      </c>
      <c r="AB259" s="177">
        <f t="shared" si="458"/>
        <v>1.1503929066313219E-4</v>
      </c>
      <c r="AC259" s="177">
        <f t="shared" si="459"/>
        <v>2.4527153110202145</v>
      </c>
      <c r="AD259" s="177"/>
      <c r="AE259" s="177">
        <f t="shared" si="460"/>
        <v>6.4712206554230591E-6</v>
      </c>
      <c r="AF259" s="555">
        <f t="shared" si="461"/>
        <v>1939.1407407407414</v>
      </c>
      <c r="AG259" s="538">
        <f t="shared" si="462"/>
        <v>7.7611695137976321E-3</v>
      </c>
      <c r="AI259" s="177">
        <f t="shared" si="463"/>
        <v>0.35307088186233598</v>
      </c>
      <c r="AJ259" s="177">
        <f t="shared" si="464"/>
        <v>0.35307088186233598</v>
      </c>
      <c r="AK259" s="177">
        <f t="shared" si="465"/>
        <v>1.3353805879082239</v>
      </c>
      <c r="AM259" s="555">
        <f t="shared" si="466"/>
        <v>43</v>
      </c>
      <c r="AN259" s="469">
        <f t="shared" si="467"/>
        <v>350</v>
      </c>
      <c r="AP259">
        <f t="shared" si="468"/>
        <v>43</v>
      </c>
      <c r="AQ259">
        <f t="shared" si="469"/>
        <v>350</v>
      </c>
      <c r="AS259" s="5">
        <f t="shared" si="364"/>
        <v>2.8571428571428572</v>
      </c>
      <c r="AT259" s="5">
        <f t="shared" si="470"/>
        <v>0.37829023056678857</v>
      </c>
      <c r="AU259" s="5">
        <f t="shared" si="440"/>
        <v>2.4788526265760686</v>
      </c>
      <c r="AV259" s="5"/>
      <c r="AW259" s="177">
        <f t="shared" si="441"/>
        <v>0.13240158069837599</v>
      </c>
      <c r="AX259" s="177"/>
      <c r="BA259" s="469">
        <f t="shared" si="471"/>
        <v>3.7498490124508512</v>
      </c>
      <c r="BB259" s="469">
        <f t="shared" si="472"/>
        <v>0.34753833579297932</v>
      </c>
      <c r="BC259" s="5">
        <f t="shared" si="442"/>
        <v>5.2872352650183987E-2</v>
      </c>
      <c r="BD259" s="469">
        <f t="shared" si="473"/>
        <v>0</v>
      </c>
      <c r="BQ259" s="538">
        <f t="shared" si="474"/>
        <v>1.2319499999999999E-2</v>
      </c>
      <c r="CG259" s="571">
        <f t="shared" si="475"/>
        <v>-50</v>
      </c>
      <c r="CH259">
        <f t="shared" si="476"/>
        <v>-50</v>
      </c>
    </row>
    <row r="260" spans="5:86" x14ac:dyDescent="0.25">
      <c r="E260" s="174">
        <v>44</v>
      </c>
      <c r="F260" s="221">
        <f t="shared" si="477"/>
        <v>4.4000000000000004E-2</v>
      </c>
      <c r="G260" s="221"/>
      <c r="H260" s="221">
        <f t="shared" si="443"/>
        <v>0.66</v>
      </c>
      <c r="I260" s="551">
        <f t="shared" si="444"/>
        <v>28</v>
      </c>
      <c r="J260" s="451">
        <f t="shared" si="445"/>
        <v>695386.58000000007</v>
      </c>
      <c r="K260" s="451">
        <f t="shared" si="446"/>
        <v>695414.58000000007</v>
      </c>
      <c r="L260" s="451"/>
      <c r="M260" s="221">
        <f t="shared" si="447"/>
        <v>0.99995973624826795</v>
      </c>
      <c r="N260" s="176">
        <f t="shared" si="448"/>
        <v>9.8024053024945204</v>
      </c>
      <c r="O260" s="176">
        <f t="shared" si="363"/>
        <v>0.66</v>
      </c>
      <c r="P260" s="221">
        <f t="shared" si="449"/>
        <v>0.65349368683296805</v>
      </c>
      <c r="Q260" s="221">
        <f t="shared" si="450"/>
        <v>15</v>
      </c>
      <c r="R260" s="221"/>
      <c r="S260" s="176">
        <f t="shared" si="451"/>
        <v>214.77211506086473</v>
      </c>
      <c r="T260" s="176">
        <f t="shared" si="452"/>
        <v>15</v>
      </c>
      <c r="U260" s="221">
        <f t="shared" si="453"/>
        <v>5.2383061519536374E-2</v>
      </c>
      <c r="V260" s="221">
        <f t="shared" si="454"/>
        <v>5.6124708770931828E-2</v>
      </c>
      <c r="W260" s="221">
        <f t="shared" si="455"/>
        <v>2.2598823313301371E-6</v>
      </c>
      <c r="X260" s="201">
        <f t="shared" si="456"/>
        <v>350</v>
      </c>
      <c r="Y260" s="451">
        <f t="shared" si="418"/>
        <v>350</v>
      </c>
      <c r="AA260" s="221">
        <f t="shared" si="457"/>
        <v>2.6665592966620477</v>
      </c>
      <c r="AB260" s="177">
        <f t="shared" si="458"/>
        <v>1.1503929066313219E-4</v>
      </c>
      <c r="AC260" s="177">
        <f t="shared" si="459"/>
        <v>2.4527153110202145</v>
      </c>
      <c r="AD260" s="177"/>
      <c r="AE260" s="177">
        <f t="shared" si="460"/>
        <v>6.4712206554230591E-6</v>
      </c>
      <c r="AF260" s="555">
        <f t="shared" si="461"/>
        <v>1984.2370370370377</v>
      </c>
      <c r="AG260" s="538">
        <f t="shared" si="462"/>
        <v>7.7611695137976321E-3</v>
      </c>
      <c r="AI260" s="177">
        <f t="shared" si="463"/>
        <v>0.35715276176741967</v>
      </c>
      <c r="AJ260" s="177">
        <f t="shared" si="464"/>
        <v>0.35715276176741967</v>
      </c>
      <c r="AK260" s="177">
        <f t="shared" si="465"/>
        <v>1.3381018411782797</v>
      </c>
      <c r="AM260" s="555">
        <f t="shared" si="466"/>
        <v>44.000000000000007</v>
      </c>
      <c r="AN260" s="469">
        <f t="shared" si="467"/>
        <v>350</v>
      </c>
      <c r="AP260">
        <f t="shared" si="468"/>
        <v>44.000000000000007</v>
      </c>
      <c r="AQ260">
        <f t="shared" si="469"/>
        <v>350</v>
      </c>
      <c r="AS260" s="5">
        <f t="shared" si="364"/>
        <v>2.8571428571428572</v>
      </c>
      <c r="AT260" s="5">
        <f t="shared" si="470"/>
        <v>0.38266367332223539</v>
      </c>
      <c r="AU260" s="5">
        <f t="shared" si="440"/>
        <v>2.4744791838206219</v>
      </c>
      <c r="AV260" s="5"/>
      <c r="AW260" s="177">
        <f t="shared" si="441"/>
        <v>0.13393228566278237</v>
      </c>
      <c r="AX260" s="177"/>
      <c r="BA260" s="469">
        <f t="shared" si="471"/>
        <v>3.7498490124508512</v>
      </c>
      <c r="BB260" s="469">
        <f t="shared" si="472"/>
        <v>0.3608211022689064</v>
      </c>
      <c r="BC260" s="5">
        <f t="shared" si="442"/>
        <v>5.4006490123069122E-2</v>
      </c>
      <c r="BD260" s="469">
        <f t="shared" si="473"/>
        <v>0</v>
      </c>
      <c r="BQ260" s="538">
        <f t="shared" si="474"/>
        <v>1.2606000000000001E-2</v>
      </c>
      <c r="CG260" s="571">
        <f t="shared" si="475"/>
        <v>-50</v>
      </c>
      <c r="CH260">
        <f t="shared" si="476"/>
        <v>-50</v>
      </c>
    </row>
    <row r="261" spans="5:86" x14ac:dyDescent="0.25">
      <c r="E261" s="174">
        <v>45</v>
      </c>
      <c r="F261" s="221">
        <f t="shared" si="477"/>
        <v>4.5000000000000005E-2</v>
      </c>
      <c r="G261" s="221"/>
      <c r="H261" s="221">
        <f t="shared" si="443"/>
        <v>0.67500000000000004</v>
      </c>
      <c r="I261" s="551">
        <f t="shared" si="444"/>
        <v>28</v>
      </c>
      <c r="J261" s="451">
        <f t="shared" si="445"/>
        <v>695386.58000000007</v>
      </c>
      <c r="K261" s="451">
        <f t="shared" si="446"/>
        <v>695414.58000000007</v>
      </c>
      <c r="L261" s="451"/>
      <c r="M261" s="221">
        <f t="shared" si="447"/>
        <v>0.99995973624826795</v>
      </c>
      <c r="N261" s="176">
        <f t="shared" si="448"/>
        <v>9.8024053024945204</v>
      </c>
      <c r="O261" s="176">
        <f t="shared" si="363"/>
        <v>0.67500000000000004</v>
      </c>
      <c r="P261" s="221">
        <f t="shared" si="449"/>
        <v>0.65349368683296805</v>
      </c>
      <c r="Q261" s="221">
        <f t="shared" si="450"/>
        <v>15</v>
      </c>
      <c r="R261" s="221"/>
      <c r="S261" s="176">
        <f t="shared" si="451"/>
        <v>209.99938780237517</v>
      </c>
      <c r="T261" s="176">
        <f t="shared" si="452"/>
        <v>15</v>
      </c>
      <c r="U261" s="221">
        <f t="shared" si="453"/>
        <v>5.3573585644980382E-2</v>
      </c>
      <c r="V261" s="221">
        <f t="shared" si="454"/>
        <v>5.7400270333907551E-2</v>
      </c>
      <c r="W261" s="221">
        <f t="shared" si="455"/>
        <v>2.3112432934058226E-6</v>
      </c>
      <c r="X261" s="201">
        <f t="shared" si="456"/>
        <v>350</v>
      </c>
      <c r="Y261" s="451">
        <f t="shared" si="418"/>
        <v>350</v>
      </c>
      <c r="AA261" s="221">
        <f t="shared" si="457"/>
        <v>2.6665592966620477</v>
      </c>
      <c r="AB261" s="177">
        <f t="shared" si="458"/>
        <v>1.1503929066313219E-4</v>
      </c>
      <c r="AC261" s="177">
        <f t="shared" si="459"/>
        <v>2.4527153110202145</v>
      </c>
      <c r="AD261" s="177"/>
      <c r="AE261" s="177">
        <f t="shared" si="460"/>
        <v>6.4712206554230591E-6</v>
      </c>
      <c r="AF261" s="555">
        <f t="shared" si="461"/>
        <v>2029.3333333333342</v>
      </c>
      <c r="AG261" s="538">
        <f t="shared" si="462"/>
        <v>7.7611695137976321E-3</v>
      </c>
      <c r="AI261" s="177">
        <f t="shared" si="463"/>
        <v>0.36118851429294219</v>
      </c>
      <c r="AJ261" s="177">
        <f t="shared" si="464"/>
        <v>0.36118851429294219</v>
      </c>
      <c r="AK261" s="177">
        <f t="shared" si="465"/>
        <v>1.3407923428619615</v>
      </c>
      <c r="AM261" s="555">
        <f t="shared" si="466"/>
        <v>45.000000000000007</v>
      </c>
      <c r="AN261" s="469">
        <f t="shared" si="467"/>
        <v>350</v>
      </c>
      <c r="AP261">
        <f t="shared" si="468"/>
        <v>45.000000000000007</v>
      </c>
      <c r="AQ261">
        <f t="shared" si="469"/>
        <v>350</v>
      </c>
      <c r="AS261" s="5">
        <f t="shared" si="364"/>
        <v>2.8571428571428572</v>
      </c>
      <c r="AT261" s="5">
        <f t="shared" si="470"/>
        <v>0.38698769388529525</v>
      </c>
      <c r="AU261" s="5">
        <f t="shared" si="440"/>
        <v>2.4701551632575618</v>
      </c>
      <c r="AV261" s="5"/>
      <c r="AW261" s="177">
        <f t="shared" si="441"/>
        <v>0.13544569285985333</v>
      </c>
      <c r="AX261" s="177"/>
      <c r="BA261" s="469">
        <f t="shared" si="471"/>
        <v>3.7498490124508512</v>
      </c>
      <c r="BB261" s="469">
        <f t="shared" si="472"/>
        <v>0.37434025418106165</v>
      </c>
      <c r="BC261" s="5">
        <f t="shared" si="442"/>
        <v>5.513739203699914E-2</v>
      </c>
      <c r="BD261" s="469">
        <f t="shared" si="473"/>
        <v>0</v>
      </c>
      <c r="BQ261" s="538">
        <f t="shared" si="474"/>
        <v>1.2892500000000001E-2</v>
      </c>
      <c r="CG261" s="571">
        <f t="shared" si="475"/>
        <v>-50</v>
      </c>
      <c r="CH261">
        <f t="shared" si="476"/>
        <v>-50</v>
      </c>
    </row>
    <row r="262" spans="5:86" x14ac:dyDescent="0.25">
      <c r="E262" s="174">
        <v>46</v>
      </c>
      <c r="F262" s="221">
        <f t="shared" si="477"/>
        <v>4.6000000000000006E-2</v>
      </c>
      <c r="G262" s="221"/>
      <c r="H262" s="221">
        <f t="shared" si="443"/>
        <v>0.69000000000000006</v>
      </c>
      <c r="I262" s="551">
        <f t="shared" si="444"/>
        <v>28</v>
      </c>
      <c r="J262" s="451">
        <f t="shared" si="445"/>
        <v>695386.58000000007</v>
      </c>
      <c r="K262" s="451">
        <f t="shared" si="446"/>
        <v>695414.58000000007</v>
      </c>
      <c r="L262" s="451"/>
      <c r="M262" s="221">
        <f t="shared" si="447"/>
        <v>0.99995973624826795</v>
      </c>
      <c r="N262" s="176">
        <f t="shared" si="448"/>
        <v>9.8024053024945204</v>
      </c>
      <c r="O262" s="176">
        <f t="shared" ref="O262:O316" si="478">T262*F262</f>
        <v>0.69000000000000006</v>
      </c>
      <c r="P262" s="221">
        <f t="shared" si="449"/>
        <v>0.65349368683296805</v>
      </c>
      <c r="Q262" s="221">
        <f t="shared" si="450"/>
        <v>15</v>
      </c>
      <c r="R262" s="221"/>
      <c r="S262" s="176">
        <f t="shared" si="451"/>
        <v>205.43417042530791</v>
      </c>
      <c r="T262" s="176">
        <f t="shared" si="452"/>
        <v>15</v>
      </c>
      <c r="U262" s="221">
        <f t="shared" si="453"/>
        <v>5.4764109770424396E-2</v>
      </c>
      <c r="V262" s="221">
        <f t="shared" si="454"/>
        <v>5.8675831896883281E-2</v>
      </c>
      <c r="W262" s="221">
        <f t="shared" si="455"/>
        <v>2.3626042554815077E-6</v>
      </c>
      <c r="X262" s="201">
        <f t="shared" si="456"/>
        <v>350</v>
      </c>
      <c r="Y262" s="451">
        <f t="shared" si="418"/>
        <v>350</v>
      </c>
      <c r="AA262" s="221">
        <f t="shared" si="457"/>
        <v>2.6665592966620477</v>
      </c>
      <c r="AB262" s="177">
        <f t="shared" si="458"/>
        <v>1.1503929066313219E-4</v>
      </c>
      <c r="AC262" s="177">
        <f t="shared" si="459"/>
        <v>2.4527153110202145</v>
      </c>
      <c r="AD262" s="177"/>
      <c r="AE262" s="177">
        <f t="shared" si="460"/>
        <v>6.4712206554230591E-6</v>
      </c>
      <c r="AF262" s="555">
        <f t="shared" si="461"/>
        <v>2074.4296296296302</v>
      </c>
      <c r="AG262" s="538">
        <f t="shared" si="462"/>
        <v>7.7611695137976321E-3</v>
      </c>
      <c r="AI262" s="177">
        <f t="shared" si="463"/>
        <v>0.36517966876072178</v>
      </c>
      <c r="AJ262" s="177">
        <f t="shared" si="464"/>
        <v>0.36517966876072178</v>
      </c>
      <c r="AK262" s="177">
        <f t="shared" si="465"/>
        <v>1.3434531125071478</v>
      </c>
      <c r="AM262" s="555">
        <f t="shared" si="466"/>
        <v>46.000000000000007</v>
      </c>
      <c r="AN262" s="469">
        <f t="shared" si="467"/>
        <v>350</v>
      </c>
      <c r="AP262">
        <f t="shared" si="468"/>
        <v>46.000000000000007</v>
      </c>
      <c r="AQ262">
        <f t="shared" si="469"/>
        <v>350</v>
      </c>
      <c r="AS262" s="5">
        <f t="shared" si="364"/>
        <v>2.8571428571428572</v>
      </c>
      <c r="AT262" s="5">
        <f t="shared" si="470"/>
        <v>0.391263930815059</v>
      </c>
      <c r="AU262" s="5">
        <f t="shared" si="440"/>
        <v>2.465878926327798</v>
      </c>
      <c r="AV262" s="5"/>
      <c r="AW262" s="177">
        <f t="shared" si="441"/>
        <v>0.13694237578527066</v>
      </c>
      <c r="AX262" s="177"/>
      <c r="BA262" s="469">
        <f t="shared" si="471"/>
        <v>3.7498490124508512</v>
      </c>
      <c r="BB262" s="469">
        <f t="shared" si="472"/>
        <v>0.38809579152944523</v>
      </c>
      <c r="BC262" s="5">
        <f t="shared" si="442"/>
        <v>5.6265094549146182E-2</v>
      </c>
      <c r="BD262" s="469">
        <f t="shared" si="473"/>
        <v>0</v>
      </c>
      <c r="BQ262" s="538">
        <f t="shared" si="474"/>
        <v>1.3179000000000001E-2</v>
      </c>
      <c r="CG262" s="571">
        <f t="shared" si="475"/>
        <v>-50</v>
      </c>
      <c r="CH262">
        <f t="shared" si="476"/>
        <v>-50</v>
      </c>
    </row>
    <row r="263" spans="5:86" x14ac:dyDescent="0.25">
      <c r="E263" s="174">
        <v>47</v>
      </c>
      <c r="F263" s="221">
        <f t="shared" si="477"/>
        <v>4.7E-2</v>
      </c>
      <c r="G263" s="221"/>
      <c r="H263" s="221">
        <f t="shared" si="443"/>
        <v>0.70499999999999996</v>
      </c>
      <c r="I263" s="551">
        <f t="shared" si="444"/>
        <v>28</v>
      </c>
      <c r="J263" s="451">
        <f t="shared" si="445"/>
        <v>695386.58000000007</v>
      </c>
      <c r="K263" s="451">
        <f t="shared" si="446"/>
        <v>695414.58000000007</v>
      </c>
      <c r="L263" s="451"/>
      <c r="M263" s="221">
        <f t="shared" si="447"/>
        <v>0.99995973624826795</v>
      </c>
      <c r="N263" s="176">
        <f t="shared" si="448"/>
        <v>9.8024053024945204</v>
      </c>
      <c r="O263" s="176">
        <f t="shared" si="478"/>
        <v>0.70499999999999996</v>
      </c>
      <c r="P263" s="221">
        <f t="shared" si="449"/>
        <v>0.65349368683296805</v>
      </c>
      <c r="Q263" s="221">
        <f t="shared" si="450"/>
        <v>15</v>
      </c>
      <c r="R263" s="221"/>
      <c r="S263" s="176">
        <f t="shared" si="451"/>
        <v>201.06321761808272</v>
      </c>
      <c r="T263" s="176">
        <f t="shared" si="452"/>
        <v>15</v>
      </c>
      <c r="U263" s="221">
        <f t="shared" si="453"/>
        <v>5.5954633895868397E-2</v>
      </c>
      <c r="V263" s="221">
        <f t="shared" si="454"/>
        <v>5.995139345985899E-2</v>
      </c>
      <c r="W263" s="221">
        <f t="shared" si="455"/>
        <v>2.4139652175571923E-6</v>
      </c>
      <c r="X263" s="201">
        <f t="shared" si="456"/>
        <v>350</v>
      </c>
      <c r="Y263" s="451">
        <f t="shared" si="418"/>
        <v>350</v>
      </c>
      <c r="AA263" s="221">
        <f t="shared" si="457"/>
        <v>2.6665592966620477</v>
      </c>
      <c r="AB263" s="177">
        <f t="shared" si="458"/>
        <v>1.1503929066313219E-4</v>
      </c>
      <c r="AC263" s="177">
        <f t="shared" si="459"/>
        <v>2.4527153110202145</v>
      </c>
      <c r="AD263" s="177"/>
      <c r="AE263" s="177">
        <f t="shared" si="460"/>
        <v>6.4712206554230591E-6</v>
      </c>
      <c r="AF263" s="555">
        <f t="shared" si="461"/>
        <v>2119.5259259259265</v>
      </c>
      <c r="AG263" s="538">
        <f t="shared" si="462"/>
        <v>7.7611695137976321E-3</v>
      </c>
      <c r="AI263" s="177">
        <f t="shared" si="463"/>
        <v>0.36912767180914263</v>
      </c>
      <c r="AJ263" s="177">
        <f t="shared" si="464"/>
        <v>0.36912767180914263</v>
      </c>
      <c r="AK263" s="177">
        <f t="shared" si="465"/>
        <v>1.3460851145394284</v>
      </c>
      <c r="AM263" s="555">
        <f t="shared" si="466"/>
        <v>47</v>
      </c>
      <c r="AN263" s="469">
        <f t="shared" si="467"/>
        <v>350</v>
      </c>
      <c r="AP263">
        <f t="shared" si="468"/>
        <v>47</v>
      </c>
      <c r="AQ263">
        <f t="shared" si="469"/>
        <v>350</v>
      </c>
      <c r="AS263" s="5">
        <f t="shared" ref="AS263:AS316" si="479">1/AN263*1000</f>
        <v>2.8571428571428572</v>
      </c>
      <c r="AT263" s="5">
        <f t="shared" si="470"/>
        <v>0.39549393408122424</v>
      </c>
      <c r="AU263" s="5">
        <f t="shared" si="440"/>
        <v>2.4616489230616327</v>
      </c>
      <c r="AV263" s="5"/>
      <c r="AW263" s="177">
        <f t="shared" si="441"/>
        <v>0.13842287692842847</v>
      </c>
      <c r="AX263" s="177"/>
      <c r="BA263" s="469">
        <f t="shared" si="471"/>
        <v>3.7498490124508512</v>
      </c>
      <c r="BB263" s="469">
        <f t="shared" si="472"/>
        <v>0.40208771431405688</v>
      </c>
      <c r="BC263" s="5">
        <f t="shared" si="442"/>
        <v>5.7389632630901147E-2</v>
      </c>
      <c r="BD263" s="469">
        <f t="shared" si="473"/>
        <v>0</v>
      </c>
      <c r="BQ263" s="538">
        <f t="shared" si="474"/>
        <v>1.3465499999999998E-2</v>
      </c>
      <c r="CG263" s="571">
        <f t="shared" si="475"/>
        <v>-50</v>
      </c>
      <c r="CH263">
        <f t="shared" si="476"/>
        <v>-50</v>
      </c>
    </row>
    <row r="264" spans="5:86" x14ac:dyDescent="0.25">
      <c r="E264" s="174">
        <v>48</v>
      </c>
      <c r="F264" s="221">
        <f t="shared" si="477"/>
        <v>4.8000000000000001E-2</v>
      </c>
      <c r="G264" s="221"/>
      <c r="H264" s="221">
        <f t="shared" si="443"/>
        <v>0.72</v>
      </c>
      <c r="I264" s="551">
        <f t="shared" si="444"/>
        <v>28</v>
      </c>
      <c r="J264" s="451">
        <f t="shared" si="445"/>
        <v>695386.58000000007</v>
      </c>
      <c r="K264" s="451">
        <f t="shared" si="446"/>
        <v>695414.58000000007</v>
      </c>
      <c r="L264" s="451"/>
      <c r="M264" s="221">
        <f t="shared" si="447"/>
        <v>0.99995973624826795</v>
      </c>
      <c r="N264" s="176">
        <f t="shared" si="448"/>
        <v>9.8024053024945204</v>
      </c>
      <c r="O264" s="176">
        <f t="shared" si="478"/>
        <v>0.72</v>
      </c>
      <c r="P264" s="221">
        <f t="shared" si="449"/>
        <v>0.65349368683296805</v>
      </c>
      <c r="Q264" s="221">
        <f t="shared" si="450"/>
        <v>15</v>
      </c>
      <c r="R264" s="221"/>
      <c r="S264" s="176">
        <f t="shared" si="451"/>
        <v>196.87438784508441</v>
      </c>
      <c r="T264" s="176">
        <f t="shared" si="452"/>
        <v>15</v>
      </c>
      <c r="U264" s="221">
        <f t="shared" si="453"/>
        <v>5.7145158021312405E-2</v>
      </c>
      <c r="V264" s="221">
        <f t="shared" si="454"/>
        <v>6.122695502283472E-2</v>
      </c>
      <c r="W264" s="221">
        <f t="shared" si="455"/>
        <v>2.4653261796328773E-6</v>
      </c>
      <c r="X264" s="201">
        <f t="shared" si="456"/>
        <v>350</v>
      </c>
      <c r="Y264" s="451">
        <f t="shared" si="418"/>
        <v>350</v>
      </c>
      <c r="AA264" s="221">
        <f t="shared" si="457"/>
        <v>2.6665592966620477</v>
      </c>
      <c r="AB264" s="177">
        <f t="shared" si="458"/>
        <v>1.1503929066313219E-4</v>
      </c>
      <c r="AC264" s="177">
        <f t="shared" si="459"/>
        <v>2.4527153110202145</v>
      </c>
      <c r="AD264" s="177"/>
      <c r="AE264" s="177">
        <f t="shared" si="460"/>
        <v>6.4712206554230591E-6</v>
      </c>
      <c r="AF264" s="555">
        <f t="shared" si="461"/>
        <v>2164.6222222222232</v>
      </c>
      <c r="AG264" s="538">
        <f t="shared" si="462"/>
        <v>7.7611695137976321E-3</v>
      </c>
      <c r="AI264" s="177">
        <f t="shared" si="463"/>
        <v>0.3730338935194572</v>
      </c>
      <c r="AJ264" s="177">
        <f t="shared" si="464"/>
        <v>0.3730338935194572</v>
      </c>
      <c r="AK264" s="177">
        <f t="shared" si="465"/>
        <v>1.3486892623463047</v>
      </c>
      <c r="AM264" s="555">
        <f t="shared" si="466"/>
        <v>48</v>
      </c>
      <c r="AN264" s="469">
        <f t="shared" si="467"/>
        <v>350</v>
      </c>
      <c r="AP264">
        <f t="shared" si="468"/>
        <v>48</v>
      </c>
      <c r="AQ264">
        <f t="shared" si="469"/>
        <v>350</v>
      </c>
      <c r="AS264" s="5">
        <f t="shared" si="479"/>
        <v>2.8571428571428572</v>
      </c>
      <c r="AT264" s="5">
        <f t="shared" si="470"/>
        <v>0.39967917162798988</v>
      </c>
      <c r="AU264" s="5">
        <f t="shared" si="440"/>
        <v>2.4574636855148673</v>
      </c>
      <c r="AV264" s="5"/>
      <c r="AW264" s="177">
        <f t="shared" si="441"/>
        <v>0.13988771006979644</v>
      </c>
      <c r="AX264" s="177"/>
      <c r="BA264" s="469">
        <f t="shared" si="471"/>
        <v>3.7498490124508512</v>
      </c>
      <c r="BB264" s="469">
        <f t="shared" si="472"/>
        <v>0.41631602253489675</v>
      </c>
      <c r="BC264" s="5">
        <f t="shared" si="442"/>
        <v>5.8511040131306348E-2</v>
      </c>
      <c r="BD264" s="469">
        <f t="shared" si="473"/>
        <v>0</v>
      </c>
      <c r="BQ264" s="538">
        <f t="shared" si="474"/>
        <v>1.3751999999999999E-2</v>
      </c>
      <c r="CG264" s="571">
        <f t="shared" si="475"/>
        <v>-50</v>
      </c>
      <c r="CH264">
        <f t="shared" si="476"/>
        <v>-50</v>
      </c>
    </row>
    <row r="265" spans="5:86" x14ac:dyDescent="0.25">
      <c r="E265" s="174">
        <v>49</v>
      </c>
      <c r="F265" s="221">
        <f t="shared" si="477"/>
        <v>4.9000000000000002E-2</v>
      </c>
      <c r="G265" s="221"/>
      <c r="H265" s="221">
        <f t="shared" si="443"/>
        <v>0.73499999999999999</v>
      </c>
      <c r="I265" s="551">
        <f t="shared" si="444"/>
        <v>28</v>
      </c>
      <c r="J265" s="451">
        <f t="shared" si="445"/>
        <v>695386.58000000007</v>
      </c>
      <c r="K265" s="451">
        <f t="shared" si="446"/>
        <v>695414.58000000007</v>
      </c>
      <c r="L265" s="451"/>
      <c r="M265" s="221">
        <f t="shared" si="447"/>
        <v>0.99995973624826795</v>
      </c>
      <c r="N265" s="176">
        <f t="shared" si="448"/>
        <v>9.8024053024945204</v>
      </c>
      <c r="O265" s="176">
        <f t="shared" si="478"/>
        <v>0.73499999999999999</v>
      </c>
      <c r="P265" s="221">
        <f t="shared" si="449"/>
        <v>0.65349368683296805</v>
      </c>
      <c r="Q265" s="221">
        <f t="shared" si="450"/>
        <v>15</v>
      </c>
      <c r="R265" s="221"/>
      <c r="S265" s="176">
        <f t="shared" si="451"/>
        <v>192.85653071646229</v>
      </c>
      <c r="T265" s="176">
        <f t="shared" si="452"/>
        <v>15</v>
      </c>
      <c r="U265" s="221">
        <f t="shared" si="453"/>
        <v>5.8335682146756412E-2</v>
      </c>
      <c r="V265" s="221">
        <f t="shared" si="454"/>
        <v>6.2502516585810436E-2</v>
      </c>
      <c r="W265" s="221">
        <f t="shared" si="455"/>
        <v>2.5166871417085619E-6</v>
      </c>
      <c r="X265" s="201">
        <f t="shared" si="456"/>
        <v>350</v>
      </c>
      <c r="Y265" s="451">
        <f t="shared" si="418"/>
        <v>350</v>
      </c>
      <c r="AA265" s="221">
        <f t="shared" si="457"/>
        <v>2.6665592966620477</v>
      </c>
      <c r="AB265" s="177">
        <f t="shared" si="458"/>
        <v>1.1503929066313219E-4</v>
      </c>
      <c r="AC265" s="177">
        <f t="shared" si="459"/>
        <v>2.4527153110202145</v>
      </c>
      <c r="AD265" s="177"/>
      <c r="AE265" s="177">
        <f t="shared" si="460"/>
        <v>6.4712206554230591E-6</v>
      </c>
      <c r="AF265" s="555">
        <f t="shared" si="461"/>
        <v>2209.718518518519</v>
      </c>
      <c r="AG265" s="538">
        <f t="shared" si="462"/>
        <v>7.7611695137976321E-3</v>
      </c>
      <c r="AI265" s="177">
        <f t="shared" si="463"/>
        <v>0.3768996329705474</v>
      </c>
      <c r="AJ265" s="177">
        <f t="shared" si="464"/>
        <v>0.3768996329705474</v>
      </c>
      <c r="AK265" s="177">
        <f t="shared" si="465"/>
        <v>1.351266421980365</v>
      </c>
      <c r="AM265" s="555">
        <f t="shared" si="466"/>
        <v>49</v>
      </c>
      <c r="AN265" s="469">
        <f t="shared" si="467"/>
        <v>350</v>
      </c>
      <c r="AP265">
        <f t="shared" si="468"/>
        <v>49</v>
      </c>
      <c r="AQ265">
        <f t="shared" si="469"/>
        <v>350</v>
      </c>
      <c r="AS265" s="5">
        <f t="shared" si="479"/>
        <v>2.8571428571428572</v>
      </c>
      <c r="AT265" s="5">
        <f t="shared" si="470"/>
        <v>0.4038210353255865</v>
      </c>
      <c r="AU265" s="5">
        <f t="shared" si="440"/>
        <v>2.4533218218172705</v>
      </c>
      <c r="AV265" s="5"/>
      <c r="AW265" s="177">
        <f t="shared" si="441"/>
        <v>0.14133736236395528</v>
      </c>
      <c r="AX265" s="177"/>
      <c r="BA265" s="469">
        <f t="shared" si="471"/>
        <v>3.7498490124508512</v>
      </c>
      <c r="BB265" s="469">
        <f t="shared" si="472"/>
        <v>0.43078071619196501</v>
      </c>
      <c r="BC265" s="5">
        <f t="shared" si="442"/>
        <v>5.9629349835836426E-2</v>
      </c>
      <c r="BD265" s="469">
        <f t="shared" si="473"/>
        <v>0</v>
      </c>
      <c r="BQ265" s="538">
        <f t="shared" si="474"/>
        <v>1.4038499999999999E-2</v>
      </c>
      <c r="CG265" s="571">
        <f t="shared" si="475"/>
        <v>-50</v>
      </c>
      <c r="CH265">
        <f t="shared" si="476"/>
        <v>-50</v>
      </c>
    </row>
    <row r="266" spans="5:86" x14ac:dyDescent="0.25">
      <c r="E266" s="174">
        <v>50</v>
      </c>
      <c r="F266" s="221">
        <f t="shared" si="477"/>
        <v>0.05</v>
      </c>
      <c r="G266" s="221"/>
      <c r="H266" s="221">
        <f t="shared" si="443"/>
        <v>0.75</v>
      </c>
      <c r="I266" s="551">
        <f t="shared" si="444"/>
        <v>28</v>
      </c>
      <c r="J266" s="451">
        <f t="shared" si="445"/>
        <v>695386.58000000007</v>
      </c>
      <c r="K266" s="451">
        <f t="shared" si="446"/>
        <v>695414.58000000007</v>
      </c>
      <c r="L266" s="451"/>
      <c r="M266" s="221">
        <f t="shared" si="447"/>
        <v>0.99995973624826795</v>
      </c>
      <c r="N266" s="176">
        <f t="shared" si="448"/>
        <v>9.8024053024945204</v>
      </c>
      <c r="O266" s="176">
        <f t="shared" si="478"/>
        <v>0.75</v>
      </c>
      <c r="P266" s="221">
        <f t="shared" si="449"/>
        <v>0.65349368683296805</v>
      </c>
      <c r="Q266" s="221">
        <f t="shared" si="450"/>
        <v>15</v>
      </c>
      <c r="R266" s="221"/>
      <c r="S266" s="176">
        <f t="shared" si="451"/>
        <v>188.99938787355387</v>
      </c>
      <c r="T266" s="176">
        <f t="shared" si="452"/>
        <v>15</v>
      </c>
      <c r="U266" s="221">
        <f t="shared" si="453"/>
        <v>5.952620627220042E-2</v>
      </c>
      <c r="V266" s="221">
        <f t="shared" si="454"/>
        <v>6.3778078148786166E-2</v>
      </c>
      <c r="W266" s="221">
        <f t="shared" si="455"/>
        <v>2.568048103784247E-6</v>
      </c>
      <c r="X266" s="201">
        <f t="shared" si="456"/>
        <v>350</v>
      </c>
      <c r="Y266" s="451">
        <f t="shared" si="418"/>
        <v>350</v>
      </c>
      <c r="AA266" s="221">
        <f t="shared" si="457"/>
        <v>2.6665592966620477</v>
      </c>
      <c r="AB266" s="177">
        <f t="shared" si="458"/>
        <v>1.1503929066313219E-4</v>
      </c>
      <c r="AC266" s="177">
        <f t="shared" si="459"/>
        <v>2.4527153110202145</v>
      </c>
      <c r="AD266" s="177"/>
      <c r="AE266" s="177">
        <f t="shared" si="460"/>
        <v>6.4712206554230591E-6</v>
      </c>
      <c r="AF266" s="555">
        <f t="shared" si="461"/>
        <v>2254.8148148148152</v>
      </c>
      <c r="AG266" s="538">
        <f t="shared" si="462"/>
        <v>7.7611695137976321E-3</v>
      </c>
      <c r="AI266" s="177">
        <f t="shared" si="463"/>
        <v>0.38072612328599276</v>
      </c>
      <c r="AJ266" s="177">
        <f t="shared" si="464"/>
        <v>0.38072612328599276</v>
      </c>
      <c r="AK266" s="177">
        <f t="shared" si="465"/>
        <v>1.353817415523995</v>
      </c>
      <c r="AM266" s="555">
        <f t="shared" si="466"/>
        <v>50</v>
      </c>
      <c r="AN266" s="469">
        <f t="shared" si="467"/>
        <v>350</v>
      </c>
      <c r="AP266">
        <f t="shared" si="468"/>
        <v>50</v>
      </c>
      <c r="AQ266">
        <f t="shared" si="469"/>
        <v>350</v>
      </c>
      <c r="AS266" s="5">
        <f t="shared" si="479"/>
        <v>2.8571428571428572</v>
      </c>
      <c r="AT266" s="5">
        <f t="shared" si="470"/>
        <v>0.40792084637784942</v>
      </c>
      <c r="AU266" s="5">
        <f t="shared" si="440"/>
        <v>2.4492220107650078</v>
      </c>
      <c r="AV266" s="5"/>
      <c r="AW266" s="177">
        <f t="shared" si="441"/>
        <v>0.1427722962322473</v>
      </c>
      <c r="AX266" s="177"/>
      <c r="BA266" s="469">
        <f t="shared" si="471"/>
        <v>3.7498490124508512</v>
      </c>
      <c r="BB266" s="469">
        <f t="shared" si="472"/>
        <v>0.44548179528526138</v>
      </c>
      <c r="BC266" s="5">
        <f t="shared" si="442"/>
        <v>6.074459352095752E-2</v>
      </c>
      <c r="BD266" s="469">
        <f t="shared" si="473"/>
        <v>0</v>
      </c>
      <c r="BQ266" s="538">
        <f t="shared" si="474"/>
        <v>1.4324999999999999E-2</v>
      </c>
      <c r="CG266" s="571">
        <f t="shared" si="475"/>
        <v>-50</v>
      </c>
      <c r="CH266">
        <f t="shared" si="476"/>
        <v>-50</v>
      </c>
    </row>
    <row r="267" spans="5:86" x14ac:dyDescent="0.25">
      <c r="E267" s="174">
        <v>51</v>
      </c>
      <c r="F267" s="221">
        <f t="shared" si="477"/>
        <v>5.1000000000000004E-2</v>
      </c>
      <c r="G267" s="221"/>
      <c r="H267" s="221">
        <f t="shared" si="443"/>
        <v>0.76500000000000001</v>
      </c>
      <c r="I267" s="551">
        <f t="shared" si="444"/>
        <v>28</v>
      </c>
      <c r="J267" s="451">
        <f t="shared" si="445"/>
        <v>695386.58000000007</v>
      </c>
      <c r="K267" s="451">
        <f t="shared" si="446"/>
        <v>695414.58000000007</v>
      </c>
      <c r="L267" s="451"/>
      <c r="M267" s="221">
        <f t="shared" si="447"/>
        <v>0.99995973624826795</v>
      </c>
      <c r="N267" s="176">
        <f t="shared" si="448"/>
        <v>9.8024053024945204</v>
      </c>
      <c r="O267" s="176">
        <f t="shared" si="478"/>
        <v>0.76500000000000001</v>
      </c>
      <c r="P267" s="221">
        <f t="shared" si="449"/>
        <v>0.65349368683296805</v>
      </c>
      <c r="Q267" s="221">
        <f t="shared" si="450"/>
        <v>15</v>
      </c>
      <c r="R267" s="221"/>
      <c r="S267" s="176">
        <f t="shared" si="451"/>
        <v>185.29350553484647</v>
      </c>
      <c r="T267" s="176">
        <f t="shared" si="452"/>
        <v>15</v>
      </c>
      <c r="U267" s="221">
        <f t="shared" si="453"/>
        <v>6.0716730397644435E-2</v>
      </c>
      <c r="V267" s="221">
        <f t="shared" si="454"/>
        <v>6.5053639711761896E-2</v>
      </c>
      <c r="W267" s="221">
        <f t="shared" si="455"/>
        <v>2.619409065859932E-6</v>
      </c>
      <c r="X267" s="201">
        <f t="shared" si="456"/>
        <v>350</v>
      </c>
      <c r="Y267" s="451">
        <f t="shared" si="418"/>
        <v>350</v>
      </c>
      <c r="AA267" s="221">
        <f t="shared" si="457"/>
        <v>2.6665592966620477</v>
      </c>
      <c r="AB267" s="177">
        <f t="shared" si="458"/>
        <v>1.1503929066313219E-4</v>
      </c>
      <c r="AC267" s="177">
        <f t="shared" si="459"/>
        <v>2.4527153110202145</v>
      </c>
      <c r="AD267" s="177"/>
      <c r="AE267" s="177">
        <f t="shared" si="460"/>
        <v>6.4712206554230591E-6</v>
      </c>
      <c r="AF267" s="555">
        <f t="shared" si="461"/>
        <v>2299.9111111111119</v>
      </c>
      <c r="AG267" s="538">
        <f t="shared" si="462"/>
        <v>7.7611695137976321E-3</v>
      </c>
      <c r="AI267" s="177">
        <f t="shared" si="463"/>
        <v>0.38451453622903331</v>
      </c>
      <c r="AJ267" s="177">
        <f t="shared" si="464"/>
        <v>0.38451453622903331</v>
      </c>
      <c r="AK267" s="177">
        <f t="shared" si="465"/>
        <v>1.3563430241526888</v>
      </c>
      <c r="AM267" s="555">
        <f t="shared" si="466"/>
        <v>51.000000000000007</v>
      </c>
      <c r="AN267" s="469">
        <f t="shared" si="467"/>
        <v>350</v>
      </c>
      <c r="AP267">
        <f t="shared" si="468"/>
        <v>51.000000000000007</v>
      </c>
      <c r="AQ267">
        <f t="shared" si="469"/>
        <v>350</v>
      </c>
      <c r="AS267" s="5">
        <f t="shared" si="479"/>
        <v>2.8571428571428572</v>
      </c>
      <c r="AT267" s="5">
        <f t="shared" si="470"/>
        <v>0.41197986024539285</v>
      </c>
      <c r="AU267" s="5">
        <f t="shared" si="440"/>
        <v>2.4451629968974644</v>
      </c>
      <c r="AV267" s="5"/>
      <c r="AW267" s="177">
        <f t="shared" si="441"/>
        <v>0.14419295108588751</v>
      </c>
      <c r="AX267" s="177"/>
      <c r="BA267" s="469">
        <f t="shared" si="471"/>
        <v>3.7498490124508512</v>
      </c>
      <c r="BB267" s="469">
        <f t="shared" si="472"/>
        <v>0.46041925981478588</v>
      </c>
      <c r="BC267" s="5">
        <f t="shared" si="442"/>
        <v>6.1856802004846556E-2</v>
      </c>
      <c r="BD267" s="469">
        <f t="shared" si="473"/>
        <v>0</v>
      </c>
      <c r="BQ267" s="538">
        <f t="shared" si="474"/>
        <v>1.4611500000000001E-2</v>
      </c>
      <c r="CG267" s="571">
        <f t="shared" si="475"/>
        <v>-50</v>
      </c>
      <c r="CH267">
        <f t="shared" si="476"/>
        <v>-50</v>
      </c>
    </row>
    <row r="268" spans="5:86" x14ac:dyDescent="0.25">
      <c r="E268" s="174">
        <v>52</v>
      </c>
      <c r="F268" s="221">
        <f t="shared" si="477"/>
        <v>5.2000000000000005E-2</v>
      </c>
      <c r="G268" s="221"/>
      <c r="H268" s="221">
        <f t="shared" si="443"/>
        <v>0.78</v>
      </c>
      <c r="I268" s="551">
        <f t="shared" si="444"/>
        <v>28</v>
      </c>
      <c r="J268" s="451">
        <f t="shared" si="445"/>
        <v>695386.58000000007</v>
      </c>
      <c r="K268" s="451">
        <f t="shared" si="446"/>
        <v>695414.58000000007</v>
      </c>
      <c r="L268" s="451"/>
      <c r="M268" s="221">
        <f t="shared" si="447"/>
        <v>0.99995973624826795</v>
      </c>
      <c r="N268" s="176">
        <f t="shared" si="448"/>
        <v>9.8024053024945204</v>
      </c>
      <c r="O268" s="176">
        <f t="shared" si="478"/>
        <v>0.78</v>
      </c>
      <c r="P268" s="221">
        <f t="shared" si="449"/>
        <v>0.65349368683296805</v>
      </c>
      <c r="Q268" s="221">
        <f t="shared" si="450"/>
        <v>15</v>
      </c>
      <c r="R268" s="221"/>
      <c r="S268" s="176">
        <f t="shared" si="451"/>
        <v>181.73015713278994</v>
      </c>
      <c r="T268" s="176">
        <f t="shared" si="452"/>
        <v>15</v>
      </c>
      <c r="U268" s="221">
        <f t="shared" si="453"/>
        <v>6.1907254523088442E-2</v>
      </c>
      <c r="V268" s="221">
        <f t="shared" si="454"/>
        <v>6.6329201274737612E-2</v>
      </c>
      <c r="W268" s="221">
        <f t="shared" si="455"/>
        <v>2.6707700279356166E-6</v>
      </c>
      <c r="X268" s="201">
        <f t="shared" si="456"/>
        <v>350</v>
      </c>
      <c r="Y268" s="451">
        <f t="shared" si="418"/>
        <v>350</v>
      </c>
      <c r="AA268" s="221">
        <f t="shared" si="457"/>
        <v>2.6665592966620477</v>
      </c>
      <c r="AB268" s="177">
        <f t="shared" si="458"/>
        <v>1.1503929066313219E-4</v>
      </c>
      <c r="AC268" s="177">
        <f t="shared" si="459"/>
        <v>2.4527153110202145</v>
      </c>
      <c r="AD268" s="177"/>
      <c r="AE268" s="177">
        <f t="shared" si="460"/>
        <v>6.4712206554230591E-6</v>
      </c>
      <c r="AF268" s="555">
        <f t="shared" si="461"/>
        <v>2345.0074074074082</v>
      </c>
      <c r="AG268" s="538">
        <f t="shared" si="462"/>
        <v>7.7611695137976321E-3</v>
      </c>
      <c r="AI268" s="177">
        <f t="shared" si="463"/>
        <v>0.38826598639396193</v>
      </c>
      <c r="AJ268" s="177">
        <f t="shared" si="464"/>
        <v>0.38826598639396193</v>
      </c>
      <c r="AK268" s="177">
        <f t="shared" si="465"/>
        <v>1.358843990929308</v>
      </c>
      <c r="AM268" s="555">
        <f t="shared" si="466"/>
        <v>52.000000000000007</v>
      </c>
      <c r="AN268" s="469">
        <f t="shared" si="467"/>
        <v>350</v>
      </c>
      <c r="AP268">
        <f t="shared" si="468"/>
        <v>52.000000000000007</v>
      </c>
      <c r="AQ268">
        <f t="shared" si="469"/>
        <v>350</v>
      </c>
      <c r="AS268" s="5">
        <f t="shared" si="479"/>
        <v>2.8571428571428572</v>
      </c>
      <c r="AT268" s="5">
        <f t="shared" si="470"/>
        <v>0.41599927113638779</v>
      </c>
      <c r="AU268" s="5">
        <f t="shared" si="440"/>
        <v>2.4411435860064694</v>
      </c>
      <c r="AV268" s="5"/>
      <c r="AW268" s="177">
        <f t="shared" si="441"/>
        <v>0.14559974489773572</v>
      </c>
      <c r="AX268" s="177"/>
      <c r="BA268" s="469">
        <f t="shared" si="471"/>
        <v>3.7498490124508512</v>
      </c>
      <c r="BB268" s="469">
        <f t="shared" si="472"/>
        <v>0.4755931097805387</v>
      </c>
      <c r="BC268" s="5">
        <f t="shared" si="442"/>
        <v>6.2966005194611305E-2</v>
      </c>
      <c r="BD268" s="469">
        <f t="shared" si="473"/>
        <v>0</v>
      </c>
      <c r="BQ268" s="538">
        <f t="shared" si="474"/>
        <v>1.4898E-2</v>
      </c>
      <c r="CG268" s="571">
        <f t="shared" si="475"/>
        <v>-50</v>
      </c>
      <c r="CH268">
        <f t="shared" si="476"/>
        <v>-50</v>
      </c>
    </row>
    <row r="269" spans="5:86" x14ac:dyDescent="0.25">
      <c r="E269" s="174">
        <v>53</v>
      </c>
      <c r="F269" s="221">
        <f t="shared" si="477"/>
        <v>5.3000000000000005E-2</v>
      </c>
      <c r="G269" s="221"/>
      <c r="H269" s="221">
        <f t="shared" si="443"/>
        <v>0.79500000000000004</v>
      </c>
      <c r="I269" s="551">
        <f t="shared" si="444"/>
        <v>28</v>
      </c>
      <c r="J269" s="451">
        <f t="shared" si="445"/>
        <v>695386.58000000007</v>
      </c>
      <c r="K269" s="451">
        <f t="shared" si="446"/>
        <v>695414.58000000007</v>
      </c>
      <c r="L269" s="451"/>
      <c r="M269" s="221">
        <f t="shared" si="447"/>
        <v>0.99995973624826795</v>
      </c>
      <c r="N269" s="176">
        <f t="shared" si="448"/>
        <v>9.8024053024945204</v>
      </c>
      <c r="O269" s="176">
        <f t="shared" si="478"/>
        <v>0.79500000000000004</v>
      </c>
      <c r="P269" s="221">
        <f t="shared" si="449"/>
        <v>0.65349368683296805</v>
      </c>
      <c r="Q269" s="221">
        <f t="shared" si="450"/>
        <v>15</v>
      </c>
      <c r="R269" s="221"/>
      <c r="S269" s="176">
        <f t="shared" si="451"/>
        <v>178.30127470870602</v>
      </c>
      <c r="T269" s="176">
        <f t="shared" si="452"/>
        <v>15</v>
      </c>
      <c r="U269" s="221">
        <f t="shared" si="453"/>
        <v>6.3097778648532457E-2</v>
      </c>
      <c r="V269" s="221">
        <f t="shared" si="454"/>
        <v>6.7604762837713342E-2</v>
      </c>
      <c r="W269" s="221">
        <f t="shared" si="455"/>
        <v>2.7221309900113021E-6</v>
      </c>
      <c r="X269" s="201">
        <f t="shared" si="456"/>
        <v>350</v>
      </c>
      <c r="Y269" s="451">
        <f t="shared" si="418"/>
        <v>350</v>
      </c>
      <c r="AA269" s="221">
        <f t="shared" si="457"/>
        <v>2.6665592966620477</v>
      </c>
      <c r="AB269" s="177">
        <f t="shared" si="458"/>
        <v>1.1503929066313219E-4</v>
      </c>
      <c r="AC269" s="177">
        <f t="shared" si="459"/>
        <v>2.4527153110202145</v>
      </c>
      <c r="AD269" s="177"/>
      <c r="AE269" s="177">
        <f t="shared" si="460"/>
        <v>6.4712206554230591E-6</v>
      </c>
      <c r="AF269" s="555">
        <f t="shared" si="461"/>
        <v>2390.1037037037049</v>
      </c>
      <c r="AG269" s="538">
        <f t="shared" si="462"/>
        <v>7.7611695137976321E-3</v>
      </c>
      <c r="AI269" s="177">
        <f t="shared" si="463"/>
        <v>0.39198153503643995</v>
      </c>
      <c r="AJ269" s="177">
        <f t="shared" si="464"/>
        <v>0.39198153503643995</v>
      </c>
      <c r="AK269" s="177">
        <f t="shared" si="465"/>
        <v>1.3613210233576267</v>
      </c>
      <c r="AM269" s="555">
        <f t="shared" si="466"/>
        <v>53.000000000000007</v>
      </c>
      <c r="AN269" s="469">
        <f t="shared" si="467"/>
        <v>350</v>
      </c>
      <c r="AP269">
        <f t="shared" si="468"/>
        <v>53.000000000000007</v>
      </c>
      <c r="AQ269">
        <f t="shared" si="469"/>
        <v>350</v>
      </c>
      <c r="AS269" s="5">
        <f t="shared" si="479"/>
        <v>2.8571428571428572</v>
      </c>
      <c r="AT269" s="5">
        <f t="shared" si="470"/>
        <v>0.41998021611047137</v>
      </c>
      <c r="AU269" s="5">
        <f t="shared" si="440"/>
        <v>2.4371626410323857</v>
      </c>
      <c r="AV269" s="5"/>
      <c r="AW269" s="177">
        <f t="shared" si="441"/>
        <v>0.14699307563866498</v>
      </c>
      <c r="AX269" s="177"/>
      <c r="BA269" s="469">
        <f t="shared" si="471"/>
        <v>3.7498490124508512</v>
      </c>
      <c r="BB269" s="469">
        <f t="shared" si="472"/>
        <v>0.4910033451825197</v>
      </c>
      <c r="BC269" s="5">
        <f t="shared" si="442"/>
        <v>6.4072232130315682E-2</v>
      </c>
      <c r="BD269" s="469">
        <f t="shared" si="473"/>
        <v>0</v>
      </c>
      <c r="BQ269" s="538">
        <f t="shared" si="474"/>
        <v>1.51845E-2</v>
      </c>
      <c r="CG269" s="571">
        <f t="shared" si="475"/>
        <v>-50</v>
      </c>
      <c r="CH269">
        <f t="shared" si="476"/>
        <v>-50</v>
      </c>
    </row>
    <row r="270" spans="5:86" x14ac:dyDescent="0.25">
      <c r="E270" s="174">
        <v>54</v>
      </c>
      <c r="F270" s="221">
        <f t="shared" si="477"/>
        <v>5.4000000000000006E-2</v>
      </c>
      <c r="G270" s="221"/>
      <c r="H270" s="221">
        <f t="shared" si="443"/>
        <v>0.81</v>
      </c>
      <c r="I270" s="551">
        <f t="shared" si="444"/>
        <v>28</v>
      </c>
      <c r="J270" s="451">
        <f t="shared" si="445"/>
        <v>695386.58000000007</v>
      </c>
      <c r="K270" s="451">
        <f t="shared" si="446"/>
        <v>695414.58000000007</v>
      </c>
      <c r="L270" s="451"/>
      <c r="M270" s="221">
        <f t="shared" si="447"/>
        <v>0.99995973624826795</v>
      </c>
      <c r="N270" s="176">
        <f t="shared" si="448"/>
        <v>9.8024053024945204</v>
      </c>
      <c r="O270" s="176">
        <f t="shared" si="478"/>
        <v>0.81</v>
      </c>
      <c r="P270" s="221">
        <f t="shared" si="449"/>
        <v>0.65349368683296805</v>
      </c>
      <c r="Q270" s="221">
        <f t="shared" si="450"/>
        <v>15</v>
      </c>
      <c r="R270" s="221"/>
      <c r="S270" s="176">
        <f t="shared" si="451"/>
        <v>174.99938793048494</v>
      </c>
      <c r="T270" s="176">
        <f t="shared" si="452"/>
        <v>15</v>
      </c>
      <c r="U270" s="221">
        <f t="shared" si="453"/>
        <v>6.4288302773976458E-2</v>
      </c>
      <c r="V270" s="221">
        <f t="shared" si="454"/>
        <v>6.8880324400689058E-2</v>
      </c>
      <c r="W270" s="221">
        <f t="shared" si="455"/>
        <v>2.7734919520869867E-6</v>
      </c>
      <c r="X270" s="201">
        <f t="shared" si="456"/>
        <v>350</v>
      </c>
      <c r="Y270" s="451">
        <f t="shared" si="418"/>
        <v>350</v>
      </c>
      <c r="AA270" s="221">
        <f t="shared" si="457"/>
        <v>2.6665592966620477</v>
      </c>
      <c r="AB270" s="177">
        <f t="shared" si="458"/>
        <v>1.1503929066313219E-4</v>
      </c>
      <c r="AC270" s="177">
        <f t="shared" si="459"/>
        <v>2.4527153110202145</v>
      </c>
      <c r="AD270" s="177"/>
      <c r="AE270" s="177">
        <f t="shared" si="460"/>
        <v>6.4712206554230591E-6</v>
      </c>
      <c r="AF270" s="555">
        <f t="shared" si="461"/>
        <v>2435.2000000000007</v>
      </c>
      <c r="AG270" s="538">
        <f t="shared" si="462"/>
        <v>7.7611695137976321E-3</v>
      </c>
      <c r="AI270" s="177">
        <f t="shared" si="463"/>
        <v>0.39566219358004306</v>
      </c>
      <c r="AJ270" s="177">
        <f t="shared" si="464"/>
        <v>0.39566219358004306</v>
      </c>
      <c r="AK270" s="177">
        <f t="shared" si="465"/>
        <v>1.3637747957200288</v>
      </c>
      <c r="AM270" s="555">
        <f t="shared" si="466"/>
        <v>54.000000000000007</v>
      </c>
      <c r="AN270" s="469">
        <f t="shared" si="467"/>
        <v>350</v>
      </c>
      <c r="AP270">
        <f t="shared" si="468"/>
        <v>54.000000000000007</v>
      </c>
      <c r="AQ270">
        <f t="shared" si="469"/>
        <v>350</v>
      </c>
      <c r="AS270" s="5">
        <f t="shared" si="479"/>
        <v>2.8571428571428572</v>
      </c>
      <c r="AT270" s="5">
        <f t="shared" si="470"/>
        <v>0.42392377883576049</v>
      </c>
      <c r="AU270" s="5">
        <f t="shared" si="440"/>
        <v>2.4332190783070966</v>
      </c>
      <c r="AV270" s="5"/>
      <c r="AW270" s="177">
        <f t="shared" si="441"/>
        <v>0.14837332259251618</v>
      </c>
      <c r="AX270" s="177"/>
      <c r="BA270" s="469">
        <f t="shared" si="471"/>
        <v>3.7498490124508512</v>
      </c>
      <c r="BB270" s="469">
        <f t="shared" si="472"/>
        <v>0.50664996602072887</v>
      </c>
      <c r="BC270" s="5">
        <f t="shared" si="442"/>
        <v>6.5175511026082947E-2</v>
      </c>
      <c r="BD270" s="469">
        <f t="shared" si="473"/>
        <v>0</v>
      </c>
      <c r="BQ270" s="538">
        <f t="shared" si="474"/>
        <v>1.5471000000000002E-2</v>
      </c>
      <c r="CG270" s="571">
        <f t="shared" si="475"/>
        <v>-50</v>
      </c>
      <c r="CH270">
        <f t="shared" si="476"/>
        <v>-50</v>
      </c>
    </row>
    <row r="271" spans="5:86" x14ac:dyDescent="0.25">
      <c r="E271" s="174">
        <v>55</v>
      </c>
      <c r="F271" s="221">
        <f t="shared" si="477"/>
        <v>5.5000000000000007E-2</v>
      </c>
      <c r="G271" s="221"/>
      <c r="H271" s="221">
        <f t="shared" si="443"/>
        <v>0.82500000000000007</v>
      </c>
      <c r="I271" s="551">
        <f t="shared" si="444"/>
        <v>28</v>
      </c>
      <c r="J271" s="451">
        <f t="shared" si="445"/>
        <v>695386.58000000007</v>
      </c>
      <c r="K271" s="451">
        <f t="shared" si="446"/>
        <v>695414.58000000007</v>
      </c>
      <c r="L271" s="451"/>
      <c r="M271" s="221">
        <f t="shared" si="447"/>
        <v>0.99995973624826795</v>
      </c>
      <c r="N271" s="176">
        <f t="shared" si="448"/>
        <v>9.8024053024945204</v>
      </c>
      <c r="O271" s="176">
        <f t="shared" si="478"/>
        <v>0.82500000000000007</v>
      </c>
      <c r="P271" s="221">
        <f t="shared" si="449"/>
        <v>0.65349368683296805</v>
      </c>
      <c r="Q271" s="221">
        <f t="shared" si="450"/>
        <v>15</v>
      </c>
      <c r="R271" s="221"/>
      <c r="S271" s="176">
        <f t="shared" si="451"/>
        <v>171.81756976289788</v>
      </c>
      <c r="T271" s="176">
        <f t="shared" si="452"/>
        <v>15</v>
      </c>
      <c r="U271" s="221">
        <f t="shared" si="453"/>
        <v>6.5478826899420473E-2</v>
      </c>
      <c r="V271" s="221">
        <f t="shared" si="454"/>
        <v>7.0155885963664788E-2</v>
      </c>
      <c r="W271" s="221">
        <f t="shared" si="455"/>
        <v>2.8248529141626722E-6</v>
      </c>
      <c r="X271" s="201">
        <f t="shared" si="456"/>
        <v>350</v>
      </c>
      <c r="Y271" s="451">
        <f t="shared" si="418"/>
        <v>350</v>
      </c>
      <c r="AA271" s="221">
        <f t="shared" si="457"/>
        <v>2.6665592966620477</v>
      </c>
      <c r="AB271" s="177">
        <f t="shared" si="458"/>
        <v>1.1503929066313219E-4</v>
      </c>
      <c r="AC271" s="177">
        <f t="shared" si="459"/>
        <v>2.4527153110202145</v>
      </c>
      <c r="AD271" s="177"/>
      <c r="AE271" s="177">
        <f t="shared" si="460"/>
        <v>6.4712206554230591E-6</v>
      </c>
      <c r="AF271" s="555">
        <f t="shared" si="461"/>
        <v>2480.296296296297</v>
      </c>
      <c r="AG271" s="538">
        <f t="shared" si="462"/>
        <v>7.7611695137976321E-3</v>
      </c>
      <c r="AI271" s="177">
        <f t="shared" si="463"/>
        <v>0.39930892683186919</v>
      </c>
      <c r="AJ271" s="177">
        <f t="shared" si="464"/>
        <v>0.39930892683186919</v>
      </c>
      <c r="AK271" s="177">
        <f t="shared" si="465"/>
        <v>1.3662059512212461</v>
      </c>
      <c r="AM271" s="555">
        <f t="shared" si="466"/>
        <v>55.000000000000007</v>
      </c>
      <c r="AN271" s="469">
        <f t="shared" si="467"/>
        <v>350</v>
      </c>
      <c r="AP271">
        <f t="shared" si="468"/>
        <v>55.000000000000007</v>
      </c>
      <c r="AQ271">
        <f t="shared" si="469"/>
        <v>350</v>
      </c>
      <c r="AS271" s="5">
        <f t="shared" si="479"/>
        <v>2.8571428571428572</v>
      </c>
      <c r="AT271" s="5">
        <f t="shared" si="470"/>
        <v>0.42783099303414557</v>
      </c>
      <c r="AU271" s="5">
        <f t="shared" si="440"/>
        <v>2.4293118641087115</v>
      </c>
      <c r="AV271" s="5"/>
      <c r="AW271" s="177">
        <f t="shared" si="441"/>
        <v>0.14974084756195094</v>
      </c>
      <c r="AX271" s="177"/>
      <c r="BA271" s="469">
        <f t="shared" si="471"/>
        <v>3.7498490124508512</v>
      </c>
      <c r="BB271" s="469">
        <f t="shared" si="472"/>
        <v>0.52253297229516638</v>
      </c>
      <c r="BC271" s="5">
        <f t="shared" si="442"/>
        <v>6.627586930852139E-2</v>
      </c>
      <c r="BD271" s="469">
        <f t="shared" si="473"/>
        <v>0</v>
      </c>
      <c r="BQ271" s="538">
        <f t="shared" si="474"/>
        <v>1.5757500000000001E-2</v>
      </c>
      <c r="CG271" s="571">
        <f t="shared" si="475"/>
        <v>-50</v>
      </c>
      <c r="CH271">
        <f t="shared" si="476"/>
        <v>-50</v>
      </c>
    </row>
    <row r="272" spans="5:86" x14ac:dyDescent="0.25">
      <c r="E272" s="174">
        <v>56</v>
      </c>
      <c r="F272" s="221">
        <f t="shared" si="477"/>
        <v>5.6000000000000008E-2</v>
      </c>
      <c r="G272" s="221"/>
      <c r="H272" s="221">
        <f t="shared" si="443"/>
        <v>0.84000000000000008</v>
      </c>
      <c r="I272" s="551">
        <f t="shared" si="444"/>
        <v>28</v>
      </c>
      <c r="J272" s="451">
        <f t="shared" si="445"/>
        <v>695386.58000000007</v>
      </c>
      <c r="K272" s="451">
        <f t="shared" si="446"/>
        <v>695414.58000000007</v>
      </c>
      <c r="L272" s="451"/>
      <c r="M272" s="221">
        <f t="shared" si="447"/>
        <v>0.99995973624826795</v>
      </c>
      <c r="N272" s="176">
        <f t="shared" si="448"/>
        <v>9.8024053024945204</v>
      </c>
      <c r="O272" s="176">
        <f t="shared" si="478"/>
        <v>0.84000000000000008</v>
      </c>
      <c r="P272" s="221">
        <f t="shared" si="449"/>
        <v>0.65349368683296805</v>
      </c>
      <c r="Q272" s="221">
        <f t="shared" si="450"/>
        <v>15</v>
      </c>
      <c r="R272" s="221"/>
      <c r="S272" s="176">
        <f t="shared" si="451"/>
        <v>168.7493879589465</v>
      </c>
      <c r="T272" s="176">
        <f t="shared" si="452"/>
        <v>15</v>
      </c>
      <c r="U272" s="221">
        <f t="shared" si="453"/>
        <v>6.6669351024864473E-2</v>
      </c>
      <c r="V272" s="221">
        <f t="shared" si="454"/>
        <v>7.1431447526640504E-2</v>
      </c>
      <c r="W272" s="221">
        <f t="shared" si="455"/>
        <v>2.8762138762383559E-6</v>
      </c>
      <c r="X272" s="201">
        <f t="shared" si="456"/>
        <v>350</v>
      </c>
      <c r="Y272" s="451">
        <f t="shared" si="418"/>
        <v>350</v>
      </c>
      <c r="AA272" s="221">
        <f t="shared" si="457"/>
        <v>2.6665592966620477</v>
      </c>
      <c r="AB272" s="177">
        <f t="shared" si="458"/>
        <v>1.1503929066313219E-4</v>
      </c>
      <c r="AC272" s="177">
        <f t="shared" si="459"/>
        <v>2.4527153110202145</v>
      </c>
      <c r="AD272" s="177"/>
      <c r="AE272" s="177">
        <f t="shared" si="460"/>
        <v>6.4712206554230591E-6</v>
      </c>
      <c r="AF272" s="555">
        <f t="shared" si="461"/>
        <v>2525.3925925925937</v>
      </c>
      <c r="AG272" s="538">
        <f t="shared" si="462"/>
        <v>7.7611695137976321E-3</v>
      </c>
      <c r="AI272" s="177">
        <f t="shared" si="463"/>
        <v>0.40292265593618176</v>
      </c>
      <c r="AJ272" s="177">
        <f t="shared" si="464"/>
        <v>0.40292265593618176</v>
      </c>
      <c r="AK272" s="177">
        <f t="shared" si="465"/>
        <v>1.3686151039574546</v>
      </c>
      <c r="AM272" s="555">
        <f t="shared" si="466"/>
        <v>56.000000000000007</v>
      </c>
      <c r="AN272" s="469">
        <f t="shared" si="467"/>
        <v>350</v>
      </c>
      <c r="AP272">
        <f t="shared" si="468"/>
        <v>56.000000000000007</v>
      </c>
      <c r="AQ272">
        <f t="shared" si="469"/>
        <v>350</v>
      </c>
      <c r="AS272" s="5">
        <f t="shared" si="479"/>
        <v>2.8571428571428572</v>
      </c>
      <c r="AT272" s="5">
        <f t="shared" si="470"/>
        <v>0.43170284564590905</v>
      </c>
      <c r="AU272" s="5">
        <f t="shared" si="440"/>
        <v>2.4254400114969483</v>
      </c>
      <c r="AV272" s="5"/>
      <c r="AW272" s="177">
        <f t="shared" si="441"/>
        <v>0.15109599597606815</v>
      </c>
      <c r="AX272" s="177"/>
      <c r="BA272" s="469">
        <f t="shared" si="471"/>
        <v>3.7498490124508512</v>
      </c>
      <c r="BB272" s="469">
        <f t="shared" si="472"/>
        <v>0.53865236400583183</v>
      </c>
      <c r="BC272" s="5">
        <f t="shared" si="442"/>
        <v>6.7373333652693004E-2</v>
      </c>
      <c r="BD272" s="469">
        <f t="shared" si="473"/>
        <v>0</v>
      </c>
      <c r="BQ272" s="538">
        <f t="shared" si="474"/>
        <v>1.6044000000000003E-2</v>
      </c>
      <c r="CG272" s="571">
        <f t="shared" si="475"/>
        <v>-50</v>
      </c>
      <c r="CH272">
        <f t="shared" si="476"/>
        <v>-50</v>
      </c>
    </row>
    <row r="273" spans="5:86" x14ac:dyDescent="0.25">
      <c r="E273" s="174">
        <v>57</v>
      </c>
      <c r="F273" s="221">
        <f t="shared" si="477"/>
        <v>5.6999999999999995E-2</v>
      </c>
      <c r="G273" s="221"/>
      <c r="H273" s="221">
        <f t="shared" si="443"/>
        <v>0.85499999999999998</v>
      </c>
      <c r="I273" s="551">
        <f t="shared" si="444"/>
        <v>28</v>
      </c>
      <c r="J273" s="451">
        <f t="shared" si="445"/>
        <v>695386.58000000007</v>
      </c>
      <c r="K273" s="451">
        <f t="shared" si="446"/>
        <v>695414.58000000007</v>
      </c>
      <c r="L273" s="451"/>
      <c r="M273" s="221">
        <f t="shared" si="447"/>
        <v>0.99995973624826795</v>
      </c>
      <c r="N273" s="176">
        <f t="shared" si="448"/>
        <v>9.8024053024945204</v>
      </c>
      <c r="O273" s="176">
        <f t="shared" si="478"/>
        <v>0.85499999999999998</v>
      </c>
      <c r="P273" s="221">
        <f t="shared" si="449"/>
        <v>0.65349368683296805</v>
      </c>
      <c r="Q273" s="221">
        <f t="shared" si="450"/>
        <v>15</v>
      </c>
      <c r="R273" s="221"/>
      <c r="S273" s="176">
        <f t="shared" si="451"/>
        <v>165.78886165738686</v>
      </c>
      <c r="T273" s="176">
        <f t="shared" si="452"/>
        <v>15</v>
      </c>
      <c r="U273" s="221">
        <f t="shared" si="453"/>
        <v>6.7859875150308474E-2</v>
      </c>
      <c r="V273" s="221">
        <f t="shared" si="454"/>
        <v>7.2707009089616234E-2</v>
      </c>
      <c r="W273" s="221">
        <f t="shared" si="455"/>
        <v>2.9275748383140414E-6</v>
      </c>
      <c r="X273" s="201">
        <f t="shared" si="456"/>
        <v>350</v>
      </c>
      <c r="Y273" s="451">
        <f t="shared" si="418"/>
        <v>350</v>
      </c>
      <c r="AA273" s="221">
        <f t="shared" si="457"/>
        <v>2.6665592966620477</v>
      </c>
      <c r="AB273" s="177">
        <f t="shared" si="458"/>
        <v>1.1503929066313219E-4</v>
      </c>
      <c r="AC273" s="177">
        <f t="shared" si="459"/>
        <v>2.4527153110202145</v>
      </c>
      <c r="AD273" s="177"/>
      <c r="AE273" s="177">
        <f t="shared" si="460"/>
        <v>6.4712206554230591E-6</v>
      </c>
      <c r="AF273" s="555">
        <f t="shared" si="461"/>
        <v>2570.4888888888895</v>
      </c>
      <c r="AG273" s="538">
        <f t="shared" si="462"/>
        <v>7.7611695137976321E-3</v>
      </c>
      <c r="AI273" s="177">
        <f t="shared" si="463"/>
        <v>0.40650426109170651</v>
      </c>
      <c r="AJ273" s="177">
        <f t="shared" si="464"/>
        <v>0.40650426109170651</v>
      </c>
      <c r="AK273" s="177">
        <f t="shared" si="465"/>
        <v>1.3710028407278043</v>
      </c>
      <c r="AM273" s="555">
        <f t="shared" si="466"/>
        <v>56.999999999999993</v>
      </c>
      <c r="AN273" s="469">
        <f t="shared" si="467"/>
        <v>350</v>
      </c>
      <c r="AP273">
        <f t="shared" si="468"/>
        <v>56.999999999999993</v>
      </c>
      <c r="AQ273">
        <f t="shared" si="469"/>
        <v>350</v>
      </c>
      <c r="AS273" s="5">
        <f t="shared" si="479"/>
        <v>2.8571428571428572</v>
      </c>
      <c r="AT273" s="5">
        <f t="shared" si="470"/>
        <v>0.43554027974111414</v>
      </c>
      <c r="AU273" s="5">
        <f t="shared" si="440"/>
        <v>2.4216025774017429</v>
      </c>
      <c r="AV273" s="5"/>
      <c r="AW273" s="177">
        <f t="shared" si="441"/>
        <v>0.15243909790938995</v>
      </c>
      <c r="AX273" s="177"/>
      <c r="BA273" s="469">
        <f t="shared" si="471"/>
        <v>3.7498490124508512</v>
      </c>
      <c r="BB273" s="469">
        <f t="shared" si="472"/>
        <v>0.55500814115272545</v>
      </c>
      <c r="BC273" s="5">
        <f t="shared" si="442"/>
        <v>6.8467930015823075E-2</v>
      </c>
      <c r="BD273" s="469">
        <f t="shared" si="473"/>
        <v>0</v>
      </c>
      <c r="BQ273" s="538">
        <f t="shared" si="474"/>
        <v>1.6330499999999998E-2</v>
      </c>
      <c r="CG273" s="571">
        <f t="shared" si="475"/>
        <v>-50</v>
      </c>
      <c r="CH273">
        <f t="shared" si="476"/>
        <v>-50</v>
      </c>
    </row>
    <row r="274" spans="5:86" x14ac:dyDescent="0.25">
      <c r="E274" s="174">
        <v>58</v>
      </c>
      <c r="F274" s="221">
        <f t="shared" si="477"/>
        <v>5.7999999999999996E-2</v>
      </c>
      <c r="G274" s="221"/>
      <c r="H274" s="221">
        <f t="shared" si="443"/>
        <v>0.86999999999999988</v>
      </c>
      <c r="I274" s="551">
        <f t="shared" si="444"/>
        <v>28</v>
      </c>
      <c r="J274" s="451">
        <f t="shared" si="445"/>
        <v>695386.58000000007</v>
      </c>
      <c r="K274" s="451">
        <f t="shared" si="446"/>
        <v>695414.58000000007</v>
      </c>
      <c r="L274" s="451"/>
      <c r="M274" s="221">
        <f t="shared" si="447"/>
        <v>0.99995973624826795</v>
      </c>
      <c r="N274" s="176">
        <f t="shared" si="448"/>
        <v>9.8024053024945204</v>
      </c>
      <c r="O274" s="176">
        <f t="shared" si="478"/>
        <v>0.86999999999999988</v>
      </c>
      <c r="P274" s="221">
        <f t="shared" si="449"/>
        <v>0.65349368683296805</v>
      </c>
      <c r="Q274" s="221">
        <f t="shared" si="450"/>
        <v>15</v>
      </c>
      <c r="R274" s="221"/>
      <c r="S274" s="176">
        <f t="shared" si="451"/>
        <v>162.93042247016407</v>
      </c>
      <c r="T274" s="176">
        <f t="shared" si="452"/>
        <v>15</v>
      </c>
      <c r="U274" s="221">
        <f t="shared" si="453"/>
        <v>6.9050399275752475E-2</v>
      </c>
      <c r="V274" s="221">
        <f t="shared" si="454"/>
        <v>7.3982570652591936E-2</v>
      </c>
      <c r="W274" s="221">
        <f t="shared" si="455"/>
        <v>2.978935800389726E-6</v>
      </c>
      <c r="X274" s="201">
        <f t="shared" si="456"/>
        <v>350</v>
      </c>
      <c r="Y274" s="451">
        <f t="shared" si="418"/>
        <v>350</v>
      </c>
      <c r="AA274" s="221">
        <f t="shared" si="457"/>
        <v>2.6665592966620477</v>
      </c>
      <c r="AB274" s="177">
        <f t="shared" si="458"/>
        <v>1.1503929066313219E-4</v>
      </c>
      <c r="AC274" s="177">
        <f t="shared" si="459"/>
        <v>2.4527153110202145</v>
      </c>
      <c r="AD274" s="177"/>
      <c r="AE274" s="177">
        <f t="shared" si="460"/>
        <v>6.4712206554230591E-6</v>
      </c>
      <c r="AF274" s="555">
        <f t="shared" si="461"/>
        <v>2615.5851851851858</v>
      </c>
      <c r="AG274" s="538">
        <f t="shared" si="462"/>
        <v>7.7611695137976321E-3</v>
      </c>
      <c r="AI274" s="177">
        <f t="shared" si="463"/>
        <v>0.4100545840552961</v>
      </c>
      <c r="AJ274" s="177">
        <f t="shared" si="464"/>
        <v>0.4100545840552961</v>
      </c>
      <c r="AK274" s="177">
        <f t="shared" si="465"/>
        <v>1.3733697227035306</v>
      </c>
      <c r="AM274" s="555">
        <f t="shared" si="466"/>
        <v>57.999999999999993</v>
      </c>
      <c r="AN274" s="469">
        <f t="shared" si="467"/>
        <v>350</v>
      </c>
      <c r="AP274">
        <f t="shared" si="468"/>
        <v>57.999999999999993</v>
      </c>
      <c r="AQ274">
        <f t="shared" si="469"/>
        <v>350</v>
      </c>
      <c r="AS274" s="5">
        <f t="shared" si="479"/>
        <v>2.8571428571428572</v>
      </c>
      <c r="AT274" s="5">
        <f t="shared" si="470"/>
        <v>0.43934419720210294</v>
      </c>
      <c r="AU274" s="5">
        <f t="shared" si="440"/>
        <v>2.4177986599407544</v>
      </c>
      <c r="AV274" s="5"/>
      <c r="AW274" s="177">
        <f t="shared" si="441"/>
        <v>0.15377046902073602</v>
      </c>
      <c r="AX274" s="177"/>
      <c r="BA274" s="469">
        <f t="shared" si="471"/>
        <v>3.7498490124508512</v>
      </c>
      <c r="BB274" s="469">
        <f t="shared" si="472"/>
        <v>0.57160030373584747</v>
      </c>
      <c r="BC274" s="5">
        <f t="shared" si="442"/>
        <v>6.9559683668930408E-2</v>
      </c>
      <c r="BD274" s="469">
        <f t="shared" si="473"/>
        <v>0</v>
      </c>
      <c r="BQ274" s="538">
        <f t="shared" si="474"/>
        <v>1.6617E-2</v>
      </c>
      <c r="CG274" s="571">
        <f t="shared" si="475"/>
        <v>-50</v>
      </c>
      <c r="CH274">
        <f t="shared" si="476"/>
        <v>-50</v>
      </c>
    </row>
    <row r="275" spans="5:86" x14ac:dyDescent="0.25">
      <c r="E275" s="174">
        <v>59</v>
      </c>
      <c r="F275" s="221">
        <f t="shared" si="477"/>
        <v>5.8999999999999997E-2</v>
      </c>
      <c r="G275" s="221"/>
      <c r="H275" s="221">
        <f t="shared" si="443"/>
        <v>0.88500000000000001</v>
      </c>
      <c r="I275" s="551">
        <f t="shared" si="444"/>
        <v>28</v>
      </c>
      <c r="J275" s="451">
        <f t="shared" si="445"/>
        <v>695386.58000000007</v>
      </c>
      <c r="K275" s="451">
        <f t="shared" si="446"/>
        <v>695414.58000000007</v>
      </c>
      <c r="L275" s="451"/>
      <c r="M275" s="221">
        <f t="shared" si="447"/>
        <v>0.99995973624826795</v>
      </c>
      <c r="N275" s="176">
        <f t="shared" si="448"/>
        <v>9.8024053024945204</v>
      </c>
      <c r="O275" s="176">
        <f t="shared" si="478"/>
        <v>0.88500000000000001</v>
      </c>
      <c r="P275" s="221">
        <f t="shared" si="449"/>
        <v>0.65349368683296805</v>
      </c>
      <c r="Q275" s="221">
        <f t="shared" si="450"/>
        <v>15</v>
      </c>
      <c r="R275" s="221"/>
      <c r="S275" s="176">
        <f t="shared" si="451"/>
        <v>160.1688795270577</v>
      </c>
      <c r="T275" s="176">
        <f t="shared" si="452"/>
        <v>15</v>
      </c>
      <c r="U275" s="221">
        <f t="shared" si="453"/>
        <v>7.0240923401196503E-2</v>
      </c>
      <c r="V275" s="221">
        <f t="shared" si="454"/>
        <v>7.525813221556768E-2</v>
      </c>
      <c r="W275" s="221">
        <f t="shared" si="455"/>
        <v>3.0302967624654115E-6</v>
      </c>
      <c r="X275" s="201">
        <f t="shared" si="456"/>
        <v>350</v>
      </c>
      <c r="Y275" s="451">
        <f t="shared" si="418"/>
        <v>350</v>
      </c>
      <c r="AA275" s="221">
        <f t="shared" si="457"/>
        <v>2.6665592966620477</v>
      </c>
      <c r="AB275" s="177">
        <f t="shared" si="458"/>
        <v>1.1503929066313219E-4</v>
      </c>
      <c r="AC275" s="177">
        <f t="shared" si="459"/>
        <v>2.4527153110202145</v>
      </c>
      <c r="AD275" s="177"/>
      <c r="AE275" s="177">
        <f t="shared" si="460"/>
        <v>6.4712206554230591E-6</v>
      </c>
      <c r="AF275" s="555">
        <f t="shared" si="461"/>
        <v>2660.681481481482</v>
      </c>
      <c r="AG275" s="538">
        <f t="shared" si="462"/>
        <v>7.7611695137976321E-3</v>
      </c>
      <c r="AI275" s="177">
        <f t="shared" si="463"/>
        <v>0.41357443045213699</v>
      </c>
      <c r="AJ275" s="177">
        <f t="shared" si="464"/>
        <v>0.41357443045213699</v>
      </c>
      <c r="AK275" s="177">
        <f t="shared" si="465"/>
        <v>1.3757162869680912</v>
      </c>
      <c r="AM275" s="555">
        <f t="shared" si="466"/>
        <v>59</v>
      </c>
      <c r="AN275" s="469">
        <f t="shared" si="467"/>
        <v>350</v>
      </c>
      <c r="AP275">
        <f t="shared" si="468"/>
        <v>59</v>
      </c>
      <c r="AQ275">
        <f t="shared" si="469"/>
        <v>350</v>
      </c>
      <c r="AS275" s="5">
        <f t="shared" si="479"/>
        <v>2.8571428571428572</v>
      </c>
      <c r="AT275" s="5">
        <f t="shared" si="470"/>
        <v>0.44311546119871825</v>
      </c>
      <c r="AU275" s="5">
        <f t="shared" si="440"/>
        <v>2.4140273959441387</v>
      </c>
      <c r="AV275" s="5"/>
      <c r="AW275" s="177">
        <f t="shared" si="441"/>
        <v>0.15509041141955138</v>
      </c>
      <c r="AX275" s="177"/>
      <c r="BA275" s="469">
        <f t="shared" si="471"/>
        <v>3.7498490124508512</v>
      </c>
      <c r="BB275" s="469">
        <f t="shared" si="472"/>
        <v>0.58842885175519777</v>
      </c>
      <c r="BC275" s="5">
        <f t="shared" si="442"/>
        <v>7.0648619226539769E-2</v>
      </c>
      <c r="BD275" s="469">
        <f t="shared" si="473"/>
        <v>0</v>
      </c>
      <c r="BQ275" s="538">
        <f t="shared" si="474"/>
        <v>1.6903499999999995E-2</v>
      </c>
      <c r="CG275" s="571">
        <f t="shared" si="475"/>
        <v>-50</v>
      </c>
      <c r="CH275">
        <f t="shared" si="476"/>
        <v>-50</v>
      </c>
    </row>
    <row r="276" spans="5:86" x14ac:dyDescent="0.25">
      <c r="E276" s="174">
        <v>60</v>
      </c>
      <c r="F276" s="221">
        <f t="shared" si="477"/>
        <v>0.06</v>
      </c>
      <c r="G276" s="221"/>
      <c r="H276" s="221">
        <f t="shared" si="443"/>
        <v>0.89999999999999991</v>
      </c>
      <c r="I276" s="551">
        <f t="shared" si="444"/>
        <v>28</v>
      </c>
      <c r="J276" s="451">
        <f t="shared" si="445"/>
        <v>695386.58000000007</v>
      </c>
      <c r="K276" s="451">
        <f t="shared" si="446"/>
        <v>695414.58000000007</v>
      </c>
      <c r="L276" s="451"/>
      <c r="M276" s="221">
        <f t="shared" si="447"/>
        <v>0.99995973624826795</v>
      </c>
      <c r="N276" s="176">
        <f t="shared" si="448"/>
        <v>9.8024053024945204</v>
      </c>
      <c r="O276" s="176">
        <f t="shared" si="478"/>
        <v>0.89999999999999991</v>
      </c>
      <c r="P276" s="221">
        <f t="shared" si="449"/>
        <v>0.65349368683296805</v>
      </c>
      <c r="Q276" s="221">
        <f t="shared" si="450"/>
        <v>15</v>
      </c>
      <c r="R276" s="221"/>
      <c r="S276" s="176">
        <f t="shared" si="451"/>
        <v>157.49938801586177</v>
      </c>
      <c r="T276" s="176">
        <f t="shared" si="452"/>
        <v>15</v>
      </c>
      <c r="U276" s="221">
        <f t="shared" si="453"/>
        <v>7.1431447526640504E-2</v>
      </c>
      <c r="V276" s="221">
        <f t="shared" si="454"/>
        <v>7.6533693778543396E-2</v>
      </c>
      <c r="W276" s="221">
        <f t="shared" si="455"/>
        <v>3.0816577245410961E-6</v>
      </c>
      <c r="X276" s="201">
        <f t="shared" si="456"/>
        <v>350</v>
      </c>
      <c r="Y276" s="451">
        <f t="shared" ref="Y276:Y316" si="480">MIN(1/(V276+W276)*1000, 350)</f>
        <v>350</v>
      </c>
      <c r="AA276" s="221">
        <f t="shared" si="457"/>
        <v>2.6665592966620477</v>
      </c>
      <c r="AB276" s="177">
        <f t="shared" si="458"/>
        <v>1.1503929066313219E-4</v>
      </c>
      <c r="AC276" s="177">
        <f t="shared" si="459"/>
        <v>2.4527153110202145</v>
      </c>
      <c r="AD276" s="177"/>
      <c r="AE276" s="177">
        <f t="shared" si="460"/>
        <v>6.4712206554230591E-6</v>
      </c>
      <c r="AF276" s="555">
        <f t="shared" si="461"/>
        <v>2705.7777777777783</v>
      </c>
      <c r="AG276" s="538">
        <f t="shared" si="462"/>
        <v>7.7611695137976321E-3</v>
      </c>
      <c r="AI276" s="177">
        <f t="shared" si="463"/>
        <v>0.41706457191046226</v>
      </c>
      <c r="AJ276" s="177">
        <f t="shared" si="464"/>
        <v>0.41706457191046226</v>
      </c>
      <c r="AK276" s="177">
        <f t="shared" si="465"/>
        <v>1.3780430479403081</v>
      </c>
      <c r="AM276" s="555">
        <f t="shared" si="466"/>
        <v>60</v>
      </c>
      <c r="AN276" s="469">
        <f t="shared" si="467"/>
        <v>350</v>
      </c>
      <c r="AP276">
        <f t="shared" si="468"/>
        <v>60</v>
      </c>
      <c r="AQ276">
        <f t="shared" si="469"/>
        <v>350</v>
      </c>
      <c r="AS276" s="5">
        <f t="shared" si="479"/>
        <v>2.8571428571428572</v>
      </c>
      <c r="AT276" s="5">
        <f t="shared" si="470"/>
        <v>0.44685489847549531</v>
      </c>
      <c r="AU276" s="5">
        <f t="shared" si="440"/>
        <v>2.4102879586673618</v>
      </c>
      <c r="AV276" s="5"/>
      <c r="AW276" s="177">
        <f t="shared" si="441"/>
        <v>0.15639921446642335</v>
      </c>
      <c r="AX276" s="177"/>
      <c r="BA276" s="469">
        <f t="shared" si="471"/>
        <v>3.7498490124508512</v>
      </c>
      <c r="BB276" s="469">
        <f t="shared" si="472"/>
        <v>0.60549378521077624</v>
      </c>
      <c r="BC276" s="5">
        <f t="shared" si="442"/>
        <v>7.1734760674623851E-2</v>
      </c>
      <c r="BD276" s="469">
        <f t="shared" si="473"/>
        <v>0</v>
      </c>
      <c r="BQ276" s="538">
        <f t="shared" si="474"/>
        <v>1.7189999999999997E-2</v>
      </c>
      <c r="CG276" s="571">
        <f t="shared" si="475"/>
        <v>-50</v>
      </c>
      <c r="CH276">
        <f t="shared" si="476"/>
        <v>-50</v>
      </c>
    </row>
    <row r="277" spans="5:86" x14ac:dyDescent="0.25">
      <c r="E277" s="174">
        <v>61</v>
      </c>
      <c r="F277" s="221">
        <f t="shared" si="477"/>
        <v>6.0999999999999999E-2</v>
      </c>
      <c r="G277" s="221"/>
      <c r="H277" s="221">
        <f t="shared" si="443"/>
        <v>0.91500000000000004</v>
      </c>
      <c r="I277" s="551">
        <f t="shared" si="444"/>
        <v>28</v>
      </c>
      <c r="J277" s="451">
        <f t="shared" si="445"/>
        <v>695386.58000000007</v>
      </c>
      <c r="K277" s="451">
        <f t="shared" si="446"/>
        <v>695414.58000000007</v>
      </c>
      <c r="L277" s="451"/>
      <c r="M277" s="221">
        <f t="shared" si="447"/>
        <v>0.99995973624826795</v>
      </c>
      <c r="N277" s="176">
        <f t="shared" si="448"/>
        <v>9.8024053024945204</v>
      </c>
      <c r="O277" s="176">
        <f t="shared" si="478"/>
        <v>0.91500000000000004</v>
      </c>
      <c r="P277" s="221">
        <f t="shared" si="449"/>
        <v>0.65349368683296805</v>
      </c>
      <c r="Q277" s="221">
        <f t="shared" si="450"/>
        <v>15</v>
      </c>
      <c r="R277" s="221"/>
      <c r="S277" s="176">
        <f t="shared" si="451"/>
        <v>154.91742081697416</v>
      </c>
      <c r="T277" s="176">
        <f t="shared" si="452"/>
        <v>15</v>
      </c>
      <c r="U277" s="221">
        <f t="shared" si="453"/>
        <v>7.2621971652084519E-2</v>
      </c>
      <c r="V277" s="221">
        <f t="shared" si="454"/>
        <v>7.780925534151914E-2</v>
      </c>
      <c r="W277" s="221">
        <f t="shared" si="455"/>
        <v>3.1330186866167816E-6</v>
      </c>
      <c r="X277" s="201">
        <f t="shared" si="456"/>
        <v>350</v>
      </c>
      <c r="Y277" s="451">
        <f t="shared" si="480"/>
        <v>350</v>
      </c>
      <c r="AA277" s="221">
        <f t="shared" si="457"/>
        <v>2.6665592966620477</v>
      </c>
      <c r="AB277" s="177">
        <f t="shared" si="458"/>
        <v>1.1503929066313219E-4</v>
      </c>
      <c r="AC277" s="177">
        <f t="shared" si="459"/>
        <v>2.4527153110202145</v>
      </c>
      <c r="AD277" s="177"/>
      <c r="AE277" s="177">
        <f t="shared" si="460"/>
        <v>6.4712206554230591E-6</v>
      </c>
      <c r="AF277" s="555">
        <f t="shared" si="461"/>
        <v>2750.8740740740745</v>
      </c>
      <c r="AG277" s="538">
        <f t="shared" si="462"/>
        <v>7.7611695137976321E-3</v>
      </c>
      <c r="AI277" s="177">
        <f t="shared" si="463"/>
        <v>0.42052574803679355</v>
      </c>
      <c r="AJ277" s="177">
        <f t="shared" si="464"/>
        <v>0.42052574803679355</v>
      </c>
      <c r="AK277" s="177">
        <f t="shared" si="465"/>
        <v>1.3803504986911956</v>
      </c>
      <c r="AM277" s="555">
        <f t="shared" si="466"/>
        <v>61</v>
      </c>
      <c r="AN277" s="469">
        <f t="shared" si="467"/>
        <v>350</v>
      </c>
      <c r="AP277">
        <f t="shared" si="468"/>
        <v>61</v>
      </c>
      <c r="AQ277">
        <f t="shared" si="469"/>
        <v>350</v>
      </c>
      <c r="AS277" s="5">
        <f t="shared" si="479"/>
        <v>2.8571428571428572</v>
      </c>
      <c r="AT277" s="5">
        <f t="shared" si="470"/>
        <v>0.45056330146799312</v>
      </c>
      <c r="AU277" s="5">
        <f t="shared" si="440"/>
        <v>2.4065795556748641</v>
      </c>
      <c r="AV277" s="5"/>
      <c r="AW277" s="177">
        <f t="shared" si="441"/>
        <v>0.15769715551379759</v>
      </c>
      <c r="AX277" s="177"/>
      <c r="BA277" s="469">
        <f t="shared" si="471"/>
        <v>3.7498490124508512</v>
      </c>
      <c r="BB277" s="469">
        <f t="shared" si="472"/>
        <v>0.62279510410258276</v>
      </c>
      <c r="BC277" s="5">
        <f t="shared" si="442"/>
        <v>7.281813139690807E-2</v>
      </c>
      <c r="BD277" s="469">
        <f t="shared" si="473"/>
        <v>0</v>
      </c>
      <c r="BQ277" s="538">
        <f t="shared" si="474"/>
        <v>1.7476499999999999E-2</v>
      </c>
      <c r="CG277" s="571">
        <f t="shared" si="475"/>
        <v>-50</v>
      </c>
      <c r="CH277">
        <f t="shared" si="476"/>
        <v>-50</v>
      </c>
    </row>
    <row r="278" spans="5:86" x14ac:dyDescent="0.25">
      <c r="E278" s="174">
        <v>62</v>
      </c>
      <c r="F278" s="221">
        <f t="shared" si="477"/>
        <v>6.2E-2</v>
      </c>
      <c r="G278" s="221"/>
      <c r="H278" s="221">
        <f t="shared" si="443"/>
        <v>0.92999999999999994</v>
      </c>
      <c r="I278" s="551">
        <f t="shared" si="444"/>
        <v>28</v>
      </c>
      <c r="J278" s="451">
        <f t="shared" si="445"/>
        <v>695386.58000000007</v>
      </c>
      <c r="K278" s="451">
        <f t="shared" si="446"/>
        <v>695414.58000000007</v>
      </c>
      <c r="L278" s="451"/>
      <c r="M278" s="221">
        <f t="shared" si="447"/>
        <v>0.99995973624826795</v>
      </c>
      <c r="N278" s="176">
        <f t="shared" si="448"/>
        <v>9.8024053024945204</v>
      </c>
      <c r="O278" s="176">
        <f t="shared" si="478"/>
        <v>0.92999999999999994</v>
      </c>
      <c r="P278" s="221">
        <f t="shared" si="449"/>
        <v>0.65349368683296805</v>
      </c>
      <c r="Q278" s="221">
        <f t="shared" si="450"/>
        <v>15</v>
      </c>
      <c r="R278" s="221"/>
      <c r="S278" s="176">
        <f t="shared" si="451"/>
        <v>152.41874288302509</v>
      </c>
      <c r="T278" s="176">
        <f t="shared" si="452"/>
        <v>15</v>
      </c>
      <c r="U278" s="221">
        <f t="shared" si="453"/>
        <v>7.381249577752852E-2</v>
      </c>
      <c r="V278" s="221">
        <f t="shared" si="454"/>
        <v>7.9084816904494842E-2</v>
      </c>
      <c r="W278" s="221">
        <f t="shared" si="455"/>
        <v>3.1843796486924662E-6</v>
      </c>
      <c r="X278" s="201">
        <f t="shared" si="456"/>
        <v>350</v>
      </c>
      <c r="Y278" s="451">
        <f t="shared" si="480"/>
        <v>350</v>
      </c>
      <c r="AA278" s="221">
        <f t="shared" si="457"/>
        <v>2.6665592966620477</v>
      </c>
      <c r="AB278" s="177">
        <f t="shared" si="458"/>
        <v>1.1503929066313219E-4</v>
      </c>
      <c r="AC278" s="177">
        <f t="shared" si="459"/>
        <v>2.4527153110202145</v>
      </c>
      <c r="AD278" s="177"/>
      <c r="AE278" s="177">
        <f t="shared" si="460"/>
        <v>6.4712206554230591E-6</v>
      </c>
      <c r="AF278" s="555">
        <f t="shared" si="461"/>
        <v>2795.9703703703713</v>
      </c>
      <c r="AG278" s="538">
        <f t="shared" si="462"/>
        <v>7.7611695137976321E-3</v>
      </c>
      <c r="AI278" s="177">
        <f t="shared" si="463"/>
        <v>0.42395866824603595</v>
      </c>
      <c r="AJ278" s="177">
        <f t="shared" si="464"/>
        <v>0.42395866824603595</v>
      </c>
      <c r="AK278" s="177">
        <f t="shared" si="465"/>
        <v>1.382639112164024</v>
      </c>
      <c r="AM278" s="555">
        <f t="shared" si="466"/>
        <v>62</v>
      </c>
      <c r="AN278" s="469">
        <f t="shared" si="467"/>
        <v>350</v>
      </c>
      <c r="AP278">
        <f t="shared" si="468"/>
        <v>62</v>
      </c>
      <c r="AQ278">
        <f t="shared" si="469"/>
        <v>350</v>
      </c>
      <c r="AS278" s="5">
        <f t="shared" si="479"/>
        <v>2.8571428571428572</v>
      </c>
      <c r="AT278" s="5">
        <f t="shared" si="470"/>
        <v>0.45424143026360991</v>
      </c>
      <c r="AU278" s="5">
        <f t="shared" si="440"/>
        <v>2.4029014268792475</v>
      </c>
      <c r="AV278" s="5"/>
      <c r="AW278" s="177">
        <f t="shared" si="441"/>
        <v>0.15898450059226346</v>
      </c>
      <c r="AX278" s="177"/>
      <c r="BA278" s="469">
        <f t="shared" si="471"/>
        <v>3.7498490124508512</v>
      </c>
      <c r="BB278" s="469">
        <f t="shared" si="472"/>
        <v>0.64033280843061768</v>
      </c>
      <c r="BC278" s="5">
        <f t="shared" si="442"/>
        <v>7.3898754199659383E-2</v>
      </c>
      <c r="BD278" s="469">
        <f t="shared" si="473"/>
        <v>0</v>
      </c>
      <c r="BQ278" s="538">
        <f t="shared" si="474"/>
        <v>1.7762999999999998E-2</v>
      </c>
      <c r="CG278" s="571">
        <f t="shared" si="475"/>
        <v>-50</v>
      </c>
      <c r="CH278">
        <f t="shared" si="476"/>
        <v>-50</v>
      </c>
    </row>
    <row r="279" spans="5:86" x14ac:dyDescent="0.25">
      <c r="E279" s="174">
        <v>63</v>
      </c>
      <c r="F279" s="221">
        <f t="shared" si="477"/>
        <v>6.3E-2</v>
      </c>
      <c r="G279" s="221"/>
      <c r="H279" s="221">
        <f t="shared" si="443"/>
        <v>0.94500000000000006</v>
      </c>
      <c r="I279" s="551">
        <f t="shared" si="444"/>
        <v>28</v>
      </c>
      <c r="J279" s="451">
        <f t="shared" si="445"/>
        <v>695386.58000000007</v>
      </c>
      <c r="K279" s="451">
        <f t="shared" si="446"/>
        <v>695414.58000000007</v>
      </c>
      <c r="L279" s="451"/>
      <c r="M279" s="221">
        <f t="shared" si="447"/>
        <v>0.99995973624826795</v>
      </c>
      <c r="N279" s="176">
        <f t="shared" si="448"/>
        <v>9.8024053024945204</v>
      </c>
      <c r="O279" s="176">
        <f t="shared" si="478"/>
        <v>0.94500000000000006</v>
      </c>
      <c r="P279" s="221">
        <f t="shared" si="449"/>
        <v>0.65349368683296805</v>
      </c>
      <c r="Q279" s="221">
        <f t="shared" si="450"/>
        <v>15</v>
      </c>
      <c r="R279" s="221"/>
      <c r="S279" s="176">
        <f t="shared" si="451"/>
        <v>149.99938805854126</v>
      </c>
      <c r="T279" s="176">
        <f t="shared" si="452"/>
        <v>15</v>
      </c>
      <c r="U279" s="221">
        <f t="shared" si="453"/>
        <v>7.5003019902972534E-2</v>
      </c>
      <c r="V279" s="221">
        <f t="shared" si="454"/>
        <v>8.0360378467470572E-2</v>
      </c>
      <c r="W279" s="221">
        <f t="shared" si="455"/>
        <v>3.2357406107681512E-6</v>
      </c>
      <c r="X279" s="201">
        <f t="shared" si="456"/>
        <v>350</v>
      </c>
      <c r="Y279" s="451">
        <f t="shared" si="480"/>
        <v>350</v>
      </c>
      <c r="AA279" s="221">
        <f t="shared" si="457"/>
        <v>2.6665592966620477</v>
      </c>
      <c r="AB279" s="177">
        <f t="shared" si="458"/>
        <v>1.1503929066313219E-4</v>
      </c>
      <c r="AC279" s="177">
        <f t="shared" si="459"/>
        <v>2.4527153110202145</v>
      </c>
      <c r="AD279" s="177"/>
      <c r="AE279" s="177">
        <f t="shared" si="460"/>
        <v>6.4712206554230591E-6</v>
      </c>
      <c r="AF279" s="555">
        <f t="shared" si="461"/>
        <v>2841.0666666666675</v>
      </c>
      <c r="AG279" s="538">
        <f t="shared" si="462"/>
        <v>7.7611695137976321E-3</v>
      </c>
      <c r="AI279" s="177">
        <f t="shared" si="463"/>
        <v>0.42736401345925235</v>
      </c>
      <c r="AJ279" s="177">
        <f t="shared" si="464"/>
        <v>0.42736401345925235</v>
      </c>
      <c r="AK279" s="177">
        <f t="shared" si="465"/>
        <v>1.3849093423061682</v>
      </c>
      <c r="AM279" s="555">
        <f t="shared" si="466"/>
        <v>63</v>
      </c>
      <c r="AN279" s="469">
        <f t="shared" si="467"/>
        <v>350</v>
      </c>
      <c r="AP279">
        <f t="shared" si="468"/>
        <v>63</v>
      </c>
      <c r="AQ279">
        <f t="shared" si="469"/>
        <v>350</v>
      </c>
      <c r="AS279" s="5">
        <f t="shared" si="479"/>
        <v>2.8571428571428572</v>
      </c>
      <c r="AT279" s="5">
        <f t="shared" si="470"/>
        <v>0.45789001442062754</v>
      </c>
      <c r="AU279" s="5">
        <f t="shared" si="440"/>
        <v>2.3992528427222295</v>
      </c>
      <c r="AV279" s="5"/>
      <c r="AW279" s="177">
        <f t="shared" si="441"/>
        <v>0.16026150504721964</v>
      </c>
      <c r="AX279" s="177"/>
      <c r="BA279" s="469">
        <f t="shared" si="471"/>
        <v>3.7498490124508512</v>
      </c>
      <c r="BB279" s="469">
        <f t="shared" si="472"/>
        <v>0.65810689819488077</v>
      </c>
      <c r="BC279" s="5">
        <f t="shared" si="442"/>
        <v>7.4976651335069658E-2</v>
      </c>
      <c r="BD279" s="469">
        <f t="shared" si="473"/>
        <v>0</v>
      </c>
      <c r="BQ279" s="538">
        <f t="shared" si="474"/>
        <v>1.80495E-2</v>
      </c>
      <c r="CG279" s="571">
        <f t="shared" si="475"/>
        <v>-50</v>
      </c>
      <c r="CH279">
        <f t="shared" si="476"/>
        <v>-50</v>
      </c>
    </row>
    <row r="280" spans="5:86" x14ac:dyDescent="0.25">
      <c r="E280" s="174">
        <v>64</v>
      </c>
      <c r="F280" s="221">
        <f t="shared" si="477"/>
        <v>6.4000000000000001E-2</v>
      </c>
      <c r="G280" s="221"/>
      <c r="H280" s="221">
        <f t="shared" ref="H280:H311" si="481">F280*Vout</f>
        <v>0.96</v>
      </c>
      <c r="I280" s="551">
        <f t="shared" ref="I280:I316" si="482">VIN_max</f>
        <v>28</v>
      </c>
      <c r="J280" s="451">
        <f t="shared" ref="J280:J316" si="483">(T280+Vfwd1)*Nps</f>
        <v>695386.58000000007</v>
      </c>
      <c r="K280" s="451">
        <f t="shared" ref="K280:K316" si="484">(Vout+Vfwd1)*Nps+I280</f>
        <v>695414.58000000007</v>
      </c>
      <c r="L280" s="451"/>
      <c r="M280" s="221">
        <f t="shared" ref="M280:M316" si="485">(Vout+Vfwd1)*Nps/((Vout+Vfwd1)*Nps+I280)</f>
        <v>0.99995973624826795</v>
      </c>
      <c r="N280" s="176">
        <f t="shared" ref="N280:N311" si="486">M280*I280*(Isw_max+VIN_max/Lmag*ILIM_delay)*0.5*Efficiency</f>
        <v>9.8024053024945204</v>
      </c>
      <c r="O280" s="176">
        <f t="shared" si="478"/>
        <v>0.96</v>
      </c>
      <c r="P280" s="221">
        <f t="shared" ref="P280:P311" si="487">N280/Vout</f>
        <v>0.65349368683296805</v>
      </c>
      <c r="Q280" s="221">
        <f t="shared" ref="Q280:Q316" si="488">MIN(Vout,N280/F280)</f>
        <v>15</v>
      </c>
      <c r="R280" s="221"/>
      <c r="S280" s="176">
        <f t="shared" ref="S280:S316" si="489">(SQRT(Isw_max^2*Nps^2*I280^2+4*Isw_max*F280/Efficiency*(Nps^2*Vfwd1*I280-Nps*I280^2)+4*(F280/Efficiency)^2*Nps^2*Vfwd1^2+8*(F280/Efficiency)^2*Nps*Vfwd1*I280+4*(F280/Efficiency)^2*I280^2)-2*F280/Efficiency*I280-2*F280/Efficiency*Nps*Vfwd1+Isw_max*Nps*I280)/(4*F280/Efficiency*Nps)</f>
        <v>147.65563807276641</v>
      </c>
      <c r="T280" s="176">
        <f t="shared" ref="T280:T311" si="490">MIN(Vout, S280)</f>
        <v>15</v>
      </c>
      <c r="U280" s="221">
        <f t="shared" ref="U280:U316" si="491">MIN(2*Vout*F280/(Efficiency*I280*M280), Isw_max)</f>
        <v>7.6193544028416535E-2</v>
      </c>
      <c r="V280" s="221">
        <f t="shared" ref="V280:V311" si="492">L*U280/I280*1000000</f>
        <v>8.1635940030446288E-2</v>
      </c>
      <c r="W280" s="221">
        <f t="shared" ref="W280:W316" si="493">L*U280/J280*1000000</f>
        <v>3.2871015728438359E-6</v>
      </c>
      <c r="X280" s="201">
        <f t="shared" ref="X280:X316" si="494">IF(1/((350000*L)*(1/I280+1/J280))&gt;Isw_min, 350, 0.001/((Isw_min*L)*(1/I280+1/J280)))</f>
        <v>350</v>
      </c>
      <c r="Y280" s="451">
        <f t="shared" si="480"/>
        <v>350</v>
      </c>
      <c r="AA280" s="221">
        <f t="shared" ref="AA280:AA316" si="495">1/((X280*1000*L)*(1/I280+1/J280))</f>
        <v>2.6665592966620477</v>
      </c>
      <c r="AB280" s="177">
        <f t="shared" ref="AB280:AB311" si="496">L*AA280/J280*1000000</f>
        <v>1.1503929066313219E-4</v>
      </c>
      <c r="AC280" s="177">
        <f t="shared" ref="AC280:AC311" si="497">0.5*AB280*AA280*Nps*X280/1000</f>
        <v>2.4527153110202145</v>
      </c>
      <c r="AD280" s="177"/>
      <c r="AE280" s="177">
        <f t="shared" ref="AE280:AE316" si="498">L*Isw_min/J280*1000000</f>
        <v>6.4712206554230591E-6</v>
      </c>
      <c r="AF280" s="555">
        <f t="shared" ref="AF280:AF311" si="499">MAX(12000,F280/(0.5*AE280/1000000*Isw_min*Nps))/1000</f>
        <v>2886.1629629629638</v>
      </c>
      <c r="AG280" s="538">
        <f t="shared" ref="AG280:AG316" si="500">0.5*AE280/1000000*Isw_min*Nps*X280*1000</f>
        <v>7.7611695137976321E-3</v>
      </c>
      <c r="AI280" s="177">
        <f t="shared" ref="AI280:AI316" si="501">SQRT(F280/(0.5*L/J280*Fsw_DCM*Nps))</f>
        <v>0.43074243768062559</v>
      </c>
      <c r="AJ280" s="177">
        <f t="shared" ref="AJ280:AJ311" si="502">MAX(IF(F280&gt;AC280,U280,AI280),Isw_min)</f>
        <v>0.43074243768062559</v>
      </c>
      <c r="AK280" s="177">
        <f t="shared" ref="AK280:AK311" si="503">IF(F280&gt;AG280, (AJ280-Isw_min)/1.2*0.8+1.2, AF280*0.2/350+1)</f>
        <v>1.3871616251204171</v>
      </c>
      <c r="AM280" s="555">
        <f t="shared" ref="AM280:AM316" si="504">F280*1000</f>
        <v>64</v>
      </c>
      <c r="AN280" s="469">
        <f t="shared" ref="AN280:AN316" si="505">IF(F280&gt;AG280, Y280, AF280)</f>
        <v>350</v>
      </c>
      <c r="AP280">
        <f t="shared" ref="AP280:AP316" si="506">IF(H280&gt;N280, "",AM280)</f>
        <v>64</v>
      </c>
      <c r="AQ280">
        <f t="shared" ref="AQ280:AQ316" si="507">IF(H280&gt;N280, "",AN280)</f>
        <v>350</v>
      </c>
      <c r="AS280" s="5">
        <f t="shared" si="479"/>
        <v>2.8571428571428572</v>
      </c>
      <c r="AT280" s="5">
        <f t="shared" ref="AT280:AT316" si="508">L*AJ280/I280*1000000</f>
        <v>0.46150975465781319</v>
      </c>
      <c r="AU280" s="5">
        <f t="shared" si="440"/>
        <v>2.3956331024850441</v>
      </c>
      <c r="AV280" s="5"/>
      <c r="AW280" s="177">
        <f t="shared" si="441"/>
        <v>0.16152841413023461</v>
      </c>
      <c r="AX280" s="177"/>
      <c r="BA280" s="469">
        <f t="shared" ref="BA280:BA316" si="509">L*Isw_max^2/(2*Vout_ripple*Vout)*1000000000*((1+M280)/2)^2</f>
        <v>3.7498490124508512</v>
      </c>
      <c r="BB280" s="469">
        <f t="shared" ref="BB280:BB316" si="510">L*F280^2/(2*Cout*Vout*Nps^2)*1000000000*((1+M280)/(1-M280))^2+F280*RCoutEsr</f>
        <v>0.67611737339537203</v>
      </c>
      <c r="BC280" s="5">
        <f t="shared" si="442"/>
        <v>7.6051844523334716E-2</v>
      </c>
      <c r="BD280" s="469">
        <f t="shared" ref="BD280:BD316" si="511">((CB280/I280/Efficiency)*AU280/Cin+(CB280/I280/Efficiency)*RCinEsr)*1000</f>
        <v>0</v>
      </c>
      <c r="BQ280" s="538">
        <f t="shared" ref="BQ280:BQ316" si="512">(Vfwd2*F280+BG280^2*Rdiode)*(1+Diode_TC/1000*(Ta-25))</f>
        <v>1.8335999999999998E-2</v>
      </c>
      <c r="CG280" s="571">
        <f t="shared" ref="CG280:CG316" si="513">IF(ABS(F280-Ioutmax_Vinmax)&lt;Iout/200, AN280, -50)</f>
        <v>-50</v>
      </c>
      <c r="CH280">
        <f t="shared" ref="CH280:CH316" si="514">IF(ABS(F280-Ioutmax_Vinmin)&lt;Iout/200, N280*CC280, -50)</f>
        <v>-50</v>
      </c>
    </row>
    <row r="281" spans="5:86" x14ac:dyDescent="0.25">
      <c r="E281" s="174">
        <v>65</v>
      </c>
      <c r="F281" s="221">
        <f t="shared" ref="F281:F312" si="515">IF(PLOT_TYPE=1, E281/100*Iout_max, min_I*EXP(N281*rr/100))</f>
        <v>6.5000000000000002E-2</v>
      </c>
      <c r="G281" s="221"/>
      <c r="H281" s="221">
        <f t="shared" si="481"/>
        <v>0.97500000000000009</v>
      </c>
      <c r="I281" s="551">
        <f t="shared" si="482"/>
        <v>28</v>
      </c>
      <c r="J281" s="451">
        <f t="shared" si="483"/>
        <v>695386.58000000007</v>
      </c>
      <c r="K281" s="451">
        <f t="shared" si="484"/>
        <v>695414.58000000007</v>
      </c>
      <c r="L281" s="451"/>
      <c r="M281" s="221">
        <f t="shared" si="485"/>
        <v>0.99995973624826795</v>
      </c>
      <c r="N281" s="176">
        <f t="shared" si="486"/>
        <v>9.8024053024945204</v>
      </c>
      <c r="O281" s="176">
        <f t="shared" si="478"/>
        <v>0.97500000000000009</v>
      </c>
      <c r="P281" s="221">
        <f t="shared" si="487"/>
        <v>0.65349368683296805</v>
      </c>
      <c r="Q281" s="221">
        <f t="shared" si="488"/>
        <v>15</v>
      </c>
      <c r="R281" s="221"/>
      <c r="S281" s="176">
        <f t="shared" si="489"/>
        <v>145.38400347160629</v>
      </c>
      <c r="T281" s="176">
        <f t="shared" si="490"/>
        <v>15</v>
      </c>
      <c r="U281" s="221">
        <f t="shared" si="491"/>
        <v>7.738406815386055E-2</v>
      </c>
      <c r="V281" s="221">
        <f t="shared" si="492"/>
        <v>8.2911501593422032E-2</v>
      </c>
      <c r="W281" s="221">
        <f t="shared" si="493"/>
        <v>3.3384625349195213E-6</v>
      </c>
      <c r="X281" s="201">
        <f t="shared" si="494"/>
        <v>350</v>
      </c>
      <c r="Y281" s="451">
        <f t="shared" si="480"/>
        <v>350</v>
      </c>
      <c r="AA281" s="221">
        <f t="shared" si="495"/>
        <v>2.6665592966620477</v>
      </c>
      <c r="AB281" s="177">
        <f t="shared" si="496"/>
        <v>1.1503929066313219E-4</v>
      </c>
      <c r="AC281" s="177">
        <f t="shared" si="497"/>
        <v>2.4527153110202145</v>
      </c>
      <c r="AD281" s="177"/>
      <c r="AE281" s="177">
        <f t="shared" si="498"/>
        <v>6.4712206554230591E-6</v>
      </c>
      <c r="AF281" s="555">
        <f t="shared" si="499"/>
        <v>2931.25925925926</v>
      </c>
      <c r="AG281" s="538">
        <f t="shared" si="500"/>
        <v>7.7611695137976321E-3</v>
      </c>
      <c r="AI281" s="177">
        <f t="shared" si="501"/>
        <v>0.43409456946395358</v>
      </c>
      <c r="AJ281" s="177">
        <f t="shared" si="502"/>
        <v>0.43409456946395358</v>
      </c>
      <c r="AK281" s="177">
        <f t="shared" si="503"/>
        <v>1.3893963796426356</v>
      </c>
      <c r="AM281" s="555">
        <f t="shared" si="504"/>
        <v>65</v>
      </c>
      <c r="AN281" s="469">
        <f t="shared" si="505"/>
        <v>350</v>
      </c>
      <c r="AP281">
        <f t="shared" si="506"/>
        <v>65</v>
      </c>
      <c r="AQ281">
        <f t="shared" si="507"/>
        <v>350</v>
      </c>
      <c r="AS281" s="5">
        <f t="shared" si="479"/>
        <v>2.8571428571428572</v>
      </c>
      <c r="AT281" s="5">
        <f t="shared" si="508"/>
        <v>0.4651013244256646</v>
      </c>
      <c r="AU281" s="5">
        <f t="shared" si="440"/>
        <v>2.3920415327171924</v>
      </c>
      <c r="AV281" s="5"/>
      <c r="AW281" s="177">
        <f t="shared" si="441"/>
        <v>0.1627854635489826</v>
      </c>
      <c r="AX281" s="177"/>
      <c r="BA281" s="469">
        <f t="shared" si="509"/>
        <v>3.7498490124508512</v>
      </c>
      <c r="BB281" s="469">
        <f t="shared" si="510"/>
        <v>0.69436423403209158</v>
      </c>
      <c r="BC281" s="5">
        <f t="shared" si="442"/>
        <v>7.712435497352059E-2</v>
      </c>
      <c r="BD281" s="469">
        <f t="shared" si="511"/>
        <v>0</v>
      </c>
      <c r="BQ281" s="538">
        <f t="shared" si="512"/>
        <v>1.86225E-2</v>
      </c>
      <c r="CG281" s="571">
        <f t="shared" si="513"/>
        <v>-50</v>
      </c>
      <c r="CH281">
        <f t="shared" si="514"/>
        <v>-50</v>
      </c>
    </row>
    <row r="282" spans="5:86" x14ac:dyDescent="0.25">
      <c r="E282" s="174">
        <v>66</v>
      </c>
      <c r="F282" s="221">
        <f t="shared" si="515"/>
        <v>6.6000000000000003E-2</v>
      </c>
      <c r="G282" s="221"/>
      <c r="H282" s="221">
        <f t="shared" si="481"/>
        <v>0.99</v>
      </c>
      <c r="I282" s="551">
        <f t="shared" si="482"/>
        <v>28</v>
      </c>
      <c r="J282" s="451">
        <f t="shared" si="483"/>
        <v>695386.58000000007</v>
      </c>
      <c r="K282" s="451">
        <f t="shared" si="484"/>
        <v>695414.58000000007</v>
      </c>
      <c r="L282" s="451"/>
      <c r="M282" s="221">
        <f t="shared" si="485"/>
        <v>0.99995973624826795</v>
      </c>
      <c r="N282" s="176">
        <f t="shared" si="486"/>
        <v>9.8024053024945204</v>
      </c>
      <c r="O282" s="176">
        <f t="shared" si="478"/>
        <v>0.99</v>
      </c>
      <c r="P282" s="221">
        <f t="shared" si="487"/>
        <v>0.65349368683296805</v>
      </c>
      <c r="Q282" s="221">
        <f t="shared" si="488"/>
        <v>15</v>
      </c>
      <c r="R282" s="221"/>
      <c r="S282" s="176">
        <f t="shared" si="489"/>
        <v>143.18120628303296</v>
      </c>
      <c r="T282" s="176">
        <f t="shared" si="490"/>
        <v>15</v>
      </c>
      <c r="U282" s="221">
        <f t="shared" si="491"/>
        <v>7.857459227930455E-2</v>
      </c>
      <c r="V282" s="221">
        <f t="shared" si="492"/>
        <v>8.4187063156397721E-2</v>
      </c>
      <c r="W282" s="221">
        <f t="shared" si="493"/>
        <v>3.3898234969952055E-6</v>
      </c>
      <c r="X282" s="201">
        <f t="shared" si="494"/>
        <v>350</v>
      </c>
      <c r="Y282" s="451">
        <f t="shared" si="480"/>
        <v>350</v>
      </c>
      <c r="AA282" s="221">
        <f t="shared" si="495"/>
        <v>2.6665592966620477</v>
      </c>
      <c r="AB282" s="177">
        <f t="shared" si="496"/>
        <v>1.1503929066313219E-4</v>
      </c>
      <c r="AC282" s="177">
        <f t="shared" si="497"/>
        <v>2.4527153110202145</v>
      </c>
      <c r="AD282" s="177"/>
      <c r="AE282" s="177">
        <f t="shared" si="498"/>
        <v>6.4712206554230591E-6</v>
      </c>
      <c r="AF282" s="555">
        <f t="shared" si="499"/>
        <v>2976.3555555555563</v>
      </c>
      <c r="AG282" s="538">
        <f t="shared" si="500"/>
        <v>7.7611695137976321E-3</v>
      </c>
      <c r="AI282" s="177">
        <f t="shared" si="501"/>
        <v>0.43742101327798927</v>
      </c>
      <c r="AJ282" s="177">
        <f t="shared" si="502"/>
        <v>0.43742101327798927</v>
      </c>
      <c r="AK282" s="177">
        <f t="shared" si="503"/>
        <v>1.3916140088519928</v>
      </c>
      <c r="AM282" s="555">
        <f t="shared" si="504"/>
        <v>66</v>
      </c>
      <c r="AN282" s="469">
        <f t="shared" si="505"/>
        <v>350</v>
      </c>
      <c r="AP282">
        <f t="shared" si="506"/>
        <v>66</v>
      </c>
      <c r="AQ282">
        <f t="shared" si="507"/>
        <v>350</v>
      </c>
      <c r="AS282" s="5">
        <f t="shared" si="479"/>
        <v>2.8571428571428572</v>
      </c>
      <c r="AT282" s="5">
        <f t="shared" si="508"/>
        <v>0.46866537136927428</v>
      </c>
      <c r="AU282" s="5">
        <f t="shared" si="440"/>
        <v>2.3884774857735831</v>
      </c>
      <c r="AV282" s="5"/>
      <c r="AW282" s="177">
        <f t="shared" si="441"/>
        <v>0.16403287997924598</v>
      </c>
      <c r="AX282" s="177"/>
      <c r="BA282" s="469">
        <f t="shared" si="509"/>
        <v>3.7498490124508512</v>
      </c>
      <c r="BB282" s="469">
        <f t="shared" si="510"/>
        <v>0.71284748010503929</v>
      </c>
      <c r="BC282" s="5">
        <f t="shared" si="442"/>
        <v>7.8194203403301799E-2</v>
      </c>
      <c r="BD282" s="469">
        <f t="shared" si="511"/>
        <v>0</v>
      </c>
      <c r="BQ282" s="538">
        <f t="shared" si="512"/>
        <v>1.8909000000000002E-2</v>
      </c>
      <c r="CG282" s="571">
        <f t="shared" si="513"/>
        <v>-50</v>
      </c>
      <c r="CH282">
        <f t="shared" si="514"/>
        <v>-50</v>
      </c>
    </row>
    <row r="283" spans="5:86" x14ac:dyDescent="0.25">
      <c r="E283" s="174">
        <v>67</v>
      </c>
      <c r="F283" s="221">
        <f t="shared" si="515"/>
        <v>6.7000000000000004E-2</v>
      </c>
      <c r="G283" s="221"/>
      <c r="H283" s="221">
        <f t="shared" si="481"/>
        <v>1.0050000000000001</v>
      </c>
      <c r="I283" s="551">
        <f t="shared" si="482"/>
        <v>28</v>
      </c>
      <c r="J283" s="451">
        <f t="shared" si="483"/>
        <v>695386.58000000007</v>
      </c>
      <c r="K283" s="451">
        <f t="shared" si="484"/>
        <v>695414.58000000007</v>
      </c>
      <c r="L283" s="451"/>
      <c r="M283" s="221">
        <f t="shared" si="485"/>
        <v>0.99995973624826795</v>
      </c>
      <c r="N283" s="176">
        <f t="shared" si="486"/>
        <v>9.8024053024945204</v>
      </c>
      <c r="O283" s="176">
        <f t="shared" si="478"/>
        <v>1.0050000000000001</v>
      </c>
      <c r="P283" s="221">
        <f t="shared" si="487"/>
        <v>0.65349368683296805</v>
      </c>
      <c r="Q283" s="221">
        <f t="shared" si="488"/>
        <v>15</v>
      </c>
      <c r="R283" s="221"/>
      <c r="S283" s="176">
        <f t="shared" si="489"/>
        <v>141.04416423484096</v>
      </c>
      <c r="T283" s="176">
        <f t="shared" si="490"/>
        <v>15</v>
      </c>
      <c r="U283" s="221">
        <f t="shared" si="491"/>
        <v>7.9765116404748579E-2</v>
      </c>
      <c r="V283" s="221">
        <f t="shared" si="492"/>
        <v>8.5462624719373478E-2</v>
      </c>
      <c r="W283" s="221">
        <f t="shared" si="493"/>
        <v>3.4411844590708914E-6</v>
      </c>
      <c r="X283" s="201">
        <f t="shared" si="494"/>
        <v>350</v>
      </c>
      <c r="Y283" s="451">
        <f t="shared" si="480"/>
        <v>350</v>
      </c>
      <c r="AA283" s="221">
        <f t="shared" si="495"/>
        <v>2.6665592966620477</v>
      </c>
      <c r="AB283" s="177">
        <f t="shared" si="496"/>
        <v>1.1503929066313219E-4</v>
      </c>
      <c r="AC283" s="177">
        <f t="shared" si="497"/>
        <v>2.4527153110202145</v>
      </c>
      <c r="AD283" s="177"/>
      <c r="AE283" s="177">
        <f t="shared" si="498"/>
        <v>6.4712206554230591E-6</v>
      </c>
      <c r="AF283" s="555">
        <f t="shared" si="499"/>
        <v>3021.4518518518526</v>
      </c>
      <c r="AG283" s="538">
        <f t="shared" si="500"/>
        <v>7.7611695137976321E-3</v>
      </c>
      <c r="AI283" s="177">
        <f t="shared" si="501"/>
        <v>0.44072235077902561</v>
      </c>
      <c r="AJ283" s="177">
        <f t="shared" si="502"/>
        <v>0.44072235077902561</v>
      </c>
      <c r="AK283" s="177">
        <f t="shared" si="503"/>
        <v>1.3938149005193505</v>
      </c>
      <c r="AM283" s="555">
        <f t="shared" si="504"/>
        <v>67</v>
      </c>
      <c r="AN283" s="469">
        <f t="shared" si="505"/>
        <v>350</v>
      </c>
      <c r="AP283">
        <f t="shared" si="506"/>
        <v>67</v>
      </c>
      <c r="AQ283">
        <f t="shared" si="507"/>
        <v>350</v>
      </c>
      <c r="AS283" s="5">
        <f t="shared" si="479"/>
        <v>2.8571428571428572</v>
      </c>
      <c r="AT283" s="5">
        <f t="shared" si="508"/>
        <v>0.47220251869181318</v>
      </c>
      <c r="AU283" s="5">
        <f t="shared" si="440"/>
        <v>2.3849403384510439</v>
      </c>
      <c r="AV283" s="5"/>
      <c r="AW283" s="177">
        <f t="shared" si="441"/>
        <v>0.1652708815421346</v>
      </c>
      <c r="AX283" s="177"/>
      <c r="BA283" s="469">
        <f t="shared" si="509"/>
        <v>3.7498490124508512</v>
      </c>
      <c r="BB283" s="469">
        <f t="shared" si="510"/>
        <v>0.73156711161421528</v>
      </c>
      <c r="BC283" s="5">
        <f t="shared" si="442"/>
        <v>7.9261410057648779E-2</v>
      </c>
      <c r="BD283" s="469">
        <f t="shared" si="511"/>
        <v>0</v>
      </c>
      <c r="BQ283" s="538">
        <f t="shared" si="512"/>
        <v>1.9195499999999997E-2</v>
      </c>
      <c r="CG283" s="571">
        <f t="shared" si="513"/>
        <v>-50</v>
      </c>
      <c r="CH283">
        <f t="shared" si="514"/>
        <v>-50</v>
      </c>
    </row>
    <row r="284" spans="5:86" x14ac:dyDescent="0.25">
      <c r="E284" s="174">
        <v>68</v>
      </c>
      <c r="F284" s="221">
        <f t="shared" si="515"/>
        <v>6.8000000000000005E-2</v>
      </c>
      <c r="G284" s="221"/>
      <c r="H284" s="221">
        <f t="shared" si="481"/>
        <v>1.02</v>
      </c>
      <c r="I284" s="551">
        <f t="shared" si="482"/>
        <v>28</v>
      </c>
      <c r="J284" s="451">
        <f t="shared" si="483"/>
        <v>695386.58000000007</v>
      </c>
      <c r="K284" s="451">
        <f t="shared" si="484"/>
        <v>695414.58000000007</v>
      </c>
      <c r="L284" s="451"/>
      <c r="M284" s="221">
        <f t="shared" si="485"/>
        <v>0.99995973624826795</v>
      </c>
      <c r="N284" s="176">
        <f t="shared" si="486"/>
        <v>9.8024053024945204</v>
      </c>
      <c r="O284" s="176">
        <f t="shared" si="478"/>
        <v>1.02</v>
      </c>
      <c r="P284" s="221">
        <f t="shared" si="487"/>
        <v>0.65349368683296805</v>
      </c>
      <c r="Q284" s="221">
        <f t="shared" si="488"/>
        <v>15</v>
      </c>
      <c r="R284" s="221"/>
      <c r="S284" s="176">
        <f t="shared" si="489"/>
        <v>138.96997636495465</v>
      </c>
      <c r="T284" s="176">
        <f t="shared" si="490"/>
        <v>15</v>
      </c>
      <c r="U284" s="221">
        <f t="shared" si="491"/>
        <v>8.095564053019258E-2</v>
      </c>
      <c r="V284" s="221">
        <f t="shared" si="492"/>
        <v>8.6738186282349194E-2</v>
      </c>
      <c r="W284" s="221">
        <f t="shared" si="493"/>
        <v>3.492545421146576E-6</v>
      </c>
      <c r="X284" s="201">
        <f t="shared" si="494"/>
        <v>350</v>
      </c>
      <c r="Y284" s="451">
        <f t="shared" si="480"/>
        <v>350</v>
      </c>
      <c r="AA284" s="221">
        <f t="shared" si="495"/>
        <v>2.6665592966620477</v>
      </c>
      <c r="AB284" s="177">
        <f t="shared" si="496"/>
        <v>1.1503929066313219E-4</v>
      </c>
      <c r="AC284" s="177">
        <f t="shared" si="497"/>
        <v>2.4527153110202145</v>
      </c>
      <c r="AD284" s="177"/>
      <c r="AE284" s="177">
        <f t="shared" si="498"/>
        <v>6.4712206554230591E-6</v>
      </c>
      <c r="AF284" s="555">
        <f t="shared" si="499"/>
        <v>3066.5481481481493</v>
      </c>
      <c r="AG284" s="538">
        <f t="shared" si="500"/>
        <v>7.7611695137976321E-3</v>
      </c>
      <c r="AI284" s="177">
        <f t="shared" si="501"/>
        <v>0.44399914199831303</v>
      </c>
      <c r="AJ284" s="177">
        <f t="shared" si="502"/>
        <v>0.44399914199831303</v>
      </c>
      <c r="AK284" s="177">
        <f t="shared" si="503"/>
        <v>1.3959994279988752</v>
      </c>
      <c r="AM284" s="555">
        <f t="shared" si="504"/>
        <v>68</v>
      </c>
      <c r="AN284" s="469">
        <f t="shared" si="505"/>
        <v>350</v>
      </c>
      <c r="AP284">
        <f t="shared" si="506"/>
        <v>68</v>
      </c>
      <c r="AQ284">
        <f t="shared" si="507"/>
        <v>350</v>
      </c>
      <c r="AS284" s="5">
        <f t="shared" si="479"/>
        <v>2.8571428571428572</v>
      </c>
      <c r="AT284" s="5">
        <f t="shared" si="508"/>
        <v>0.47571336642676393</v>
      </c>
      <c r="AU284" s="5">
        <f t="shared" si="440"/>
        <v>2.3814294907160933</v>
      </c>
      <c r="AV284" s="5"/>
      <c r="AW284" s="177">
        <f t="shared" si="441"/>
        <v>0.16649967824936737</v>
      </c>
      <c r="AX284" s="177"/>
      <c r="BA284" s="469">
        <f t="shared" si="509"/>
        <v>3.7498490124508512</v>
      </c>
      <c r="BB284" s="469">
        <f t="shared" si="510"/>
        <v>0.75052312855961922</v>
      </c>
      <c r="BC284" s="5">
        <f t="shared" si="442"/>
        <v>8.0325994726534886E-2</v>
      </c>
      <c r="BD284" s="469">
        <f t="shared" si="511"/>
        <v>0</v>
      </c>
      <c r="BQ284" s="538">
        <f t="shared" si="512"/>
        <v>1.9481999999999999E-2</v>
      </c>
      <c r="CG284" s="571">
        <f t="shared" si="513"/>
        <v>-50</v>
      </c>
      <c r="CH284">
        <f t="shared" si="514"/>
        <v>-50</v>
      </c>
    </row>
    <row r="285" spans="5:86" x14ac:dyDescent="0.25">
      <c r="E285" s="174">
        <v>69</v>
      </c>
      <c r="F285" s="221">
        <f t="shared" si="515"/>
        <v>6.8999999999999992E-2</v>
      </c>
      <c r="G285" s="221"/>
      <c r="H285" s="221">
        <f t="shared" si="481"/>
        <v>1.0349999999999999</v>
      </c>
      <c r="I285" s="551">
        <f t="shared" si="482"/>
        <v>28</v>
      </c>
      <c r="J285" s="451">
        <f t="shared" si="483"/>
        <v>695386.58000000007</v>
      </c>
      <c r="K285" s="451">
        <f t="shared" si="484"/>
        <v>695414.58000000007</v>
      </c>
      <c r="L285" s="451"/>
      <c r="M285" s="221">
        <f t="shared" si="485"/>
        <v>0.99995973624826795</v>
      </c>
      <c r="N285" s="176">
        <f t="shared" si="486"/>
        <v>9.8024053024945204</v>
      </c>
      <c r="O285" s="176">
        <f t="shared" si="478"/>
        <v>1.0349999999999999</v>
      </c>
      <c r="P285" s="221">
        <f t="shared" si="487"/>
        <v>0.65349368683296805</v>
      </c>
      <c r="Q285" s="221">
        <f t="shared" si="488"/>
        <v>15</v>
      </c>
      <c r="R285" s="221"/>
      <c r="S285" s="176">
        <f t="shared" si="489"/>
        <v>136.95590988301288</v>
      </c>
      <c r="T285" s="176">
        <f t="shared" si="490"/>
        <v>15</v>
      </c>
      <c r="U285" s="221">
        <f t="shared" si="491"/>
        <v>8.214616465563658E-2</v>
      </c>
      <c r="V285" s="221">
        <f t="shared" si="492"/>
        <v>8.8013747845324911E-2</v>
      </c>
      <c r="W285" s="221">
        <f t="shared" si="493"/>
        <v>3.5439063832222606E-6</v>
      </c>
      <c r="X285" s="201">
        <f t="shared" si="494"/>
        <v>350</v>
      </c>
      <c r="Y285" s="451">
        <f t="shared" si="480"/>
        <v>350</v>
      </c>
      <c r="AA285" s="221">
        <f t="shared" si="495"/>
        <v>2.6665592966620477</v>
      </c>
      <c r="AB285" s="177">
        <f t="shared" si="496"/>
        <v>1.1503929066313219E-4</v>
      </c>
      <c r="AC285" s="177">
        <f t="shared" si="497"/>
        <v>2.4527153110202145</v>
      </c>
      <c r="AD285" s="177"/>
      <c r="AE285" s="177">
        <f t="shared" si="498"/>
        <v>6.4712206554230591E-6</v>
      </c>
      <c r="AF285" s="555">
        <f t="shared" si="499"/>
        <v>3111.6444444444451</v>
      </c>
      <c r="AG285" s="538">
        <f t="shared" si="500"/>
        <v>7.7611695137976321E-3</v>
      </c>
      <c r="AI285" s="177">
        <f t="shared" si="501"/>
        <v>0.44725192645117323</v>
      </c>
      <c r="AJ285" s="177">
        <f t="shared" si="502"/>
        <v>0.44725192645117323</v>
      </c>
      <c r="AK285" s="177">
        <f t="shared" si="503"/>
        <v>1.3981679509674487</v>
      </c>
      <c r="AM285" s="555">
        <f t="shared" si="504"/>
        <v>68.999999999999986</v>
      </c>
      <c r="AN285" s="469">
        <f t="shared" si="505"/>
        <v>350</v>
      </c>
      <c r="AP285">
        <f t="shared" si="506"/>
        <v>68.999999999999986</v>
      </c>
      <c r="AQ285">
        <f t="shared" si="507"/>
        <v>350</v>
      </c>
      <c r="AS285" s="5">
        <f t="shared" si="479"/>
        <v>2.8571428571428572</v>
      </c>
      <c r="AT285" s="5">
        <f t="shared" si="508"/>
        <v>0.47919849262625702</v>
      </c>
      <c r="AU285" s="5">
        <f t="shared" si="440"/>
        <v>2.3779443645166003</v>
      </c>
      <c r="AV285" s="5"/>
      <c r="AW285" s="177">
        <f t="shared" si="441"/>
        <v>0.16771947241918994</v>
      </c>
      <c r="AX285" s="177"/>
      <c r="BA285" s="469">
        <f t="shared" si="509"/>
        <v>3.7498490124508512</v>
      </c>
      <c r="BB285" s="469">
        <f t="shared" si="510"/>
        <v>0.76971553094125145</v>
      </c>
      <c r="BC285" s="5">
        <f t="shared" si="442"/>
        <v>8.1387976761728875E-2</v>
      </c>
      <c r="BD285" s="469">
        <f t="shared" si="511"/>
        <v>0</v>
      </c>
      <c r="BQ285" s="538">
        <f t="shared" si="512"/>
        <v>1.9768499999999994E-2</v>
      </c>
      <c r="CG285" s="571">
        <f t="shared" si="513"/>
        <v>-50</v>
      </c>
      <c r="CH285">
        <f t="shared" si="514"/>
        <v>-50</v>
      </c>
    </row>
    <row r="286" spans="5:86" x14ac:dyDescent="0.25">
      <c r="E286" s="174">
        <v>70</v>
      </c>
      <c r="F286" s="221">
        <f t="shared" si="515"/>
        <v>6.9999999999999993E-2</v>
      </c>
      <c r="G286" s="221"/>
      <c r="H286" s="221">
        <f t="shared" si="481"/>
        <v>1.0499999999999998</v>
      </c>
      <c r="I286" s="551">
        <f t="shared" si="482"/>
        <v>28</v>
      </c>
      <c r="J286" s="451">
        <f t="shared" si="483"/>
        <v>695386.58000000007</v>
      </c>
      <c r="K286" s="451">
        <f t="shared" si="484"/>
        <v>695414.58000000007</v>
      </c>
      <c r="L286" s="451"/>
      <c r="M286" s="221">
        <f t="shared" si="485"/>
        <v>0.99995973624826795</v>
      </c>
      <c r="N286" s="176">
        <f t="shared" si="486"/>
        <v>9.8024053024945204</v>
      </c>
      <c r="O286" s="176">
        <f t="shared" si="478"/>
        <v>1.0499999999999998</v>
      </c>
      <c r="P286" s="221">
        <f t="shared" si="487"/>
        <v>0.65349368683296805</v>
      </c>
      <c r="Q286" s="221">
        <f t="shared" si="488"/>
        <v>15</v>
      </c>
      <c r="R286" s="221"/>
      <c r="S286" s="176">
        <f t="shared" si="489"/>
        <v>134.99938815810367</v>
      </c>
      <c r="T286" s="176">
        <f t="shared" si="490"/>
        <v>15</v>
      </c>
      <c r="U286" s="221">
        <f t="shared" si="491"/>
        <v>8.3336688781080581E-2</v>
      </c>
      <c r="V286" s="221">
        <f t="shared" si="492"/>
        <v>8.9289309408300627E-2</v>
      </c>
      <c r="W286" s="221">
        <f t="shared" si="493"/>
        <v>3.5952673452979453E-6</v>
      </c>
      <c r="X286" s="201">
        <f t="shared" si="494"/>
        <v>350</v>
      </c>
      <c r="Y286" s="451">
        <f t="shared" si="480"/>
        <v>350</v>
      </c>
      <c r="AA286" s="221">
        <f t="shared" si="495"/>
        <v>2.6665592966620477</v>
      </c>
      <c r="AB286" s="177">
        <f t="shared" si="496"/>
        <v>1.1503929066313219E-4</v>
      </c>
      <c r="AC286" s="177">
        <f t="shared" si="497"/>
        <v>2.4527153110202145</v>
      </c>
      <c r="AD286" s="177"/>
      <c r="AE286" s="177">
        <f t="shared" si="498"/>
        <v>6.4712206554230591E-6</v>
      </c>
      <c r="AF286" s="555">
        <f t="shared" si="499"/>
        <v>3156.7407407407413</v>
      </c>
      <c r="AG286" s="538">
        <f t="shared" si="500"/>
        <v>7.7611695137976321E-3</v>
      </c>
      <c r="AI286" s="177">
        <f t="shared" si="501"/>
        <v>0.45048122417403075</v>
      </c>
      <c r="AJ286" s="177">
        <f t="shared" si="502"/>
        <v>0.45048122417403075</v>
      </c>
      <c r="AK286" s="177">
        <f t="shared" si="503"/>
        <v>1.4003208161160206</v>
      </c>
      <c r="AM286" s="555">
        <f t="shared" si="504"/>
        <v>69.999999999999986</v>
      </c>
      <c r="AN286" s="469">
        <f t="shared" si="505"/>
        <v>350</v>
      </c>
      <c r="AP286">
        <f t="shared" si="506"/>
        <v>69.999999999999986</v>
      </c>
      <c r="AQ286">
        <f t="shared" si="507"/>
        <v>350</v>
      </c>
      <c r="AS286" s="5">
        <f t="shared" si="479"/>
        <v>2.8571428571428572</v>
      </c>
      <c r="AT286" s="5">
        <f t="shared" si="508"/>
        <v>0.48265845447217576</v>
      </c>
      <c r="AU286" s="5">
        <f t="shared" si="440"/>
        <v>2.3744844026706815</v>
      </c>
      <c r="AV286" s="5"/>
      <c r="AW286" s="177">
        <f t="shared" si="441"/>
        <v>0.16893045906526152</v>
      </c>
      <c r="AX286" s="177"/>
      <c r="BA286" s="469">
        <f t="shared" si="509"/>
        <v>3.7498490124508512</v>
      </c>
      <c r="BB286" s="469">
        <f t="shared" si="510"/>
        <v>0.78914431875911195</v>
      </c>
      <c r="BC286" s="5">
        <f t="shared" si="442"/>
        <v>8.2447375092731978E-2</v>
      </c>
      <c r="BD286" s="469">
        <f t="shared" si="511"/>
        <v>0</v>
      </c>
      <c r="BQ286" s="538">
        <f t="shared" si="512"/>
        <v>2.0054999999999996E-2</v>
      </c>
      <c r="CG286" s="571">
        <f t="shared" si="513"/>
        <v>-50</v>
      </c>
      <c r="CH286">
        <f t="shared" si="514"/>
        <v>-50</v>
      </c>
    </row>
    <row r="287" spans="5:86" x14ac:dyDescent="0.25">
      <c r="E287" s="174">
        <v>71</v>
      </c>
      <c r="F287" s="221">
        <f t="shared" si="515"/>
        <v>7.0999999999999994E-2</v>
      </c>
      <c r="G287" s="221"/>
      <c r="H287" s="221">
        <f t="shared" si="481"/>
        <v>1.0649999999999999</v>
      </c>
      <c r="I287" s="551">
        <f t="shared" si="482"/>
        <v>28</v>
      </c>
      <c r="J287" s="451">
        <f t="shared" si="483"/>
        <v>695386.58000000007</v>
      </c>
      <c r="K287" s="451">
        <f t="shared" si="484"/>
        <v>695414.58000000007</v>
      </c>
      <c r="L287" s="451"/>
      <c r="M287" s="221">
        <f t="shared" si="485"/>
        <v>0.99995973624826795</v>
      </c>
      <c r="N287" s="176">
        <f t="shared" si="486"/>
        <v>9.8024053024945204</v>
      </c>
      <c r="O287" s="176">
        <f t="shared" si="478"/>
        <v>1.0649999999999999</v>
      </c>
      <c r="P287" s="221">
        <f t="shared" si="487"/>
        <v>0.65349368683296805</v>
      </c>
      <c r="Q287" s="221">
        <f t="shared" si="488"/>
        <v>15</v>
      </c>
      <c r="R287" s="221"/>
      <c r="S287" s="176">
        <f t="shared" si="489"/>
        <v>133.09797972161999</v>
      </c>
      <c r="T287" s="176">
        <f t="shared" si="490"/>
        <v>15</v>
      </c>
      <c r="U287" s="221">
        <f t="shared" si="491"/>
        <v>8.4527212906524596E-2</v>
      </c>
      <c r="V287" s="221">
        <f t="shared" si="492"/>
        <v>9.0564870971276357E-2</v>
      </c>
      <c r="W287" s="221">
        <f t="shared" si="493"/>
        <v>3.6466283073736307E-6</v>
      </c>
      <c r="X287" s="201">
        <f t="shared" si="494"/>
        <v>350</v>
      </c>
      <c r="Y287" s="451">
        <f t="shared" si="480"/>
        <v>350</v>
      </c>
      <c r="AA287" s="221">
        <f t="shared" si="495"/>
        <v>2.6665592966620477</v>
      </c>
      <c r="AB287" s="177">
        <f t="shared" si="496"/>
        <v>1.1503929066313219E-4</v>
      </c>
      <c r="AC287" s="177">
        <f t="shared" si="497"/>
        <v>2.4527153110202145</v>
      </c>
      <c r="AD287" s="177"/>
      <c r="AE287" s="177">
        <f t="shared" si="498"/>
        <v>6.4712206554230591E-6</v>
      </c>
      <c r="AF287" s="555">
        <f t="shared" si="499"/>
        <v>3201.8370370370376</v>
      </c>
      <c r="AG287" s="538">
        <f t="shared" si="500"/>
        <v>7.7611695137976321E-3</v>
      </c>
      <c r="AI287" s="177">
        <f t="shared" si="501"/>
        <v>0.45368753669500439</v>
      </c>
      <c r="AJ287" s="177">
        <f t="shared" si="502"/>
        <v>0.45368753669500439</v>
      </c>
      <c r="AK287" s="177">
        <f t="shared" si="503"/>
        <v>1.4024583577966696</v>
      </c>
      <c r="AM287" s="555">
        <f t="shared" si="504"/>
        <v>71</v>
      </c>
      <c r="AN287" s="469">
        <f t="shared" si="505"/>
        <v>350</v>
      </c>
      <c r="AP287">
        <f t="shared" si="506"/>
        <v>71</v>
      </c>
      <c r="AQ287">
        <f t="shared" si="507"/>
        <v>350</v>
      </c>
      <c r="AS287" s="5">
        <f t="shared" si="479"/>
        <v>2.8571428571428572</v>
      </c>
      <c r="AT287" s="5">
        <f t="shared" si="508"/>
        <v>0.48609378931607616</v>
      </c>
      <c r="AU287" s="5">
        <f t="shared" si="440"/>
        <v>2.3710490678267808</v>
      </c>
      <c r="AV287" s="5"/>
      <c r="AW287" s="177">
        <f t="shared" si="441"/>
        <v>0.17013282626062665</v>
      </c>
      <c r="AX287" s="177"/>
      <c r="BA287" s="469">
        <f t="shared" si="509"/>
        <v>3.7498490124508512</v>
      </c>
      <c r="BB287" s="469">
        <f t="shared" si="510"/>
        <v>0.80880949201320074</v>
      </c>
      <c r="BC287" s="5">
        <f t="shared" si="442"/>
        <v>8.3504208241915387E-2</v>
      </c>
      <c r="BD287" s="469">
        <f t="shared" si="511"/>
        <v>0</v>
      </c>
      <c r="BQ287" s="538">
        <f t="shared" si="512"/>
        <v>2.0341499999999995E-2</v>
      </c>
      <c r="CG287" s="571">
        <f t="shared" si="513"/>
        <v>-50</v>
      </c>
      <c r="CH287">
        <f t="shared" si="514"/>
        <v>-50</v>
      </c>
    </row>
    <row r="288" spans="5:86" x14ac:dyDescent="0.25">
      <c r="E288" s="174">
        <v>72</v>
      </c>
      <c r="F288" s="221">
        <f t="shared" si="515"/>
        <v>7.1999999999999995E-2</v>
      </c>
      <c r="G288" s="221"/>
      <c r="H288" s="221">
        <f t="shared" si="481"/>
        <v>1.0799999999999998</v>
      </c>
      <c r="I288" s="551">
        <f t="shared" si="482"/>
        <v>28</v>
      </c>
      <c r="J288" s="451">
        <f t="shared" si="483"/>
        <v>695386.58000000007</v>
      </c>
      <c r="K288" s="451">
        <f t="shared" si="484"/>
        <v>695414.58000000007</v>
      </c>
      <c r="L288" s="451"/>
      <c r="M288" s="221">
        <f t="shared" si="485"/>
        <v>0.99995973624826795</v>
      </c>
      <c r="N288" s="176">
        <f t="shared" si="486"/>
        <v>9.8024053024945204</v>
      </c>
      <c r="O288" s="176">
        <f t="shared" si="478"/>
        <v>1.0799999999999998</v>
      </c>
      <c r="P288" s="221">
        <f t="shared" si="487"/>
        <v>0.65349368683296805</v>
      </c>
      <c r="Q288" s="221">
        <f t="shared" si="488"/>
        <v>15</v>
      </c>
      <c r="R288" s="221"/>
      <c r="S288" s="176">
        <f t="shared" si="489"/>
        <v>131.24938818654411</v>
      </c>
      <c r="T288" s="176">
        <f t="shared" si="490"/>
        <v>15</v>
      </c>
      <c r="U288" s="221">
        <f t="shared" si="491"/>
        <v>8.5717737031968597E-2</v>
      </c>
      <c r="V288" s="221">
        <f t="shared" si="492"/>
        <v>9.1840432534252073E-2</v>
      </c>
      <c r="W288" s="221">
        <f t="shared" si="493"/>
        <v>3.6979892694493145E-6</v>
      </c>
      <c r="X288" s="201">
        <f t="shared" si="494"/>
        <v>350</v>
      </c>
      <c r="Y288" s="451">
        <f t="shared" si="480"/>
        <v>350</v>
      </c>
      <c r="AA288" s="221">
        <f t="shared" si="495"/>
        <v>2.6665592966620477</v>
      </c>
      <c r="AB288" s="177">
        <f t="shared" si="496"/>
        <v>1.1503929066313219E-4</v>
      </c>
      <c r="AC288" s="177">
        <f t="shared" si="497"/>
        <v>2.4527153110202145</v>
      </c>
      <c r="AD288" s="177"/>
      <c r="AE288" s="177">
        <f t="shared" si="498"/>
        <v>6.4712206554230591E-6</v>
      </c>
      <c r="AF288" s="555">
        <f t="shared" si="499"/>
        <v>3246.9333333333338</v>
      </c>
      <c r="AG288" s="538">
        <f t="shared" si="500"/>
        <v>7.7611695137976321E-3</v>
      </c>
      <c r="AI288" s="177">
        <f t="shared" si="501"/>
        <v>0.45687134794319129</v>
      </c>
      <c r="AJ288" s="177">
        <f t="shared" si="502"/>
        <v>0.45687134794319129</v>
      </c>
      <c r="AK288" s="177">
        <f t="shared" si="503"/>
        <v>1.4045808986287942</v>
      </c>
      <c r="AM288" s="555">
        <f t="shared" si="504"/>
        <v>72</v>
      </c>
      <c r="AN288" s="469">
        <f t="shared" si="505"/>
        <v>350</v>
      </c>
      <c r="AP288">
        <f t="shared" si="506"/>
        <v>72</v>
      </c>
      <c r="AQ288">
        <f t="shared" si="507"/>
        <v>350</v>
      </c>
      <c r="AS288" s="5">
        <f t="shared" si="479"/>
        <v>2.8571428571428572</v>
      </c>
      <c r="AT288" s="5">
        <f t="shared" si="508"/>
        <v>0.48950501565341925</v>
      </c>
      <c r="AU288" s="5">
        <f t="shared" si="440"/>
        <v>2.3676378414894379</v>
      </c>
      <c r="AV288" s="5"/>
      <c r="AW288" s="177">
        <f t="shared" si="441"/>
        <v>0.17132675547869675</v>
      </c>
      <c r="AX288" s="177"/>
      <c r="BA288" s="469">
        <f t="shared" si="509"/>
        <v>3.7498490124508512</v>
      </c>
      <c r="BB288" s="469">
        <f t="shared" si="510"/>
        <v>0.82871105070351769</v>
      </c>
      <c r="BC288" s="5">
        <f t="shared" si="442"/>
        <v>8.4558494338908469E-2</v>
      </c>
      <c r="BD288" s="469">
        <f t="shared" si="511"/>
        <v>0</v>
      </c>
      <c r="BQ288" s="538">
        <f t="shared" si="512"/>
        <v>2.0627999999999997E-2</v>
      </c>
      <c r="CG288" s="571">
        <f t="shared" si="513"/>
        <v>-50</v>
      </c>
      <c r="CH288">
        <f t="shared" si="514"/>
        <v>-50</v>
      </c>
    </row>
    <row r="289" spans="5:86" x14ac:dyDescent="0.25">
      <c r="E289" s="174">
        <v>73</v>
      </c>
      <c r="F289" s="221">
        <f t="shared" si="515"/>
        <v>7.2999999999999995E-2</v>
      </c>
      <c r="G289" s="221"/>
      <c r="H289" s="221">
        <f t="shared" si="481"/>
        <v>1.095</v>
      </c>
      <c r="I289" s="551">
        <f t="shared" si="482"/>
        <v>28</v>
      </c>
      <c r="J289" s="451">
        <f t="shared" si="483"/>
        <v>695386.58000000007</v>
      </c>
      <c r="K289" s="451">
        <f t="shared" si="484"/>
        <v>695414.58000000007</v>
      </c>
      <c r="L289" s="451"/>
      <c r="M289" s="221">
        <f t="shared" si="485"/>
        <v>0.99995973624826795</v>
      </c>
      <c r="N289" s="176">
        <f t="shared" si="486"/>
        <v>9.8024053024945204</v>
      </c>
      <c r="O289" s="176">
        <f t="shared" si="478"/>
        <v>1.095</v>
      </c>
      <c r="P289" s="221">
        <f t="shared" si="487"/>
        <v>0.65349368683296805</v>
      </c>
      <c r="Q289" s="221">
        <f t="shared" si="488"/>
        <v>15</v>
      </c>
      <c r="R289" s="221"/>
      <c r="S289" s="176">
        <f t="shared" si="489"/>
        <v>129.45144299528391</v>
      </c>
      <c r="T289" s="176">
        <f t="shared" si="490"/>
        <v>15</v>
      </c>
      <c r="U289" s="221">
        <f t="shared" si="491"/>
        <v>8.6908261157412611E-2</v>
      </c>
      <c r="V289" s="221">
        <f t="shared" si="492"/>
        <v>9.3115994097227803E-2</v>
      </c>
      <c r="W289" s="221">
        <f t="shared" si="493"/>
        <v>3.749350231525E-6</v>
      </c>
      <c r="X289" s="201">
        <f t="shared" si="494"/>
        <v>350</v>
      </c>
      <c r="Y289" s="451">
        <f t="shared" si="480"/>
        <v>350</v>
      </c>
      <c r="AA289" s="221">
        <f t="shared" si="495"/>
        <v>2.6665592966620477</v>
      </c>
      <c r="AB289" s="177">
        <f t="shared" si="496"/>
        <v>1.1503929066313219E-4</v>
      </c>
      <c r="AC289" s="177">
        <f t="shared" si="497"/>
        <v>2.4527153110202145</v>
      </c>
      <c r="AD289" s="177"/>
      <c r="AE289" s="177">
        <f t="shared" si="498"/>
        <v>6.4712206554230591E-6</v>
      </c>
      <c r="AF289" s="555">
        <f t="shared" si="499"/>
        <v>3292.0296296296301</v>
      </c>
      <c r="AG289" s="538">
        <f t="shared" si="500"/>
        <v>7.7611695137976321E-3</v>
      </c>
      <c r="AI289" s="177">
        <f t="shared" si="501"/>
        <v>0.4600331251013085</v>
      </c>
      <c r="AJ289" s="177">
        <f t="shared" si="502"/>
        <v>0.4600331251013085</v>
      </c>
      <c r="AK289" s="177">
        <f t="shared" si="503"/>
        <v>1.4066887500675391</v>
      </c>
      <c r="AM289" s="555">
        <f t="shared" si="504"/>
        <v>73</v>
      </c>
      <c r="AN289" s="469">
        <f t="shared" si="505"/>
        <v>350</v>
      </c>
      <c r="AP289">
        <f t="shared" si="506"/>
        <v>73</v>
      </c>
      <c r="AQ289">
        <f t="shared" si="507"/>
        <v>350</v>
      </c>
      <c r="AS289" s="5">
        <f t="shared" si="479"/>
        <v>2.8571428571428572</v>
      </c>
      <c r="AT289" s="5">
        <f t="shared" si="508"/>
        <v>0.49289263403711631</v>
      </c>
      <c r="AU289" s="5">
        <f t="shared" si="440"/>
        <v>2.3642502231057407</v>
      </c>
      <c r="AV289" s="5"/>
      <c r="AW289" s="177">
        <f t="shared" si="441"/>
        <v>0.17251242191299071</v>
      </c>
      <c r="AX289" s="177"/>
      <c r="BA289" s="469">
        <f t="shared" si="509"/>
        <v>3.7498490124508512</v>
      </c>
      <c r="BB289" s="469">
        <f t="shared" si="510"/>
        <v>0.84884899483006282</v>
      </c>
      <c r="BC289" s="5">
        <f t="shared" si="442"/>
        <v>8.5610251134285234E-2</v>
      </c>
      <c r="BD289" s="469">
        <f t="shared" si="511"/>
        <v>0</v>
      </c>
      <c r="BQ289" s="538">
        <f t="shared" si="512"/>
        <v>2.0914499999999999E-2</v>
      </c>
      <c r="CG289" s="571">
        <f t="shared" si="513"/>
        <v>-50</v>
      </c>
      <c r="CH289">
        <f t="shared" si="514"/>
        <v>-50</v>
      </c>
    </row>
    <row r="290" spans="5:86" x14ac:dyDescent="0.25">
      <c r="E290" s="174">
        <v>74</v>
      </c>
      <c r="F290" s="221">
        <f t="shared" si="515"/>
        <v>7.3999999999999996E-2</v>
      </c>
      <c r="G290" s="221"/>
      <c r="H290" s="221">
        <f t="shared" si="481"/>
        <v>1.1099999999999999</v>
      </c>
      <c r="I290" s="551">
        <f t="shared" si="482"/>
        <v>28</v>
      </c>
      <c r="J290" s="451">
        <f t="shared" si="483"/>
        <v>695386.58000000007</v>
      </c>
      <c r="K290" s="451">
        <f t="shared" si="484"/>
        <v>695414.58000000007</v>
      </c>
      <c r="L290" s="451"/>
      <c r="M290" s="221">
        <f t="shared" si="485"/>
        <v>0.99995973624826795</v>
      </c>
      <c r="N290" s="176">
        <f t="shared" si="486"/>
        <v>9.8024053024945204</v>
      </c>
      <c r="O290" s="176">
        <f t="shared" si="478"/>
        <v>1.1099999999999999</v>
      </c>
      <c r="P290" s="221">
        <f t="shared" si="487"/>
        <v>0.65349368683296805</v>
      </c>
      <c r="Q290" s="221">
        <f t="shared" si="488"/>
        <v>15</v>
      </c>
      <c r="R290" s="221"/>
      <c r="S290" s="176">
        <f t="shared" si="489"/>
        <v>127.70209091768467</v>
      </c>
      <c r="T290" s="176">
        <f t="shared" si="490"/>
        <v>15</v>
      </c>
      <c r="U290" s="221">
        <f t="shared" si="491"/>
        <v>8.8098785282856612E-2</v>
      </c>
      <c r="V290" s="221">
        <f t="shared" si="492"/>
        <v>9.4391555660203519E-2</v>
      </c>
      <c r="W290" s="221">
        <f t="shared" si="493"/>
        <v>3.8007111936006854E-6</v>
      </c>
      <c r="X290" s="201">
        <f t="shared" si="494"/>
        <v>350</v>
      </c>
      <c r="Y290" s="451">
        <f t="shared" si="480"/>
        <v>350</v>
      </c>
      <c r="AA290" s="221">
        <f t="shared" si="495"/>
        <v>2.6665592966620477</v>
      </c>
      <c r="AB290" s="177">
        <f t="shared" si="496"/>
        <v>1.1503929066313219E-4</v>
      </c>
      <c r="AC290" s="177">
        <f t="shared" si="497"/>
        <v>2.4527153110202145</v>
      </c>
      <c r="AD290" s="177"/>
      <c r="AE290" s="177">
        <f t="shared" si="498"/>
        <v>6.4712206554230591E-6</v>
      </c>
      <c r="AF290" s="555">
        <f t="shared" si="499"/>
        <v>3337.1259259259268</v>
      </c>
      <c r="AG290" s="538">
        <f t="shared" si="500"/>
        <v>7.7611695137976321E-3</v>
      </c>
      <c r="AI290" s="177">
        <f t="shared" si="501"/>
        <v>0.46317331940594741</v>
      </c>
      <c r="AJ290" s="177">
        <f t="shared" si="502"/>
        <v>0.46317331940594741</v>
      </c>
      <c r="AK290" s="177">
        <f t="shared" si="503"/>
        <v>1.4087822129372982</v>
      </c>
      <c r="AM290" s="555">
        <f t="shared" si="504"/>
        <v>74</v>
      </c>
      <c r="AN290" s="469">
        <f t="shared" si="505"/>
        <v>350</v>
      </c>
      <c r="AP290">
        <f t="shared" si="506"/>
        <v>74</v>
      </c>
      <c r="AQ290">
        <f t="shared" si="507"/>
        <v>350</v>
      </c>
      <c r="AS290" s="5">
        <f t="shared" si="479"/>
        <v>2.8571428571428572</v>
      </c>
      <c r="AT290" s="5">
        <f t="shared" si="508"/>
        <v>0.49625712793494364</v>
      </c>
      <c r="AU290" s="5">
        <f t="shared" si="440"/>
        <v>2.3608857292079137</v>
      </c>
      <c r="AV290" s="5"/>
      <c r="AW290" s="177">
        <f t="shared" si="441"/>
        <v>0.17368999477723027</v>
      </c>
      <c r="AX290" s="177"/>
      <c r="BA290" s="469">
        <f t="shared" si="509"/>
        <v>3.7498490124508512</v>
      </c>
      <c r="BB290" s="469">
        <f t="shared" si="510"/>
        <v>0.86922332439283612</v>
      </c>
      <c r="BC290" s="5">
        <f t="shared" si="442"/>
        <v>8.6659496012592041E-2</v>
      </c>
      <c r="BD290" s="469">
        <f t="shared" si="511"/>
        <v>0</v>
      </c>
      <c r="BQ290" s="538">
        <f t="shared" si="512"/>
        <v>2.1200999999999998E-2</v>
      </c>
      <c r="CG290" s="571">
        <f t="shared" si="513"/>
        <v>-50</v>
      </c>
      <c r="CH290">
        <f t="shared" si="514"/>
        <v>-50</v>
      </c>
    </row>
    <row r="291" spans="5:86" x14ac:dyDescent="0.25">
      <c r="E291" s="174">
        <v>75</v>
      </c>
      <c r="F291" s="221">
        <f t="shared" si="515"/>
        <v>7.5000000000000011E-2</v>
      </c>
      <c r="G291" s="221"/>
      <c r="H291" s="221">
        <f t="shared" si="481"/>
        <v>1.1250000000000002</v>
      </c>
      <c r="I291" s="551">
        <f t="shared" si="482"/>
        <v>28</v>
      </c>
      <c r="J291" s="451">
        <f t="shared" si="483"/>
        <v>695386.58000000007</v>
      </c>
      <c r="K291" s="451">
        <f t="shared" si="484"/>
        <v>695414.58000000007</v>
      </c>
      <c r="L291" s="451"/>
      <c r="M291" s="221">
        <f t="shared" si="485"/>
        <v>0.99995973624826795</v>
      </c>
      <c r="N291" s="176">
        <f t="shared" si="486"/>
        <v>9.8024053024945204</v>
      </c>
      <c r="O291" s="176">
        <f t="shared" si="478"/>
        <v>1.1250000000000002</v>
      </c>
      <c r="P291" s="221">
        <f t="shared" si="487"/>
        <v>0.65349368683296805</v>
      </c>
      <c r="Q291" s="221">
        <f t="shared" si="488"/>
        <v>15</v>
      </c>
      <c r="R291" s="221"/>
      <c r="S291" s="176">
        <f t="shared" si="489"/>
        <v>125.99938822919987</v>
      </c>
      <c r="T291" s="176">
        <f t="shared" si="490"/>
        <v>15</v>
      </c>
      <c r="U291" s="221">
        <f t="shared" si="491"/>
        <v>8.9289309408300654E-2</v>
      </c>
      <c r="V291" s="221">
        <f t="shared" si="492"/>
        <v>9.5667117223179263E-2</v>
      </c>
      <c r="W291" s="221">
        <f t="shared" si="493"/>
        <v>3.8520721556763709E-6</v>
      </c>
      <c r="X291" s="201">
        <f t="shared" si="494"/>
        <v>350</v>
      </c>
      <c r="Y291" s="451">
        <f t="shared" si="480"/>
        <v>350</v>
      </c>
      <c r="AA291" s="221">
        <f t="shared" si="495"/>
        <v>2.6665592966620477</v>
      </c>
      <c r="AB291" s="177">
        <f t="shared" si="496"/>
        <v>1.1503929066313219E-4</v>
      </c>
      <c r="AC291" s="177">
        <f t="shared" si="497"/>
        <v>2.4527153110202145</v>
      </c>
      <c r="AD291" s="177"/>
      <c r="AE291" s="177">
        <f t="shared" si="498"/>
        <v>6.4712206554230591E-6</v>
      </c>
      <c r="AF291" s="555">
        <f t="shared" si="499"/>
        <v>3382.2222222222235</v>
      </c>
      <c r="AG291" s="538">
        <f t="shared" si="500"/>
        <v>7.7611695137976321E-3</v>
      </c>
      <c r="AI291" s="177">
        <f t="shared" si="501"/>
        <v>0.46629236689932152</v>
      </c>
      <c r="AJ291" s="177">
        <f t="shared" si="502"/>
        <v>0.46629236689932152</v>
      </c>
      <c r="AK291" s="177">
        <f t="shared" si="503"/>
        <v>1.410861577932881</v>
      </c>
      <c r="AM291" s="555">
        <f t="shared" si="504"/>
        <v>75.000000000000014</v>
      </c>
      <c r="AN291" s="469">
        <f t="shared" si="505"/>
        <v>350</v>
      </c>
      <c r="AP291">
        <f t="shared" si="506"/>
        <v>75.000000000000014</v>
      </c>
      <c r="AQ291">
        <f t="shared" si="507"/>
        <v>350</v>
      </c>
      <c r="AS291" s="5">
        <f t="shared" si="479"/>
        <v>2.8571428571428572</v>
      </c>
      <c r="AT291" s="5">
        <f t="shared" si="508"/>
        <v>0.49959896453498737</v>
      </c>
      <c r="AU291" s="5">
        <f t="shared" si="440"/>
        <v>2.35754389260787</v>
      </c>
      <c r="AV291" s="5"/>
      <c r="AW291" s="177">
        <f t="shared" si="441"/>
        <v>0.17485963758724557</v>
      </c>
      <c r="AX291" s="177"/>
      <c r="BA291" s="469">
        <f t="shared" si="509"/>
        <v>3.7498490124508512</v>
      </c>
      <c r="BB291" s="469">
        <f t="shared" si="510"/>
        <v>0.88983403939183803</v>
      </c>
      <c r="BC291" s="5">
        <f t="shared" si="442"/>
        <v>8.7706246004757071E-2</v>
      </c>
      <c r="BD291" s="469">
        <f t="shared" si="511"/>
        <v>0</v>
      </c>
      <c r="BQ291" s="538">
        <f t="shared" si="512"/>
        <v>2.1487500000000003E-2</v>
      </c>
      <c r="CG291" s="571">
        <f t="shared" si="513"/>
        <v>-50</v>
      </c>
      <c r="CH291">
        <f t="shared" si="514"/>
        <v>-50</v>
      </c>
    </row>
    <row r="292" spans="5:86" x14ac:dyDescent="0.25">
      <c r="E292" s="174">
        <v>76</v>
      </c>
      <c r="F292" s="221">
        <f t="shared" si="515"/>
        <v>7.6000000000000012E-2</v>
      </c>
      <c r="G292" s="221"/>
      <c r="H292" s="221">
        <f t="shared" si="481"/>
        <v>1.1400000000000001</v>
      </c>
      <c r="I292" s="551">
        <f t="shared" si="482"/>
        <v>28</v>
      </c>
      <c r="J292" s="451">
        <f t="shared" si="483"/>
        <v>695386.58000000007</v>
      </c>
      <c r="K292" s="451">
        <f t="shared" si="484"/>
        <v>695414.58000000007</v>
      </c>
      <c r="L292" s="451"/>
      <c r="M292" s="221">
        <f t="shared" si="485"/>
        <v>0.99995973624826795</v>
      </c>
      <c r="N292" s="176">
        <f t="shared" si="486"/>
        <v>9.8024053024945204</v>
      </c>
      <c r="O292" s="176">
        <f t="shared" si="478"/>
        <v>1.1400000000000001</v>
      </c>
      <c r="P292" s="221">
        <f t="shared" si="487"/>
        <v>0.65349368683296805</v>
      </c>
      <c r="Q292" s="221">
        <f t="shared" si="488"/>
        <v>15</v>
      </c>
      <c r="R292" s="221"/>
      <c r="S292" s="176">
        <f t="shared" si="489"/>
        <v>124.34149350657501</v>
      </c>
      <c r="T292" s="176">
        <f t="shared" si="490"/>
        <v>15</v>
      </c>
      <c r="U292" s="221">
        <f t="shared" si="491"/>
        <v>9.0479833533744655E-2</v>
      </c>
      <c r="V292" s="221">
        <f t="shared" si="492"/>
        <v>9.6942678786154993E-2</v>
      </c>
      <c r="W292" s="221">
        <f t="shared" si="493"/>
        <v>3.9034331177520555E-6</v>
      </c>
      <c r="X292" s="201">
        <f t="shared" si="494"/>
        <v>350</v>
      </c>
      <c r="Y292" s="451">
        <f t="shared" si="480"/>
        <v>350</v>
      </c>
      <c r="AA292" s="221">
        <f t="shared" si="495"/>
        <v>2.6665592966620477</v>
      </c>
      <c r="AB292" s="177">
        <f t="shared" si="496"/>
        <v>1.1503929066313219E-4</v>
      </c>
      <c r="AC292" s="177">
        <f t="shared" si="497"/>
        <v>2.4527153110202145</v>
      </c>
      <c r="AD292" s="177"/>
      <c r="AE292" s="177">
        <f t="shared" si="498"/>
        <v>6.4712206554230591E-6</v>
      </c>
      <c r="AF292" s="555">
        <f t="shared" si="499"/>
        <v>3427.3185185185202</v>
      </c>
      <c r="AG292" s="538">
        <f t="shared" si="500"/>
        <v>7.7611695137976321E-3</v>
      </c>
      <c r="AI292" s="177">
        <f t="shared" si="501"/>
        <v>0.46939068913605336</v>
      </c>
      <c r="AJ292" s="177">
        <f t="shared" si="502"/>
        <v>0.46939068913605336</v>
      </c>
      <c r="AK292" s="177">
        <f t="shared" si="503"/>
        <v>1.4129271260907021</v>
      </c>
      <c r="AM292" s="555">
        <f t="shared" si="504"/>
        <v>76.000000000000014</v>
      </c>
      <c r="AN292" s="469">
        <f t="shared" si="505"/>
        <v>350</v>
      </c>
      <c r="AP292">
        <f t="shared" si="506"/>
        <v>76.000000000000014</v>
      </c>
      <c r="AQ292">
        <f t="shared" si="507"/>
        <v>350</v>
      </c>
      <c r="AS292" s="5">
        <f t="shared" si="479"/>
        <v>2.8571428571428572</v>
      </c>
      <c r="AT292" s="5">
        <f t="shared" si="508"/>
        <v>0.5029185955029144</v>
      </c>
      <c r="AU292" s="5">
        <f t="shared" si="440"/>
        <v>2.3542242616399429</v>
      </c>
      <c r="AV292" s="5"/>
      <c r="AW292" s="177">
        <f t="shared" si="441"/>
        <v>0.17602150842602005</v>
      </c>
      <c r="AX292" s="177"/>
      <c r="BA292" s="469">
        <f t="shared" si="509"/>
        <v>3.7498490124508512</v>
      </c>
      <c r="BB292" s="469">
        <f t="shared" si="510"/>
        <v>0.91068113982706778</v>
      </c>
      <c r="BC292" s="5">
        <f t="shared" si="442"/>
        <v>8.875051779991848E-2</v>
      </c>
      <c r="BD292" s="469">
        <f t="shared" si="511"/>
        <v>0</v>
      </c>
      <c r="BQ292" s="538">
        <f t="shared" si="512"/>
        <v>2.1774000000000002E-2</v>
      </c>
      <c r="CG292" s="571">
        <f t="shared" si="513"/>
        <v>-50</v>
      </c>
      <c r="CH292">
        <f t="shared" si="514"/>
        <v>-50</v>
      </c>
    </row>
    <row r="293" spans="5:86" x14ac:dyDescent="0.25">
      <c r="E293" s="174">
        <v>77</v>
      </c>
      <c r="F293" s="221">
        <f t="shared" si="515"/>
        <v>7.7000000000000013E-2</v>
      </c>
      <c r="G293" s="221"/>
      <c r="H293" s="221">
        <f t="shared" si="481"/>
        <v>1.1550000000000002</v>
      </c>
      <c r="I293" s="551">
        <f t="shared" si="482"/>
        <v>28</v>
      </c>
      <c r="J293" s="451">
        <f t="shared" si="483"/>
        <v>695386.58000000007</v>
      </c>
      <c r="K293" s="451">
        <f t="shared" si="484"/>
        <v>695414.58000000007</v>
      </c>
      <c r="L293" s="451"/>
      <c r="M293" s="221">
        <f t="shared" si="485"/>
        <v>0.99995973624826795</v>
      </c>
      <c r="N293" s="176">
        <f t="shared" si="486"/>
        <v>9.8024053024945204</v>
      </c>
      <c r="O293" s="176">
        <f t="shared" si="478"/>
        <v>1.1550000000000002</v>
      </c>
      <c r="P293" s="221">
        <f t="shared" si="487"/>
        <v>0.65349368683296805</v>
      </c>
      <c r="Q293" s="221">
        <f t="shared" si="488"/>
        <v>15</v>
      </c>
      <c r="R293" s="221"/>
      <c r="S293" s="176">
        <f t="shared" si="489"/>
        <v>122.72666098490645</v>
      </c>
      <c r="T293" s="176">
        <f t="shared" si="490"/>
        <v>15</v>
      </c>
      <c r="U293" s="221">
        <f t="shared" si="491"/>
        <v>9.167035765918867E-2</v>
      </c>
      <c r="V293" s="221">
        <f t="shared" si="492"/>
        <v>9.8218240349130723E-2</v>
      </c>
      <c r="W293" s="221">
        <f t="shared" si="493"/>
        <v>3.954794079827741E-6</v>
      </c>
      <c r="X293" s="201">
        <f t="shared" si="494"/>
        <v>350</v>
      </c>
      <c r="Y293" s="451">
        <f t="shared" si="480"/>
        <v>350</v>
      </c>
      <c r="AA293" s="221">
        <f t="shared" si="495"/>
        <v>2.6665592966620477</v>
      </c>
      <c r="AB293" s="177">
        <f t="shared" si="496"/>
        <v>1.1503929066313219E-4</v>
      </c>
      <c r="AC293" s="177">
        <f t="shared" si="497"/>
        <v>2.4527153110202145</v>
      </c>
      <c r="AD293" s="177"/>
      <c r="AE293" s="177">
        <f t="shared" si="498"/>
        <v>6.4712206554230591E-6</v>
      </c>
      <c r="AF293" s="555">
        <f t="shared" si="499"/>
        <v>3472.4148148148161</v>
      </c>
      <c r="AG293" s="538">
        <f t="shared" si="500"/>
        <v>7.7611695137976321E-3</v>
      </c>
      <c r="AI293" s="177">
        <f t="shared" si="501"/>
        <v>0.47246869384824502</v>
      </c>
      <c r="AJ293" s="177">
        <f t="shared" si="502"/>
        <v>0.47246869384824502</v>
      </c>
      <c r="AK293" s="177">
        <f t="shared" si="503"/>
        <v>1.4149791292321634</v>
      </c>
      <c r="AM293" s="555">
        <f t="shared" si="504"/>
        <v>77.000000000000014</v>
      </c>
      <c r="AN293" s="469">
        <f t="shared" si="505"/>
        <v>350</v>
      </c>
      <c r="AP293">
        <f t="shared" si="506"/>
        <v>77.000000000000014</v>
      </c>
      <c r="AQ293">
        <f t="shared" si="507"/>
        <v>350</v>
      </c>
      <c r="AS293" s="5">
        <f t="shared" si="479"/>
        <v>2.8571428571428572</v>
      </c>
      <c r="AT293" s="5">
        <f t="shared" si="508"/>
        <v>0.50621645769454826</v>
      </c>
      <c r="AU293" s="5">
        <f t="shared" si="440"/>
        <v>2.3509263994483089</v>
      </c>
      <c r="AV293" s="5"/>
      <c r="AW293" s="177">
        <f t="shared" si="441"/>
        <v>0.17717576019309189</v>
      </c>
      <c r="AX293" s="177"/>
      <c r="BA293" s="469">
        <f t="shared" si="509"/>
        <v>3.7498490124508512</v>
      </c>
      <c r="BB293" s="469">
        <f t="shared" si="510"/>
        <v>0.93176462569852592</v>
      </c>
      <c r="BC293" s="5">
        <f t="shared" si="442"/>
        <v>8.9792327756706244E-2</v>
      </c>
      <c r="BD293" s="469">
        <f t="shared" si="511"/>
        <v>0</v>
      </c>
      <c r="BQ293" s="538">
        <f t="shared" si="512"/>
        <v>2.20605E-2</v>
      </c>
      <c r="CG293" s="571">
        <f t="shared" si="513"/>
        <v>-50</v>
      </c>
      <c r="CH293">
        <f t="shared" si="514"/>
        <v>-50</v>
      </c>
    </row>
    <row r="294" spans="5:86" x14ac:dyDescent="0.25">
      <c r="E294" s="174">
        <v>78</v>
      </c>
      <c r="F294" s="221">
        <f t="shared" si="515"/>
        <v>7.8000000000000014E-2</v>
      </c>
      <c r="G294" s="221"/>
      <c r="H294" s="221">
        <f t="shared" si="481"/>
        <v>1.1700000000000002</v>
      </c>
      <c r="I294" s="551">
        <f t="shared" si="482"/>
        <v>28</v>
      </c>
      <c r="J294" s="451">
        <f t="shared" si="483"/>
        <v>695386.58000000007</v>
      </c>
      <c r="K294" s="451">
        <f t="shared" si="484"/>
        <v>695414.58000000007</v>
      </c>
      <c r="L294" s="451"/>
      <c r="M294" s="221">
        <f t="shared" si="485"/>
        <v>0.99995973624826795</v>
      </c>
      <c r="N294" s="176">
        <f t="shared" si="486"/>
        <v>9.8024053024945204</v>
      </c>
      <c r="O294" s="176">
        <f t="shared" si="478"/>
        <v>1.1700000000000002</v>
      </c>
      <c r="P294" s="221">
        <f t="shared" si="487"/>
        <v>0.65349368683296805</v>
      </c>
      <c r="Q294" s="221">
        <f t="shared" si="488"/>
        <v>15</v>
      </c>
      <c r="R294" s="221"/>
      <c r="S294" s="176">
        <f t="shared" si="489"/>
        <v>121.1532344256958</v>
      </c>
      <c r="T294" s="176">
        <f t="shared" si="490"/>
        <v>15</v>
      </c>
      <c r="U294" s="221">
        <f t="shared" si="491"/>
        <v>9.2860881784632671E-2</v>
      </c>
      <c r="V294" s="221">
        <f t="shared" si="492"/>
        <v>9.9493801912106425E-2</v>
      </c>
      <c r="W294" s="221">
        <f t="shared" si="493"/>
        <v>4.0061550419034256E-6</v>
      </c>
      <c r="X294" s="201">
        <f t="shared" si="494"/>
        <v>350</v>
      </c>
      <c r="Y294" s="451">
        <f t="shared" si="480"/>
        <v>350</v>
      </c>
      <c r="AA294" s="221">
        <f t="shared" si="495"/>
        <v>2.6665592966620477</v>
      </c>
      <c r="AB294" s="177">
        <f t="shared" si="496"/>
        <v>1.1503929066313219E-4</v>
      </c>
      <c r="AC294" s="177">
        <f t="shared" si="497"/>
        <v>2.4527153110202145</v>
      </c>
      <c r="AD294" s="177"/>
      <c r="AE294" s="177">
        <f t="shared" si="498"/>
        <v>6.4712206554230591E-6</v>
      </c>
      <c r="AF294" s="555">
        <f t="shared" si="499"/>
        <v>3517.5111111111123</v>
      </c>
      <c r="AG294" s="538">
        <f t="shared" si="500"/>
        <v>7.7611695137976321E-3</v>
      </c>
      <c r="AI294" s="177">
        <f t="shared" si="501"/>
        <v>0.47552677557180134</v>
      </c>
      <c r="AJ294" s="177">
        <f t="shared" si="502"/>
        <v>0.47552677557180134</v>
      </c>
      <c r="AK294" s="177">
        <f t="shared" si="503"/>
        <v>1.417017850381201</v>
      </c>
      <c r="AM294" s="555">
        <f t="shared" si="504"/>
        <v>78.000000000000014</v>
      </c>
      <c r="AN294" s="469">
        <f t="shared" si="505"/>
        <v>350</v>
      </c>
      <c r="AP294">
        <f t="shared" si="506"/>
        <v>78.000000000000014</v>
      </c>
      <c r="AQ294">
        <f t="shared" si="507"/>
        <v>350</v>
      </c>
      <c r="AS294" s="5">
        <f t="shared" si="479"/>
        <v>2.8571428571428572</v>
      </c>
      <c r="AT294" s="5">
        <f t="shared" si="508"/>
        <v>0.50949297382692993</v>
      </c>
      <c r="AU294" s="5">
        <f t="shared" si="440"/>
        <v>2.3476498833159272</v>
      </c>
      <c r="AV294" s="5"/>
      <c r="AW294" s="177">
        <f t="shared" si="441"/>
        <v>0.17832254083942548</v>
      </c>
      <c r="AX294" s="177"/>
      <c r="BA294" s="469">
        <f t="shared" si="509"/>
        <v>3.7498490124508512</v>
      </c>
      <c r="BB294" s="469">
        <f t="shared" si="510"/>
        <v>0.95308449700621201</v>
      </c>
      <c r="BC294" s="5">
        <f t="shared" si="442"/>
        <v>9.0831691914009069E-2</v>
      </c>
      <c r="BD294" s="469">
        <f t="shared" si="511"/>
        <v>0</v>
      </c>
      <c r="BQ294" s="538">
        <f t="shared" si="512"/>
        <v>2.2347000000000002E-2</v>
      </c>
      <c r="CG294" s="571">
        <f t="shared" si="513"/>
        <v>-50</v>
      </c>
      <c r="CH294">
        <f t="shared" si="514"/>
        <v>-50</v>
      </c>
    </row>
    <row r="295" spans="5:86" x14ac:dyDescent="0.25">
      <c r="E295" s="174">
        <v>79</v>
      </c>
      <c r="F295" s="221">
        <f t="shared" si="515"/>
        <v>7.9000000000000015E-2</v>
      </c>
      <c r="G295" s="221"/>
      <c r="H295" s="221">
        <f t="shared" si="481"/>
        <v>1.1850000000000003</v>
      </c>
      <c r="I295" s="551">
        <f t="shared" si="482"/>
        <v>28</v>
      </c>
      <c r="J295" s="451">
        <f t="shared" si="483"/>
        <v>695386.58000000007</v>
      </c>
      <c r="K295" s="451">
        <f t="shared" si="484"/>
        <v>695414.58000000007</v>
      </c>
      <c r="L295" s="451"/>
      <c r="M295" s="221">
        <f t="shared" si="485"/>
        <v>0.99995973624826795</v>
      </c>
      <c r="N295" s="176">
        <f t="shared" si="486"/>
        <v>9.8024053024945204</v>
      </c>
      <c r="O295" s="176">
        <f t="shared" si="478"/>
        <v>1.1850000000000003</v>
      </c>
      <c r="P295" s="221">
        <f t="shared" si="487"/>
        <v>0.65349368683296805</v>
      </c>
      <c r="Q295" s="221">
        <f t="shared" si="488"/>
        <v>15</v>
      </c>
      <c r="R295" s="221"/>
      <c r="S295" s="176">
        <f t="shared" si="489"/>
        <v>119.61964145062193</v>
      </c>
      <c r="T295" s="176">
        <f t="shared" si="490"/>
        <v>15</v>
      </c>
      <c r="U295" s="221">
        <f t="shared" si="491"/>
        <v>9.4051405910076685E-2</v>
      </c>
      <c r="V295" s="221">
        <f t="shared" si="492"/>
        <v>0.10076936347508215</v>
      </c>
      <c r="W295" s="221">
        <f t="shared" si="493"/>
        <v>4.057516003979111E-6</v>
      </c>
      <c r="X295" s="201">
        <f t="shared" si="494"/>
        <v>350</v>
      </c>
      <c r="Y295" s="451">
        <f t="shared" si="480"/>
        <v>350</v>
      </c>
      <c r="AA295" s="221">
        <f t="shared" si="495"/>
        <v>2.6665592966620477</v>
      </c>
      <c r="AB295" s="177">
        <f t="shared" si="496"/>
        <v>1.1503929066313219E-4</v>
      </c>
      <c r="AC295" s="177">
        <f t="shared" si="497"/>
        <v>2.4527153110202145</v>
      </c>
      <c r="AD295" s="177"/>
      <c r="AE295" s="177">
        <f t="shared" si="498"/>
        <v>6.4712206554230591E-6</v>
      </c>
      <c r="AF295" s="555">
        <f t="shared" si="499"/>
        <v>3562.607407407409</v>
      </c>
      <c r="AG295" s="538">
        <f t="shared" si="500"/>
        <v>7.7611695137976321E-3</v>
      </c>
      <c r="AI295" s="177">
        <f t="shared" si="501"/>
        <v>0.4785653162367306</v>
      </c>
      <c r="AJ295" s="177">
        <f t="shared" si="502"/>
        <v>0.4785653162367306</v>
      </c>
      <c r="AK295" s="177">
        <f t="shared" si="503"/>
        <v>1.4190435441578204</v>
      </c>
      <c r="AM295" s="555">
        <f t="shared" si="504"/>
        <v>79.000000000000014</v>
      </c>
      <c r="AN295" s="469">
        <f t="shared" si="505"/>
        <v>350</v>
      </c>
      <c r="AP295">
        <f t="shared" si="506"/>
        <v>79.000000000000014</v>
      </c>
      <c r="AQ295">
        <f t="shared" si="507"/>
        <v>350</v>
      </c>
      <c r="AS295" s="5">
        <f t="shared" si="479"/>
        <v>2.8571428571428572</v>
      </c>
      <c r="AT295" s="5">
        <f t="shared" si="508"/>
        <v>0.51274855311078282</v>
      </c>
      <c r="AU295" s="5">
        <f t="shared" si="440"/>
        <v>2.3443943040320745</v>
      </c>
      <c r="AV295" s="5"/>
      <c r="AW295" s="177">
        <f t="shared" si="441"/>
        <v>0.17946199358877399</v>
      </c>
      <c r="AX295" s="177"/>
      <c r="BA295" s="469">
        <f t="shared" si="509"/>
        <v>3.7498490124508512</v>
      </c>
      <c r="BB295" s="469">
        <f t="shared" si="510"/>
        <v>0.97464075375012671</v>
      </c>
      <c r="BC295" s="5">
        <f t="shared" si="442"/>
        <v>9.1868626001256892E-2</v>
      </c>
      <c r="BD295" s="469">
        <f t="shared" si="511"/>
        <v>0</v>
      </c>
      <c r="BQ295" s="538">
        <f t="shared" si="512"/>
        <v>2.2633500000000001E-2</v>
      </c>
      <c r="CG295" s="571">
        <f t="shared" si="513"/>
        <v>-50</v>
      </c>
      <c r="CH295">
        <f t="shared" si="514"/>
        <v>-50</v>
      </c>
    </row>
    <row r="296" spans="5:86" x14ac:dyDescent="0.25">
      <c r="E296" s="174">
        <v>80</v>
      </c>
      <c r="F296" s="221">
        <f t="shared" si="515"/>
        <v>8.0000000000000016E-2</v>
      </c>
      <c r="G296" s="221"/>
      <c r="H296" s="221">
        <f t="shared" si="481"/>
        <v>1.2000000000000002</v>
      </c>
      <c r="I296" s="551">
        <f t="shared" si="482"/>
        <v>28</v>
      </c>
      <c r="J296" s="451">
        <f t="shared" si="483"/>
        <v>695386.58000000007</v>
      </c>
      <c r="K296" s="451">
        <f t="shared" si="484"/>
        <v>695414.58000000007</v>
      </c>
      <c r="L296" s="451"/>
      <c r="M296" s="221">
        <f t="shared" si="485"/>
        <v>0.99995973624826795</v>
      </c>
      <c r="N296" s="176">
        <f t="shared" si="486"/>
        <v>9.8024053024945204</v>
      </c>
      <c r="O296" s="176">
        <f t="shared" si="478"/>
        <v>1.2000000000000002</v>
      </c>
      <c r="P296" s="221">
        <f t="shared" si="487"/>
        <v>0.65349368683296805</v>
      </c>
      <c r="Q296" s="221">
        <f t="shared" si="488"/>
        <v>15</v>
      </c>
      <c r="R296" s="221"/>
      <c r="S296" s="176">
        <f t="shared" si="489"/>
        <v>118.12438830027958</v>
      </c>
      <c r="T296" s="176">
        <f t="shared" si="490"/>
        <v>15</v>
      </c>
      <c r="U296" s="221">
        <f t="shared" si="491"/>
        <v>9.5241930035520686E-2</v>
      </c>
      <c r="V296" s="221">
        <f t="shared" si="492"/>
        <v>0.10204492503805788</v>
      </c>
      <c r="W296" s="221">
        <f t="shared" si="493"/>
        <v>4.1088769660547957E-6</v>
      </c>
      <c r="X296" s="201">
        <f t="shared" si="494"/>
        <v>350</v>
      </c>
      <c r="Y296" s="451">
        <f t="shared" si="480"/>
        <v>350</v>
      </c>
      <c r="AA296" s="221">
        <f t="shared" si="495"/>
        <v>2.6665592966620477</v>
      </c>
      <c r="AB296" s="177">
        <f t="shared" si="496"/>
        <v>1.1503929066313219E-4</v>
      </c>
      <c r="AC296" s="177">
        <f t="shared" si="497"/>
        <v>2.4527153110202145</v>
      </c>
      <c r="AD296" s="177"/>
      <c r="AE296" s="177">
        <f t="shared" si="498"/>
        <v>6.4712206554230591E-6</v>
      </c>
      <c r="AF296" s="555">
        <f t="shared" si="499"/>
        <v>3607.7037037037053</v>
      </c>
      <c r="AG296" s="538">
        <f t="shared" si="500"/>
        <v>7.7611695137976321E-3</v>
      </c>
      <c r="AI296" s="177">
        <f t="shared" si="501"/>
        <v>0.48158468572392288</v>
      </c>
      <c r="AJ296" s="177">
        <f t="shared" si="502"/>
        <v>0.48158468572392288</v>
      </c>
      <c r="AK296" s="177">
        <f t="shared" si="503"/>
        <v>1.4210564571492819</v>
      </c>
      <c r="AM296" s="555">
        <f t="shared" si="504"/>
        <v>80.000000000000014</v>
      </c>
      <c r="AN296" s="469">
        <f t="shared" si="505"/>
        <v>350</v>
      </c>
      <c r="AP296">
        <f t="shared" si="506"/>
        <v>80.000000000000014</v>
      </c>
      <c r="AQ296">
        <f t="shared" si="507"/>
        <v>350</v>
      </c>
      <c r="AS296" s="5">
        <f t="shared" si="479"/>
        <v>2.8571428571428572</v>
      </c>
      <c r="AT296" s="5">
        <f t="shared" si="508"/>
        <v>0.51598359184706022</v>
      </c>
      <c r="AU296" s="5">
        <f t="shared" si="440"/>
        <v>2.3411592652957971</v>
      </c>
      <c r="AV296" s="5"/>
      <c r="AW296" s="177">
        <f t="shared" si="441"/>
        <v>0.18059425714647107</v>
      </c>
      <c r="AX296" s="177"/>
      <c r="BA296" s="469">
        <f t="shared" si="509"/>
        <v>3.7498490124508512</v>
      </c>
      <c r="BB296" s="469">
        <f t="shared" si="510"/>
        <v>0.99643339593026936</v>
      </c>
      <c r="BC296" s="5">
        <f t="shared" si="442"/>
        <v>9.2903145448245919E-2</v>
      </c>
      <c r="BD296" s="469">
        <f t="shared" si="511"/>
        <v>0</v>
      </c>
      <c r="BQ296" s="538">
        <f t="shared" si="512"/>
        <v>2.2920000000000003E-2</v>
      </c>
      <c r="CG296" s="571">
        <f t="shared" si="513"/>
        <v>-50</v>
      </c>
      <c r="CH296">
        <f t="shared" si="514"/>
        <v>-50</v>
      </c>
    </row>
    <row r="297" spans="5:86" x14ac:dyDescent="0.25">
      <c r="E297" s="174">
        <v>81</v>
      </c>
      <c r="F297" s="221">
        <f t="shared" si="515"/>
        <v>8.1000000000000016E-2</v>
      </c>
      <c r="G297" s="221"/>
      <c r="H297" s="221">
        <f t="shared" si="481"/>
        <v>1.2150000000000003</v>
      </c>
      <c r="I297" s="551">
        <f t="shared" si="482"/>
        <v>28</v>
      </c>
      <c r="J297" s="451">
        <f t="shared" si="483"/>
        <v>695386.58000000007</v>
      </c>
      <c r="K297" s="451">
        <f t="shared" si="484"/>
        <v>695414.58000000007</v>
      </c>
      <c r="L297" s="451"/>
      <c r="M297" s="221">
        <f t="shared" si="485"/>
        <v>0.99995973624826795</v>
      </c>
      <c r="N297" s="176">
        <f t="shared" si="486"/>
        <v>9.8024053024945204</v>
      </c>
      <c r="O297" s="176">
        <f t="shared" si="478"/>
        <v>1.2150000000000003</v>
      </c>
      <c r="P297" s="221">
        <f t="shared" si="487"/>
        <v>0.65349368683296805</v>
      </c>
      <c r="Q297" s="221">
        <f t="shared" si="488"/>
        <v>15</v>
      </c>
      <c r="R297" s="221"/>
      <c r="S297" s="176">
        <f t="shared" si="489"/>
        <v>116.66605498116024</v>
      </c>
      <c r="T297" s="176">
        <f t="shared" si="490"/>
        <v>15</v>
      </c>
      <c r="U297" s="221">
        <f t="shared" si="491"/>
        <v>9.6432454160964715E-2</v>
      </c>
      <c r="V297" s="221">
        <f t="shared" si="492"/>
        <v>0.10332048660103363</v>
      </c>
      <c r="W297" s="221">
        <f t="shared" si="493"/>
        <v>4.1602379281304811E-6</v>
      </c>
      <c r="X297" s="201">
        <f t="shared" si="494"/>
        <v>350</v>
      </c>
      <c r="Y297" s="451">
        <f t="shared" si="480"/>
        <v>350</v>
      </c>
      <c r="AA297" s="221">
        <f t="shared" si="495"/>
        <v>2.6665592966620477</v>
      </c>
      <c r="AB297" s="177">
        <f t="shared" si="496"/>
        <v>1.1503929066313219E-4</v>
      </c>
      <c r="AC297" s="177">
        <f t="shared" si="497"/>
        <v>2.4527153110202145</v>
      </c>
      <c r="AD297" s="177"/>
      <c r="AE297" s="177">
        <f t="shared" si="498"/>
        <v>6.4712206554230591E-6</v>
      </c>
      <c r="AF297" s="555">
        <f t="shared" si="499"/>
        <v>3652.800000000002</v>
      </c>
      <c r="AG297" s="538">
        <f t="shared" si="500"/>
        <v>7.7611695137976321E-3</v>
      </c>
      <c r="AI297" s="177">
        <f t="shared" si="501"/>
        <v>0.48458524239070383</v>
      </c>
      <c r="AJ297" s="177">
        <f t="shared" si="502"/>
        <v>0.48458524239070383</v>
      </c>
      <c r="AK297" s="177">
        <f t="shared" si="503"/>
        <v>1.4230568282604692</v>
      </c>
      <c r="AM297" s="555">
        <f t="shared" si="504"/>
        <v>81.000000000000014</v>
      </c>
      <c r="AN297" s="469">
        <f t="shared" si="505"/>
        <v>350</v>
      </c>
      <c r="AP297">
        <f t="shared" si="506"/>
        <v>81.000000000000014</v>
      </c>
      <c r="AQ297">
        <f t="shared" si="507"/>
        <v>350</v>
      </c>
      <c r="AS297" s="5">
        <f t="shared" si="479"/>
        <v>2.8571428571428572</v>
      </c>
      <c r="AT297" s="5">
        <f t="shared" si="508"/>
        <v>0.51919847399003982</v>
      </c>
      <c r="AU297" s="5">
        <f t="shared" si="440"/>
        <v>2.3379443831528173</v>
      </c>
      <c r="AV297" s="5"/>
      <c r="AW297" s="177">
        <f t="shared" si="441"/>
        <v>0.18171946589651394</v>
      </c>
      <c r="AX297" s="177"/>
      <c r="BA297" s="469">
        <f t="shared" si="509"/>
        <v>3.7498490124508512</v>
      </c>
      <c r="BB297" s="469">
        <f t="shared" si="510"/>
        <v>1.01846242354664</v>
      </c>
      <c r="BC297" s="5">
        <f t="shared" si="442"/>
        <v>9.3935265394532841E-2</v>
      </c>
      <c r="BD297" s="469">
        <f t="shared" si="511"/>
        <v>0</v>
      </c>
      <c r="BQ297" s="538">
        <f t="shared" si="512"/>
        <v>2.3206500000000005E-2</v>
      </c>
      <c r="CG297" s="571">
        <f t="shared" si="513"/>
        <v>-50</v>
      </c>
      <c r="CH297">
        <f t="shared" si="514"/>
        <v>-50</v>
      </c>
    </row>
    <row r="298" spans="5:86" x14ac:dyDescent="0.25">
      <c r="E298" s="174">
        <v>82</v>
      </c>
      <c r="F298" s="221">
        <f t="shared" si="515"/>
        <v>8.2000000000000003E-2</v>
      </c>
      <c r="G298" s="221"/>
      <c r="H298" s="221">
        <f t="shared" si="481"/>
        <v>1.23</v>
      </c>
      <c r="I298" s="551">
        <f t="shared" si="482"/>
        <v>28</v>
      </c>
      <c r="J298" s="451">
        <f t="shared" si="483"/>
        <v>695386.58000000007</v>
      </c>
      <c r="K298" s="451">
        <f t="shared" si="484"/>
        <v>695414.58000000007</v>
      </c>
      <c r="L298" s="451"/>
      <c r="M298" s="221">
        <f t="shared" si="485"/>
        <v>0.99995973624826795</v>
      </c>
      <c r="N298" s="176">
        <f t="shared" si="486"/>
        <v>9.8024053024945204</v>
      </c>
      <c r="O298" s="176">
        <f t="shared" si="478"/>
        <v>1.23</v>
      </c>
      <c r="P298" s="221">
        <f t="shared" si="487"/>
        <v>0.65349368683296805</v>
      </c>
      <c r="Q298" s="221">
        <f t="shared" si="488"/>
        <v>15</v>
      </c>
      <c r="R298" s="221"/>
      <c r="S298" s="176">
        <f t="shared" si="489"/>
        <v>115.24329076773128</v>
      </c>
      <c r="T298" s="176">
        <f t="shared" si="490"/>
        <v>15</v>
      </c>
      <c r="U298" s="221">
        <f t="shared" si="491"/>
        <v>9.7622978286408688E-2</v>
      </c>
      <c r="V298" s="221">
        <f t="shared" si="492"/>
        <v>0.1045960481640093</v>
      </c>
      <c r="W298" s="221">
        <f t="shared" si="493"/>
        <v>4.2115988902061641E-6</v>
      </c>
      <c r="X298" s="201">
        <f t="shared" si="494"/>
        <v>350</v>
      </c>
      <c r="Y298" s="451">
        <f t="shared" si="480"/>
        <v>350</v>
      </c>
      <c r="AA298" s="221">
        <f t="shared" si="495"/>
        <v>2.6665592966620477</v>
      </c>
      <c r="AB298" s="177">
        <f t="shared" si="496"/>
        <v>1.1503929066313219E-4</v>
      </c>
      <c r="AC298" s="177">
        <f t="shared" si="497"/>
        <v>2.4527153110202145</v>
      </c>
      <c r="AD298" s="177"/>
      <c r="AE298" s="177">
        <f t="shared" si="498"/>
        <v>6.4712206554230591E-6</v>
      </c>
      <c r="AF298" s="555">
        <f t="shared" si="499"/>
        <v>3697.8962962962974</v>
      </c>
      <c r="AG298" s="538">
        <f t="shared" si="500"/>
        <v>7.7611695137976321E-3</v>
      </c>
      <c r="AI298" s="177">
        <f t="shared" si="501"/>
        <v>0.48756733356727744</v>
      </c>
      <c r="AJ298" s="177">
        <f t="shared" si="502"/>
        <v>0.48756733356727744</v>
      </c>
      <c r="AK298" s="177">
        <f t="shared" si="503"/>
        <v>1.4250448890448517</v>
      </c>
      <c r="AM298" s="555">
        <f t="shared" si="504"/>
        <v>82</v>
      </c>
      <c r="AN298" s="469">
        <f t="shared" si="505"/>
        <v>350</v>
      </c>
      <c r="AP298">
        <f t="shared" si="506"/>
        <v>82</v>
      </c>
      <c r="AQ298">
        <f t="shared" si="507"/>
        <v>350</v>
      </c>
      <c r="AS298" s="5">
        <f t="shared" si="479"/>
        <v>2.8571428571428572</v>
      </c>
      <c r="AT298" s="5">
        <f t="shared" si="508"/>
        <v>0.52239357167922584</v>
      </c>
      <c r="AU298" s="5">
        <f t="shared" ref="AU298:AU316" si="516">AS298-AT298</f>
        <v>2.3347492854636314</v>
      </c>
      <c r="AV298" s="5"/>
      <c r="AW298" s="177">
        <f t="shared" ref="AW298:AW316" si="517">AT298/AS298</f>
        <v>0.18283775008772904</v>
      </c>
      <c r="AX298" s="177"/>
      <c r="BA298" s="469">
        <f t="shared" si="509"/>
        <v>3.7498490124508512</v>
      </c>
      <c r="BB298" s="469">
        <f t="shared" si="510"/>
        <v>1.0407278365992387</v>
      </c>
      <c r="BC298" s="5">
        <f t="shared" si="442"/>
        <v>9.4965000698421495E-2</v>
      </c>
      <c r="BD298" s="469">
        <f t="shared" si="511"/>
        <v>0</v>
      </c>
      <c r="BQ298" s="538">
        <f t="shared" si="512"/>
        <v>2.3493E-2</v>
      </c>
      <c r="CG298" s="571">
        <f t="shared" si="513"/>
        <v>-50</v>
      </c>
      <c r="CH298">
        <f t="shared" si="514"/>
        <v>-50</v>
      </c>
    </row>
    <row r="299" spans="5:86" x14ac:dyDescent="0.25">
      <c r="E299" s="174">
        <v>83</v>
      </c>
      <c r="F299" s="221">
        <f t="shared" si="515"/>
        <v>8.3000000000000004E-2</v>
      </c>
      <c r="G299" s="221"/>
      <c r="H299" s="221">
        <f t="shared" si="481"/>
        <v>1.2450000000000001</v>
      </c>
      <c r="I299" s="551">
        <f t="shared" si="482"/>
        <v>28</v>
      </c>
      <c r="J299" s="451">
        <f t="shared" si="483"/>
        <v>695386.58000000007</v>
      </c>
      <c r="K299" s="451">
        <f t="shared" si="484"/>
        <v>695414.58000000007</v>
      </c>
      <c r="L299" s="451"/>
      <c r="M299" s="221">
        <f t="shared" si="485"/>
        <v>0.99995973624826795</v>
      </c>
      <c r="N299" s="176">
        <f t="shared" si="486"/>
        <v>9.8024053024945204</v>
      </c>
      <c r="O299" s="176">
        <f t="shared" si="478"/>
        <v>1.2450000000000001</v>
      </c>
      <c r="P299" s="221">
        <f t="shared" si="487"/>
        <v>0.65349368683296805</v>
      </c>
      <c r="Q299" s="221">
        <f t="shared" si="488"/>
        <v>15</v>
      </c>
      <c r="R299" s="221"/>
      <c r="S299" s="176">
        <f t="shared" si="489"/>
        <v>113.85481002966654</v>
      </c>
      <c r="T299" s="176">
        <f t="shared" si="490"/>
        <v>15</v>
      </c>
      <c r="U299" s="221">
        <f t="shared" si="491"/>
        <v>9.8813502411852702E-2</v>
      </c>
      <c r="V299" s="221">
        <f t="shared" si="492"/>
        <v>0.10587160972698503</v>
      </c>
      <c r="W299" s="221">
        <f t="shared" si="493"/>
        <v>4.2629598522818495E-6</v>
      </c>
      <c r="X299" s="201">
        <f t="shared" si="494"/>
        <v>350</v>
      </c>
      <c r="Y299" s="451">
        <f t="shared" si="480"/>
        <v>350</v>
      </c>
      <c r="AA299" s="221">
        <f t="shared" si="495"/>
        <v>2.6665592966620477</v>
      </c>
      <c r="AB299" s="177">
        <f t="shared" si="496"/>
        <v>1.1503929066313219E-4</v>
      </c>
      <c r="AC299" s="177">
        <f t="shared" si="497"/>
        <v>2.4527153110202145</v>
      </c>
      <c r="AD299" s="177"/>
      <c r="AE299" s="177">
        <f t="shared" si="498"/>
        <v>6.4712206554230591E-6</v>
      </c>
      <c r="AF299" s="555">
        <f t="shared" si="499"/>
        <v>3742.9925925925936</v>
      </c>
      <c r="AG299" s="538">
        <f t="shared" si="500"/>
        <v>7.7611695137976321E-3</v>
      </c>
      <c r="AI299" s="177">
        <f t="shared" si="501"/>
        <v>0.49053129602600526</v>
      </c>
      <c r="AJ299" s="177">
        <f t="shared" si="502"/>
        <v>0.49053129602600526</v>
      </c>
      <c r="AK299" s="177">
        <f t="shared" si="503"/>
        <v>1.427020864017337</v>
      </c>
      <c r="AM299" s="555">
        <f t="shared" si="504"/>
        <v>83</v>
      </c>
      <c r="AN299" s="469">
        <f t="shared" si="505"/>
        <v>350</v>
      </c>
      <c r="AP299">
        <f t="shared" si="506"/>
        <v>83</v>
      </c>
      <c r="AQ299">
        <f t="shared" si="507"/>
        <v>350</v>
      </c>
      <c r="AS299" s="5">
        <f t="shared" si="479"/>
        <v>2.8571428571428572</v>
      </c>
      <c r="AT299" s="5">
        <f t="shared" si="508"/>
        <v>0.52556924574214847</v>
      </c>
      <c r="AU299" s="5">
        <f t="shared" si="516"/>
        <v>2.3315736114007088</v>
      </c>
      <c r="AV299" s="5"/>
      <c r="AW299" s="177">
        <f t="shared" si="517"/>
        <v>0.18394923600975197</v>
      </c>
      <c r="AX299" s="177"/>
      <c r="BA299" s="469">
        <f t="shared" si="509"/>
        <v>3.7498490124508512</v>
      </c>
      <c r="BB299" s="469">
        <f t="shared" si="510"/>
        <v>1.0632296350880659</v>
      </c>
      <c r="BC299" s="5">
        <f t="shared" si="442"/>
        <v>9.5992365945564886E-2</v>
      </c>
      <c r="BD299" s="469">
        <f t="shared" si="511"/>
        <v>0</v>
      </c>
      <c r="BQ299" s="538">
        <f t="shared" si="512"/>
        <v>2.3779500000000002E-2</v>
      </c>
      <c r="CG299" s="571">
        <f t="shared" si="513"/>
        <v>-50</v>
      </c>
      <c r="CH299">
        <f t="shared" si="514"/>
        <v>-50</v>
      </c>
    </row>
    <row r="300" spans="5:86" x14ac:dyDescent="0.25">
      <c r="E300" s="174">
        <v>84</v>
      </c>
      <c r="F300" s="221">
        <f t="shared" si="515"/>
        <v>8.4000000000000005E-2</v>
      </c>
      <c r="G300" s="221"/>
      <c r="H300" s="221">
        <f t="shared" si="481"/>
        <v>1.26</v>
      </c>
      <c r="I300" s="551">
        <f t="shared" si="482"/>
        <v>28</v>
      </c>
      <c r="J300" s="451">
        <f t="shared" si="483"/>
        <v>695386.58000000007</v>
      </c>
      <c r="K300" s="451">
        <f t="shared" si="484"/>
        <v>695414.58000000007</v>
      </c>
      <c r="L300" s="451"/>
      <c r="M300" s="221">
        <f t="shared" si="485"/>
        <v>0.99995973624826795</v>
      </c>
      <c r="N300" s="176">
        <f t="shared" si="486"/>
        <v>9.8024053024945204</v>
      </c>
      <c r="O300" s="176">
        <f t="shared" si="478"/>
        <v>1.26</v>
      </c>
      <c r="P300" s="221">
        <f t="shared" si="487"/>
        <v>0.65349368683296805</v>
      </c>
      <c r="Q300" s="221">
        <f t="shared" si="488"/>
        <v>15</v>
      </c>
      <c r="R300" s="221"/>
      <c r="S300" s="176">
        <f t="shared" si="489"/>
        <v>112.49938835713155</v>
      </c>
      <c r="T300" s="176">
        <f t="shared" si="490"/>
        <v>15</v>
      </c>
      <c r="U300" s="221">
        <f t="shared" si="491"/>
        <v>0.1000040265372967</v>
      </c>
      <c r="V300" s="221">
        <f t="shared" si="492"/>
        <v>0.10714717128996076</v>
      </c>
      <c r="W300" s="221">
        <f t="shared" si="493"/>
        <v>4.3143208143575341E-6</v>
      </c>
      <c r="X300" s="201">
        <f t="shared" si="494"/>
        <v>350</v>
      </c>
      <c r="Y300" s="451">
        <f t="shared" si="480"/>
        <v>350</v>
      </c>
      <c r="AA300" s="221">
        <f t="shared" si="495"/>
        <v>2.6665592966620477</v>
      </c>
      <c r="AB300" s="177">
        <f t="shared" si="496"/>
        <v>1.1503929066313219E-4</v>
      </c>
      <c r="AC300" s="177">
        <f t="shared" si="497"/>
        <v>2.4527153110202145</v>
      </c>
      <c r="AD300" s="177"/>
      <c r="AE300" s="177">
        <f t="shared" si="498"/>
        <v>6.4712206554230591E-6</v>
      </c>
      <c r="AF300" s="555">
        <f t="shared" si="499"/>
        <v>3788.0888888888899</v>
      </c>
      <c r="AG300" s="538">
        <f t="shared" si="500"/>
        <v>7.7611695137976321E-3</v>
      </c>
      <c r="AI300" s="177">
        <f t="shared" si="501"/>
        <v>0.49347745642531637</v>
      </c>
      <c r="AJ300" s="177">
        <f t="shared" si="502"/>
        <v>0.49347745642531637</v>
      </c>
      <c r="AK300" s="177">
        <f t="shared" si="503"/>
        <v>1.4289849709502109</v>
      </c>
      <c r="AM300" s="555">
        <f t="shared" si="504"/>
        <v>84</v>
      </c>
      <c r="AN300" s="469">
        <f t="shared" si="505"/>
        <v>350</v>
      </c>
      <c r="AP300">
        <f t="shared" si="506"/>
        <v>84</v>
      </c>
      <c r="AQ300">
        <f t="shared" si="507"/>
        <v>350</v>
      </c>
      <c r="AS300" s="5">
        <f t="shared" si="479"/>
        <v>2.8571428571428572</v>
      </c>
      <c r="AT300" s="5">
        <f t="shared" si="508"/>
        <v>0.52872584616998186</v>
      </c>
      <c r="AU300" s="5">
        <f t="shared" si="516"/>
        <v>2.3284170109728755</v>
      </c>
      <c r="AV300" s="5"/>
      <c r="AW300" s="177">
        <f t="shared" si="517"/>
        <v>0.18505404615949364</v>
      </c>
      <c r="AX300" s="177"/>
      <c r="BA300" s="469">
        <f t="shared" si="509"/>
        <v>3.7498490124508512</v>
      </c>
      <c r="BB300" s="469">
        <f t="shared" si="510"/>
        <v>1.0859678190131214</v>
      </c>
      <c r="BC300" s="5">
        <f t="shared" si="442"/>
        <v>9.7017375457203125E-2</v>
      </c>
      <c r="BD300" s="469">
        <f t="shared" si="511"/>
        <v>0</v>
      </c>
      <c r="BQ300" s="538">
        <f t="shared" si="512"/>
        <v>2.4066000000000001E-2</v>
      </c>
      <c r="CG300" s="571">
        <f t="shared" si="513"/>
        <v>-50</v>
      </c>
      <c r="CH300">
        <f t="shared" si="514"/>
        <v>-50</v>
      </c>
    </row>
    <row r="301" spans="5:86" x14ac:dyDescent="0.25">
      <c r="E301" s="174">
        <v>85</v>
      </c>
      <c r="F301" s="221">
        <f t="shared" si="515"/>
        <v>8.5000000000000006E-2</v>
      </c>
      <c r="G301" s="221"/>
      <c r="H301" s="221">
        <f t="shared" si="481"/>
        <v>1.2750000000000001</v>
      </c>
      <c r="I301" s="551">
        <f t="shared" si="482"/>
        <v>28</v>
      </c>
      <c r="J301" s="451">
        <f t="shared" si="483"/>
        <v>695386.58000000007</v>
      </c>
      <c r="K301" s="451">
        <f t="shared" si="484"/>
        <v>695414.58000000007</v>
      </c>
      <c r="L301" s="451"/>
      <c r="M301" s="221">
        <f t="shared" si="485"/>
        <v>0.99995973624826795</v>
      </c>
      <c r="N301" s="176">
        <f t="shared" si="486"/>
        <v>9.8024053024945204</v>
      </c>
      <c r="O301" s="176">
        <f t="shared" si="478"/>
        <v>1.2750000000000001</v>
      </c>
      <c r="P301" s="221">
        <f t="shared" si="487"/>
        <v>0.65349368683296805</v>
      </c>
      <c r="Q301" s="221">
        <f t="shared" si="488"/>
        <v>15</v>
      </c>
      <c r="R301" s="221"/>
      <c r="S301" s="176">
        <f t="shared" si="489"/>
        <v>111.17585895957819</v>
      </c>
      <c r="T301" s="176">
        <f t="shared" si="490"/>
        <v>15</v>
      </c>
      <c r="U301" s="221">
        <f t="shared" si="491"/>
        <v>0.10119455066274073</v>
      </c>
      <c r="V301" s="221">
        <f t="shared" si="492"/>
        <v>0.10842273285293651</v>
      </c>
      <c r="W301" s="221">
        <f t="shared" si="493"/>
        <v>4.3656817764332196E-6</v>
      </c>
      <c r="X301" s="201">
        <f t="shared" si="494"/>
        <v>350</v>
      </c>
      <c r="Y301" s="451">
        <f t="shared" si="480"/>
        <v>350</v>
      </c>
      <c r="AA301" s="221">
        <f t="shared" si="495"/>
        <v>2.6665592966620477</v>
      </c>
      <c r="AB301" s="177">
        <f t="shared" si="496"/>
        <v>1.1503929066313219E-4</v>
      </c>
      <c r="AC301" s="177">
        <f t="shared" si="497"/>
        <v>2.4527153110202145</v>
      </c>
      <c r="AD301" s="177"/>
      <c r="AE301" s="177">
        <f t="shared" si="498"/>
        <v>6.4712206554230591E-6</v>
      </c>
      <c r="AF301" s="555">
        <f t="shared" si="499"/>
        <v>3833.1851851851866</v>
      </c>
      <c r="AG301" s="538">
        <f t="shared" si="500"/>
        <v>7.7611695137976321E-3</v>
      </c>
      <c r="AI301" s="177">
        <f t="shared" si="501"/>
        <v>0.49640613172990483</v>
      </c>
      <c r="AJ301" s="177">
        <f t="shared" si="502"/>
        <v>0.49640613172990483</v>
      </c>
      <c r="AK301" s="177">
        <f t="shared" si="503"/>
        <v>1.4309374211532699</v>
      </c>
      <c r="AM301" s="555">
        <f t="shared" si="504"/>
        <v>85</v>
      </c>
      <c r="AN301" s="469">
        <f t="shared" si="505"/>
        <v>350</v>
      </c>
      <c r="AP301">
        <f t="shared" si="506"/>
        <v>85</v>
      </c>
      <c r="AQ301">
        <f t="shared" si="507"/>
        <v>350</v>
      </c>
      <c r="AS301" s="5">
        <f t="shared" si="479"/>
        <v>2.8571428571428572</v>
      </c>
      <c r="AT301" s="5">
        <f t="shared" si="508"/>
        <v>0.53186371256775522</v>
      </c>
      <c r="AU301" s="5">
        <f t="shared" si="516"/>
        <v>2.3252791445751022</v>
      </c>
      <c r="AV301" s="5"/>
      <c r="AW301" s="177">
        <f t="shared" si="517"/>
        <v>0.18615229939871433</v>
      </c>
      <c r="AX301" s="177"/>
      <c r="BA301" s="469">
        <f t="shared" si="509"/>
        <v>3.7498490124508512</v>
      </c>
      <c r="BB301" s="469">
        <f t="shared" si="510"/>
        <v>1.1089423883744052</v>
      </c>
      <c r="BC301" s="5">
        <f t="shared" si="442"/>
        <v>9.8040043298057378E-2</v>
      </c>
      <c r="BD301" s="469">
        <f t="shared" si="511"/>
        <v>0</v>
      </c>
      <c r="BQ301" s="538">
        <f t="shared" si="512"/>
        <v>2.4352499999999999E-2</v>
      </c>
      <c r="CG301" s="571">
        <f t="shared" si="513"/>
        <v>-50</v>
      </c>
      <c r="CH301">
        <f t="shared" si="514"/>
        <v>-50</v>
      </c>
    </row>
    <row r="302" spans="5:86" x14ac:dyDescent="0.25">
      <c r="E302" s="174">
        <v>86</v>
      </c>
      <c r="F302" s="221">
        <f t="shared" si="515"/>
        <v>8.6000000000000007E-2</v>
      </c>
      <c r="G302" s="221"/>
      <c r="H302" s="221">
        <f t="shared" si="481"/>
        <v>1.29</v>
      </c>
      <c r="I302" s="551">
        <f t="shared" si="482"/>
        <v>28</v>
      </c>
      <c r="J302" s="451">
        <f t="shared" si="483"/>
        <v>695386.58000000007</v>
      </c>
      <c r="K302" s="451">
        <f t="shared" si="484"/>
        <v>695414.58000000007</v>
      </c>
      <c r="L302" s="451"/>
      <c r="M302" s="221">
        <f t="shared" si="485"/>
        <v>0.99995973624826795</v>
      </c>
      <c r="N302" s="176">
        <f t="shared" si="486"/>
        <v>9.8024053024945204</v>
      </c>
      <c r="O302" s="176">
        <f t="shared" si="478"/>
        <v>1.29</v>
      </c>
      <c r="P302" s="221">
        <f t="shared" si="487"/>
        <v>0.65349368683296805</v>
      </c>
      <c r="Q302" s="221">
        <f t="shared" si="488"/>
        <v>15</v>
      </c>
      <c r="R302" s="221"/>
      <c r="S302" s="176">
        <f t="shared" si="489"/>
        <v>109.88310931578613</v>
      </c>
      <c r="T302" s="176">
        <f t="shared" si="490"/>
        <v>15</v>
      </c>
      <c r="U302" s="221">
        <f t="shared" si="491"/>
        <v>0.10238507478818473</v>
      </c>
      <c r="V302" s="221">
        <f t="shared" si="492"/>
        <v>0.10969829441591221</v>
      </c>
      <c r="W302" s="221">
        <f t="shared" si="493"/>
        <v>4.4170427385089042E-6</v>
      </c>
      <c r="X302" s="201">
        <f t="shared" si="494"/>
        <v>350</v>
      </c>
      <c r="Y302" s="451">
        <f t="shared" si="480"/>
        <v>350</v>
      </c>
      <c r="AA302" s="221">
        <f t="shared" si="495"/>
        <v>2.6665592966620477</v>
      </c>
      <c r="AB302" s="177">
        <f t="shared" si="496"/>
        <v>1.1503929066313219E-4</v>
      </c>
      <c r="AC302" s="177">
        <f t="shared" si="497"/>
        <v>2.4527153110202145</v>
      </c>
      <c r="AD302" s="177"/>
      <c r="AE302" s="177">
        <f t="shared" si="498"/>
        <v>6.4712206554230591E-6</v>
      </c>
      <c r="AF302" s="555">
        <f t="shared" si="499"/>
        <v>3878.2814814814828</v>
      </c>
      <c r="AG302" s="538">
        <f t="shared" si="500"/>
        <v>7.7611695137976321E-3</v>
      </c>
      <c r="AI302" s="177">
        <f t="shared" si="501"/>
        <v>0.49931762960874437</v>
      </c>
      <c r="AJ302" s="177">
        <f t="shared" si="502"/>
        <v>0.49931762960874437</v>
      </c>
      <c r="AK302" s="177">
        <f t="shared" si="503"/>
        <v>1.4328784197391629</v>
      </c>
      <c r="AM302" s="555">
        <f t="shared" si="504"/>
        <v>86</v>
      </c>
      <c r="AN302" s="469">
        <f t="shared" si="505"/>
        <v>350</v>
      </c>
      <c r="AP302">
        <f t="shared" si="506"/>
        <v>86</v>
      </c>
      <c r="AQ302">
        <f t="shared" si="507"/>
        <v>350</v>
      </c>
      <c r="AS302" s="5">
        <f t="shared" si="479"/>
        <v>2.8571428571428572</v>
      </c>
      <c r="AT302" s="5">
        <f t="shared" si="508"/>
        <v>0.53498317458079758</v>
      </c>
      <c r="AU302" s="5">
        <f t="shared" si="516"/>
        <v>2.3221596825620594</v>
      </c>
      <c r="AV302" s="5"/>
      <c r="AW302" s="177">
        <f t="shared" si="517"/>
        <v>0.18724411110327915</v>
      </c>
      <c r="AX302" s="177"/>
      <c r="BA302" s="469">
        <f t="shared" si="509"/>
        <v>3.7498490124508512</v>
      </c>
      <c r="BB302" s="469">
        <f t="shared" si="510"/>
        <v>1.1321533431719173</v>
      </c>
      <c r="BC302" s="5">
        <f t="shared" si="442"/>
        <v>9.9060383283897352E-2</v>
      </c>
      <c r="BD302" s="469">
        <f t="shared" si="511"/>
        <v>0</v>
      </c>
      <c r="BQ302" s="538">
        <f t="shared" si="512"/>
        <v>2.4638999999999998E-2</v>
      </c>
      <c r="CG302" s="571">
        <f t="shared" si="513"/>
        <v>-50</v>
      </c>
      <c r="CH302">
        <f t="shared" si="514"/>
        <v>-50</v>
      </c>
    </row>
    <row r="303" spans="5:86" x14ac:dyDescent="0.25">
      <c r="E303" s="174">
        <v>87</v>
      </c>
      <c r="F303" s="221">
        <f t="shared" si="515"/>
        <v>8.7000000000000008E-2</v>
      </c>
      <c r="G303" s="221"/>
      <c r="H303" s="221">
        <f t="shared" si="481"/>
        <v>1.3050000000000002</v>
      </c>
      <c r="I303" s="551">
        <f t="shared" si="482"/>
        <v>28</v>
      </c>
      <c r="J303" s="451">
        <f t="shared" si="483"/>
        <v>695386.58000000007</v>
      </c>
      <c r="K303" s="451">
        <f t="shared" si="484"/>
        <v>695414.58000000007</v>
      </c>
      <c r="L303" s="451"/>
      <c r="M303" s="221">
        <f t="shared" si="485"/>
        <v>0.99995973624826795</v>
      </c>
      <c r="N303" s="176">
        <f t="shared" si="486"/>
        <v>9.8024053024945204</v>
      </c>
      <c r="O303" s="176">
        <f t="shared" si="478"/>
        <v>1.3050000000000002</v>
      </c>
      <c r="P303" s="221">
        <f t="shared" si="487"/>
        <v>0.65349368683296805</v>
      </c>
      <c r="Q303" s="221">
        <f t="shared" si="488"/>
        <v>15</v>
      </c>
      <c r="R303" s="221"/>
      <c r="S303" s="176">
        <f t="shared" si="489"/>
        <v>108.620078054936</v>
      </c>
      <c r="T303" s="176">
        <f t="shared" si="490"/>
        <v>15</v>
      </c>
      <c r="U303" s="221">
        <f t="shared" si="491"/>
        <v>0.10357559891362875</v>
      </c>
      <c r="V303" s="221">
        <f t="shared" si="492"/>
        <v>0.11097385597888795</v>
      </c>
      <c r="W303" s="221">
        <f t="shared" si="493"/>
        <v>4.4684037005845897E-6</v>
      </c>
      <c r="X303" s="201">
        <f t="shared" si="494"/>
        <v>350</v>
      </c>
      <c r="Y303" s="451">
        <f t="shared" si="480"/>
        <v>350</v>
      </c>
      <c r="AA303" s="221">
        <f t="shared" si="495"/>
        <v>2.6665592966620477</v>
      </c>
      <c r="AB303" s="177">
        <f t="shared" si="496"/>
        <v>1.1503929066313219E-4</v>
      </c>
      <c r="AC303" s="177">
        <f t="shared" si="497"/>
        <v>2.4527153110202145</v>
      </c>
      <c r="AD303" s="177"/>
      <c r="AE303" s="177">
        <f t="shared" si="498"/>
        <v>6.4712206554230591E-6</v>
      </c>
      <c r="AF303" s="555">
        <f t="shared" si="499"/>
        <v>3923.3777777777791</v>
      </c>
      <c r="AG303" s="538">
        <f t="shared" si="500"/>
        <v>7.7611695137976321E-3</v>
      </c>
      <c r="AI303" s="177">
        <f t="shared" si="501"/>
        <v>0.50221224881233517</v>
      </c>
      <c r="AJ303" s="177">
        <f t="shared" si="502"/>
        <v>0.50221224881233517</v>
      </c>
      <c r="AK303" s="177">
        <f t="shared" si="503"/>
        <v>1.4348081658748901</v>
      </c>
      <c r="AM303" s="555">
        <f t="shared" si="504"/>
        <v>87.000000000000014</v>
      </c>
      <c r="AN303" s="469">
        <f t="shared" si="505"/>
        <v>350</v>
      </c>
      <c r="AP303">
        <f t="shared" si="506"/>
        <v>87.000000000000014</v>
      </c>
      <c r="AQ303">
        <f t="shared" si="507"/>
        <v>350</v>
      </c>
      <c r="AS303" s="5">
        <f t="shared" si="479"/>
        <v>2.8571428571428572</v>
      </c>
      <c r="AT303" s="5">
        <f t="shared" si="508"/>
        <v>0.5380845522989306</v>
      </c>
      <c r="AU303" s="5">
        <f t="shared" si="516"/>
        <v>2.3190583048439266</v>
      </c>
      <c r="AV303" s="5"/>
      <c r="AW303" s="177">
        <f t="shared" si="517"/>
        <v>0.1883295933046257</v>
      </c>
      <c r="AX303" s="177"/>
      <c r="BA303" s="469">
        <f t="shared" si="509"/>
        <v>3.7498490124508512</v>
      </c>
      <c r="BB303" s="469">
        <f t="shared" si="510"/>
        <v>1.1556006834056571</v>
      </c>
      <c r="BC303" s="5">
        <f t="shared" si="442"/>
        <v>0.1000784089888004</v>
      </c>
      <c r="BD303" s="469">
        <f t="shared" si="511"/>
        <v>0</v>
      </c>
      <c r="BQ303" s="538">
        <f t="shared" si="512"/>
        <v>2.49255E-2</v>
      </c>
      <c r="CG303" s="571">
        <f t="shared" si="513"/>
        <v>-50</v>
      </c>
      <c r="CH303">
        <f t="shared" si="514"/>
        <v>-50</v>
      </c>
    </row>
    <row r="304" spans="5:86" x14ac:dyDescent="0.25">
      <c r="E304" s="174">
        <v>88</v>
      </c>
      <c r="F304" s="221">
        <f t="shared" si="515"/>
        <v>8.8000000000000009E-2</v>
      </c>
      <c r="G304" s="221"/>
      <c r="H304" s="221">
        <f t="shared" si="481"/>
        <v>1.32</v>
      </c>
      <c r="I304" s="551">
        <f t="shared" si="482"/>
        <v>28</v>
      </c>
      <c r="J304" s="451">
        <f t="shared" si="483"/>
        <v>695386.58000000007</v>
      </c>
      <c r="K304" s="451">
        <f t="shared" si="484"/>
        <v>695414.58000000007</v>
      </c>
      <c r="L304" s="451"/>
      <c r="M304" s="221">
        <f t="shared" si="485"/>
        <v>0.99995973624826795</v>
      </c>
      <c r="N304" s="176">
        <f t="shared" si="486"/>
        <v>9.8024053024945204</v>
      </c>
      <c r="O304" s="176">
        <f t="shared" si="478"/>
        <v>1.32</v>
      </c>
      <c r="P304" s="221">
        <f t="shared" si="487"/>
        <v>0.65349368683296805</v>
      </c>
      <c r="Q304" s="221">
        <f t="shared" si="488"/>
        <v>15</v>
      </c>
      <c r="R304" s="221"/>
      <c r="S304" s="176">
        <f t="shared" si="489"/>
        <v>107.38575205033659</v>
      </c>
      <c r="T304" s="176">
        <f t="shared" si="490"/>
        <v>15</v>
      </c>
      <c r="U304" s="221">
        <f t="shared" si="491"/>
        <v>0.10476612303907275</v>
      </c>
      <c r="V304" s="221">
        <f t="shared" si="492"/>
        <v>0.11224941754186366</v>
      </c>
      <c r="W304" s="221">
        <f t="shared" si="493"/>
        <v>4.5197646626602743E-6</v>
      </c>
      <c r="X304" s="201">
        <f t="shared" si="494"/>
        <v>350</v>
      </c>
      <c r="Y304" s="451">
        <f t="shared" si="480"/>
        <v>350</v>
      </c>
      <c r="AA304" s="221">
        <f t="shared" si="495"/>
        <v>2.6665592966620477</v>
      </c>
      <c r="AB304" s="177">
        <f t="shared" si="496"/>
        <v>1.1503929066313219E-4</v>
      </c>
      <c r="AC304" s="177">
        <f t="shared" si="497"/>
        <v>2.4527153110202145</v>
      </c>
      <c r="AD304" s="177"/>
      <c r="AE304" s="177">
        <f t="shared" si="498"/>
        <v>6.4712206554230591E-6</v>
      </c>
      <c r="AF304" s="555">
        <f t="shared" si="499"/>
        <v>3968.4740740740754</v>
      </c>
      <c r="AG304" s="538">
        <f t="shared" si="500"/>
        <v>7.7611695137976321E-3</v>
      </c>
      <c r="AI304" s="177">
        <f t="shared" si="501"/>
        <v>0.5050902795304919</v>
      </c>
      <c r="AJ304" s="177">
        <f t="shared" si="502"/>
        <v>0.5050902795304919</v>
      </c>
      <c r="AK304" s="177">
        <f t="shared" si="503"/>
        <v>1.4367268530203279</v>
      </c>
      <c r="AM304" s="555">
        <f t="shared" si="504"/>
        <v>88.000000000000014</v>
      </c>
      <c r="AN304" s="469">
        <f t="shared" si="505"/>
        <v>350</v>
      </c>
      <c r="AP304">
        <f t="shared" si="506"/>
        <v>88.000000000000014</v>
      </c>
      <c r="AQ304">
        <f t="shared" si="507"/>
        <v>350</v>
      </c>
      <c r="AS304" s="5">
        <f t="shared" si="479"/>
        <v>2.8571428571428572</v>
      </c>
      <c r="AT304" s="5">
        <f t="shared" si="508"/>
        <v>0.54116815663981266</v>
      </c>
      <c r="AU304" s="5">
        <f t="shared" si="516"/>
        <v>2.3159747005030447</v>
      </c>
      <c r="AV304" s="5"/>
      <c r="AW304" s="177">
        <f t="shared" si="517"/>
        <v>0.18940885482393444</v>
      </c>
      <c r="AX304" s="177"/>
      <c r="BA304" s="469">
        <f t="shared" si="509"/>
        <v>3.7498490124508512</v>
      </c>
      <c r="BB304" s="469">
        <f t="shared" si="510"/>
        <v>1.1792844090756256</v>
      </c>
      <c r="BC304" s="5">
        <f t="shared" si="442"/>
        <v>0.10109413375211701</v>
      </c>
      <c r="BD304" s="469">
        <f t="shared" si="511"/>
        <v>0</v>
      </c>
      <c r="BQ304" s="538">
        <f t="shared" si="512"/>
        <v>2.5212000000000002E-2</v>
      </c>
      <c r="CG304" s="571">
        <f t="shared" si="513"/>
        <v>-50</v>
      </c>
      <c r="CH304">
        <f t="shared" si="514"/>
        <v>-50</v>
      </c>
    </row>
    <row r="305" spans="4:86" x14ac:dyDescent="0.25">
      <c r="E305" s="174">
        <v>89</v>
      </c>
      <c r="F305" s="221">
        <f t="shared" si="515"/>
        <v>8.900000000000001E-2</v>
      </c>
      <c r="G305" s="221"/>
      <c r="H305" s="221">
        <f t="shared" si="481"/>
        <v>1.3350000000000002</v>
      </c>
      <c r="I305" s="551">
        <f t="shared" si="482"/>
        <v>28</v>
      </c>
      <c r="J305" s="451">
        <f t="shared" si="483"/>
        <v>695386.58000000007</v>
      </c>
      <c r="K305" s="451">
        <f t="shared" si="484"/>
        <v>695414.58000000007</v>
      </c>
      <c r="L305" s="451"/>
      <c r="M305" s="221">
        <f t="shared" si="485"/>
        <v>0.99995973624826795</v>
      </c>
      <c r="N305" s="176">
        <f t="shared" si="486"/>
        <v>9.8024053024945204</v>
      </c>
      <c r="O305" s="176">
        <f t="shared" si="478"/>
        <v>1.3350000000000002</v>
      </c>
      <c r="P305" s="221">
        <f t="shared" si="487"/>
        <v>0.65349368683296805</v>
      </c>
      <c r="Q305" s="221">
        <f t="shared" si="488"/>
        <v>15</v>
      </c>
      <c r="R305" s="221"/>
      <c r="S305" s="176">
        <f t="shared" si="489"/>
        <v>106.17916370908053</v>
      </c>
      <c r="T305" s="176">
        <f t="shared" si="490"/>
        <v>15</v>
      </c>
      <c r="U305" s="221">
        <f t="shared" si="491"/>
        <v>0.10595664716451676</v>
      </c>
      <c r="V305" s="221">
        <f t="shared" si="492"/>
        <v>0.1135249791048394</v>
      </c>
      <c r="W305" s="221">
        <f t="shared" si="493"/>
        <v>4.5711256247359598E-6</v>
      </c>
      <c r="X305" s="201">
        <f t="shared" si="494"/>
        <v>350</v>
      </c>
      <c r="Y305" s="451">
        <f t="shared" si="480"/>
        <v>350</v>
      </c>
      <c r="AA305" s="221">
        <f t="shared" si="495"/>
        <v>2.6665592966620477</v>
      </c>
      <c r="AB305" s="177">
        <f t="shared" si="496"/>
        <v>1.1503929066313219E-4</v>
      </c>
      <c r="AC305" s="177">
        <f t="shared" si="497"/>
        <v>2.4527153110202145</v>
      </c>
      <c r="AD305" s="177"/>
      <c r="AE305" s="177">
        <f t="shared" si="498"/>
        <v>6.4712206554230591E-6</v>
      </c>
      <c r="AF305" s="555">
        <f t="shared" si="499"/>
        <v>4013.5703703703716</v>
      </c>
      <c r="AG305" s="538">
        <f t="shared" si="500"/>
        <v>7.7611695137976321E-3</v>
      </c>
      <c r="AI305" s="177">
        <f t="shared" si="501"/>
        <v>0.5079520037318862</v>
      </c>
      <c r="AJ305" s="177">
        <f t="shared" si="502"/>
        <v>0.5079520037318862</v>
      </c>
      <c r="AK305" s="177">
        <f t="shared" si="503"/>
        <v>1.4386346691545908</v>
      </c>
      <c r="AM305" s="555">
        <f t="shared" si="504"/>
        <v>89.000000000000014</v>
      </c>
      <c r="AN305" s="469">
        <f t="shared" si="505"/>
        <v>350</v>
      </c>
      <c r="AP305">
        <f t="shared" si="506"/>
        <v>89.000000000000014</v>
      </c>
      <c r="AQ305">
        <f t="shared" si="507"/>
        <v>350</v>
      </c>
      <c r="AS305" s="5">
        <f t="shared" si="479"/>
        <v>2.8571428571428572</v>
      </c>
      <c r="AT305" s="5">
        <f t="shared" si="508"/>
        <v>0.54423428971273524</v>
      </c>
      <c r="AU305" s="5">
        <f t="shared" si="516"/>
        <v>2.3129085674301217</v>
      </c>
      <c r="AV305" s="5"/>
      <c r="AW305" s="177">
        <f t="shared" si="517"/>
        <v>0.19048200139945734</v>
      </c>
      <c r="AX305" s="177"/>
      <c r="BA305" s="469">
        <f t="shared" si="509"/>
        <v>3.7498490124508512</v>
      </c>
      <c r="BB305" s="469">
        <f t="shared" si="510"/>
        <v>1.203204520181822</v>
      </c>
      <c r="BC305" s="5">
        <f t="shared" si="442"/>
        <v>0.10210757068515916</v>
      </c>
      <c r="BD305" s="469">
        <f t="shared" si="511"/>
        <v>0</v>
      </c>
      <c r="BQ305" s="538">
        <f t="shared" si="512"/>
        <v>2.54985E-2</v>
      </c>
      <c r="CG305" s="571">
        <f t="shared" si="513"/>
        <v>-50</v>
      </c>
      <c r="CH305">
        <f t="shared" si="514"/>
        <v>-50</v>
      </c>
    </row>
    <row r="306" spans="4:86" x14ac:dyDescent="0.25">
      <c r="E306" s="174">
        <v>90</v>
      </c>
      <c r="F306" s="221">
        <f t="shared" si="515"/>
        <v>9.0000000000000011E-2</v>
      </c>
      <c r="G306" s="221"/>
      <c r="H306" s="221">
        <f t="shared" si="481"/>
        <v>1.35</v>
      </c>
      <c r="I306" s="551">
        <f t="shared" si="482"/>
        <v>28</v>
      </c>
      <c r="J306" s="451">
        <f t="shared" si="483"/>
        <v>695386.58000000007</v>
      </c>
      <c r="K306" s="451">
        <f t="shared" si="484"/>
        <v>695414.58000000007</v>
      </c>
      <c r="L306" s="451"/>
      <c r="M306" s="221">
        <f t="shared" si="485"/>
        <v>0.99995973624826795</v>
      </c>
      <c r="N306" s="176">
        <f t="shared" si="486"/>
        <v>9.8024053024945204</v>
      </c>
      <c r="O306" s="176">
        <f t="shared" si="478"/>
        <v>1.35</v>
      </c>
      <c r="P306" s="221">
        <f t="shared" si="487"/>
        <v>0.65349368683296805</v>
      </c>
      <c r="Q306" s="221">
        <f t="shared" si="488"/>
        <v>15</v>
      </c>
      <c r="R306" s="221"/>
      <c r="S306" s="176">
        <f t="shared" si="489"/>
        <v>104.9993884423897</v>
      </c>
      <c r="T306" s="176">
        <f t="shared" si="490"/>
        <v>15</v>
      </c>
      <c r="U306" s="221">
        <f t="shared" si="491"/>
        <v>0.10714717128996076</v>
      </c>
      <c r="V306" s="221">
        <f t="shared" si="492"/>
        <v>0.1148005406678151</v>
      </c>
      <c r="W306" s="221">
        <f t="shared" si="493"/>
        <v>4.6224865868116452E-6</v>
      </c>
      <c r="X306" s="201">
        <f t="shared" si="494"/>
        <v>350</v>
      </c>
      <c r="Y306" s="451">
        <f t="shared" si="480"/>
        <v>350</v>
      </c>
      <c r="AA306" s="221">
        <f t="shared" si="495"/>
        <v>2.6665592966620477</v>
      </c>
      <c r="AB306" s="177">
        <f t="shared" si="496"/>
        <v>1.1503929066313219E-4</v>
      </c>
      <c r="AC306" s="177">
        <f t="shared" si="497"/>
        <v>2.4527153110202145</v>
      </c>
      <c r="AD306" s="177"/>
      <c r="AE306" s="177">
        <f t="shared" si="498"/>
        <v>6.4712206554230591E-6</v>
      </c>
      <c r="AF306" s="555">
        <f t="shared" si="499"/>
        <v>4058.6666666666683</v>
      </c>
      <c r="AG306" s="538">
        <f t="shared" si="500"/>
        <v>7.7611695137976321E-3</v>
      </c>
      <c r="AI306" s="177">
        <f t="shared" si="501"/>
        <v>0.51079769548646725</v>
      </c>
      <c r="AJ306" s="177">
        <f t="shared" si="502"/>
        <v>0.51079769548646725</v>
      </c>
      <c r="AK306" s="177">
        <f t="shared" si="503"/>
        <v>1.4405317969909781</v>
      </c>
      <c r="AM306" s="555">
        <f t="shared" si="504"/>
        <v>90.000000000000014</v>
      </c>
      <c r="AN306" s="469">
        <f t="shared" si="505"/>
        <v>350</v>
      </c>
      <c r="AP306">
        <f t="shared" si="506"/>
        <v>90.000000000000014</v>
      </c>
      <c r="AQ306">
        <f t="shared" si="507"/>
        <v>350</v>
      </c>
      <c r="AS306" s="5">
        <f t="shared" si="479"/>
        <v>2.8571428571428572</v>
      </c>
      <c r="AT306" s="5">
        <f t="shared" si="508"/>
        <v>0.54728324516407201</v>
      </c>
      <c r="AU306" s="5">
        <f t="shared" si="516"/>
        <v>2.3098596119787853</v>
      </c>
      <c r="AV306" s="5"/>
      <c r="AW306" s="177">
        <f t="shared" si="517"/>
        <v>0.19154913580742519</v>
      </c>
      <c r="AX306" s="177"/>
      <c r="BA306" s="469">
        <f t="shared" si="509"/>
        <v>3.7498490124508512</v>
      </c>
      <c r="BB306" s="469">
        <f t="shared" si="510"/>
        <v>1.2273610167242466</v>
      </c>
      <c r="BC306" s="5">
        <f t="shared" si="442"/>
        <v>0.10311873267762432</v>
      </c>
      <c r="BD306" s="469">
        <f t="shared" si="511"/>
        <v>0</v>
      </c>
      <c r="BQ306" s="538">
        <f t="shared" si="512"/>
        <v>2.5785000000000002E-2</v>
      </c>
      <c r="CG306" s="571">
        <f t="shared" si="513"/>
        <v>-50</v>
      </c>
      <c r="CH306">
        <f t="shared" si="514"/>
        <v>-50</v>
      </c>
    </row>
    <row r="307" spans="4:86" x14ac:dyDescent="0.25">
      <c r="E307" s="174">
        <v>91</v>
      </c>
      <c r="F307" s="221">
        <f t="shared" si="515"/>
        <v>9.1000000000000011E-2</v>
      </c>
      <c r="G307" s="221"/>
      <c r="H307" s="221">
        <f t="shared" si="481"/>
        <v>1.3650000000000002</v>
      </c>
      <c r="I307" s="551">
        <f t="shared" si="482"/>
        <v>28</v>
      </c>
      <c r="J307" s="451">
        <f t="shared" si="483"/>
        <v>695386.58000000007</v>
      </c>
      <c r="K307" s="451">
        <f t="shared" si="484"/>
        <v>695414.58000000007</v>
      </c>
      <c r="L307" s="451"/>
      <c r="M307" s="221">
        <f t="shared" si="485"/>
        <v>0.99995973624826795</v>
      </c>
      <c r="N307" s="176">
        <f t="shared" si="486"/>
        <v>9.8024053024945204</v>
      </c>
      <c r="O307" s="176">
        <f t="shared" si="478"/>
        <v>1.3650000000000002</v>
      </c>
      <c r="P307" s="221">
        <f t="shared" si="487"/>
        <v>0.65349368683296805</v>
      </c>
      <c r="Q307" s="221">
        <f t="shared" si="488"/>
        <v>15</v>
      </c>
      <c r="R307" s="221"/>
      <c r="S307" s="176">
        <f t="shared" si="489"/>
        <v>103.84554230275091</v>
      </c>
      <c r="T307" s="176">
        <f t="shared" si="490"/>
        <v>15</v>
      </c>
      <c r="U307" s="221">
        <f t="shared" si="491"/>
        <v>0.10833769541540479</v>
      </c>
      <c r="V307" s="221">
        <f t="shared" si="492"/>
        <v>0.11607610223079085</v>
      </c>
      <c r="W307" s="221">
        <f t="shared" si="493"/>
        <v>4.6738475488873307E-6</v>
      </c>
      <c r="X307" s="201">
        <f t="shared" si="494"/>
        <v>350</v>
      </c>
      <c r="Y307" s="451">
        <f t="shared" si="480"/>
        <v>350</v>
      </c>
      <c r="AA307" s="221">
        <f t="shared" si="495"/>
        <v>2.6665592966620477</v>
      </c>
      <c r="AB307" s="177">
        <f t="shared" si="496"/>
        <v>1.1503929066313219E-4</v>
      </c>
      <c r="AC307" s="177">
        <f t="shared" si="497"/>
        <v>2.4527153110202145</v>
      </c>
      <c r="AD307" s="177"/>
      <c r="AE307" s="177">
        <f t="shared" si="498"/>
        <v>6.4712206554230591E-6</v>
      </c>
      <c r="AF307" s="555">
        <f t="shared" si="499"/>
        <v>4103.7629629629646</v>
      </c>
      <c r="AG307" s="538">
        <f t="shared" si="500"/>
        <v>7.7611695137976321E-3</v>
      </c>
      <c r="AI307" s="177">
        <f t="shared" si="501"/>
        <v>0.51362762127180561</v>
      </c>
      <c r="AJ307" s="177">
        <f t="shared" si="502"/>
        <v>0.51362762127180561</v>
      </c>
      <c r="AK307" s="177">
        <f t="shared" si="503"/>
        <v>1.4424184141812038</v>
      </c>
      <c r="AM307" s="555">
        <f t="shared" si="504"/>
        <v>91.000000000000014</v>
      </c>
      <c r="AN307" s="469">
        <f t="shared" si="505"/>
        <v>350</v>
      </c>
      <c r="AP307">
        <f t="shared" si="506"/>
        <v>91.000000000000014</v>
      </c>
      <c r="AQ307">
        <f t="shared" si="507"/>
        <v>350</v>
      </c>
      <c r="AS307" s="5">
        <f t="shared" si="479"/>
        <v>2.8571428571428572</v>
      </c>
      <c r="AT307" s="5">
        <f t="shared" si="508"/>
        <v>0.55031530850550603</v>
      </c>
      <c r="AU307" s="5">
        <f t="shared" si="516"/>
        <v>2.3068275486373513</v>
      </c>
      <c r="AV307" s="5"/>
      <c r="AW307" s="177">
        <f t="shared" si="517"/>
        <v>0.1926103579769271</v>
      </c>
      <c r="AX307" s="177"/>
      <c r="BA307" s="469">
        <f t="shared" si="509"/>
        <v>3.7498490124508512</v>
      </c>
      <c r="BB307" s="469">
        <f t="shared" si="510"/>
        <v>1.2517538987028995</v>
      </c>
      <c r="BC307" s="5">
        <f t="shared" si="442"/>
        <v>0.10412763240376934</v>
      </c>
      <c r="BD307" s="469">
        <f t="shared" si="511"/>
        <v>0</v>
      </c>
      <c r="BQ307" s="538">
        <f t="shared" si="512"/>
        <v>2.6071500000000001E-2</v>
      </c>
      <c r="CG307" s="571">
        <f t="shared" si="513"/>
        <v>-50</v>
      </c>
      <c r="CH307">
        <f t="shared" si="514"/>
        <v>-50</v>
      </c>
    </row>
    <row r="308" spans="4:86" x14ac:dyDescent="0.25">
      <c r="E308" s="174">
        <v>92</v>
      </c>
      <c r="F308" s="221">
        <f t="shared" si="515"/>
        <v>9.2000000000000012E-2</v>
      </c>
      <c r="G308" s="221"/>
      <c r="H308" s="221">
        <f t="shared" si="481"/>
        <v>1.3800000000000001</v>
      </c>
      <c r="I308" s="551">
        <f t="shared" si="482"/>
        <v>28</v>
      </c>
      <c r="J308" s="451">
        <f t="shared" si="483"/>
        <v>695386.58000000007</v>
      </c>
      <c r="K308" s="451">
        <f t="shared" si="484"/>
        <v>695414.58000000007</v>
      </c>
      <c r="L308" s="451"/>
      <c r="M308" s="221">
        <f t="shared" si="485"/>
        <v>0.99995973624826795</v>
      </c>
      <c r="N308" s="176">
        <f t="shared" si="486"/>
        <v>9.8024053024945204</v>
      </c>
      <c r="O308" s="176">
        <f t="shared" si="478"/>
        <v>1.3800000000000001</v>
      </c>
      <c r="P308" s="221">
        <f t="shared" si="487"/>
        <v>0.65349368683296805</v>
      </c>
      <c r="Q308" s="221">
        <f t="shared" si="488"/>
        <v>15</v>
      </c>
      <c r="R308" s="221"/>
      <c r="S308" s="176">
        <f t="shared" si="489"/>
        <v>102.71677977515166</v>
      </c>
      <c r="T308" s="176">
        <f t="shared" si="490"/>
        <v>15</v>
      </c>
      <c r="U308" s="221">
        <f t="shared" si="491"/>
        <v>0.10952821954084879</v>
      </c>
      <c r="V308" s="221">
        <f t="shared" si="492"/>
        <v>0.11735166379376656</v>
      </c>
      <c r="W308" s="221">
        <f t="shared" si="493"/>
        <v>4.7252085109630153E-6</v>
      </c>
      <c r="X308" s="201">
        <f t="shared" si="494"/>
        <v>350</v>
      </c>
      <c r="Y308" s="451">
        <f t="shared" si="480"/>
        <v>350</v>
      </c>
      <c r="AA308" s="221">
        <f t="shared" si="495"/>
        <v>2.6665592966620477</v>
      </c>
      <c r="AB308" s="177">
        <f t="shared" si="496"/>
        <v>1.1503929066313219E-4</v>
      </c>
      <c r="AC308" s="177">
        <f t="shared" si="497"/>
        <v>2.4527153110202145</v>
      </c>
      <c r="AD308" s="177"/>
      <c r="AE308" s="177">
        <f t="shared" si="498"/>
        <v>6.4712206554230591E-6</v>
      </c>
      <c r="AF308" s="555">
        <f t="shared" si="499"/>
        <v>4148.8592592592604</v>
      </c>
      <c r="AG308" s="538">
        <f t="shared" si="500"/>
        <v>7.7611695137976321E-3</v>
      </c>
      <c r="AI308" s="177">
        <f t="shared" si="501"/>
        <v>0.51644204026432727</v>
      </c>
      <c r="AJ308" s="177">
        <f t="shared" si="502"/>
        <v>0.51644204026432727</v>
      </c>
      <c r="AK308" s="177">
        <f t="shared" si="503"/>
        <v>1.4442946935095515</v>
      </c>
      <c r="AM308" s="555">
        <f t="shared" si="504"/>
        <v>92.000000000000014</v>
      </c>
      <c r="AN308" s="469">
        <f t="shared" si="505"/>
        <v>350</v>
      </c>
      <c r="AP308">
        <f t="shared" si="506"/>
        <v>92.000000000000014</v>
      </c>
      <c r="AQ308">
        <f t="shared" si="507"/>
        <v>350</v>
      </c>
      <c r="AS308" s="5">
        <f t="shared" si="479"/>
        <v>2.8571428571428572</v>
      </c>
      <c r="AT308" s="5">
        <f t="shared" si="508"/>
        <v>0.55333075742606497</v>
      </c>
      <c r="AU308" s="5">
        <f t="shared" si="516"/>
        <v>2.3038120997167923</v>
      </c>
      <c r="AV308" s="5"/>
      <c r="AW308" s="177">
        <f t="shared" si="517"/>
        <v>0.19366576509912273</v>
      </c>
      <c r="AX308" s="177"/>
      <c r="BA308" s="469">
        <f t="shared" si="509"/>
        <v>3.7498490124508512</v>
      </c>
      <c r="BB308" s="469">
        <f t="shared" si="510"/>
        <v>1.2763831661177809</v>
      </c>
      <c r="BC308" s="5">
        <f t="shared" si="442"/>
        <v>0.10513428232834568</v>
      </c>
      <c r="BD308" s="469">
        <f t="shared" si="511"/>
        <v>0</v>
      </c>
      <c r="BQ308" s="538">
        <f t="shared" si="512"/>
        <v>2.6358000000000003E-2</v>
      </c>
      <c r="CG308" s="571">
        <f t="shared" si="513"/>
        <v>-50</v>
      </c>
      <c r="CH308">
        <f t="shared" si="514"/>
        <v>-50</v>
      </c>
    </row>
    <row r="309" spans="4:86" x14ac:dyDescent="0.25">
      <c r="E309" s="174">
        <v>93</v>
      </c>
      <c r="F309" s="221">
        <f t="shared" si="515"/>
        <v>9.3000000000000013E-2</v>
      </c>
      <c r="G309" s="221"/>
      <c r="H309" s="221">
        <f t="shared" si="481"/>
        <v>1.3950000000000002</v>
      </c>
      <c r="I309" s="551">
        <f t="shared" si="482"/>
        <v>28</v>
      </c>
      <c r="J309" s="451">
        <f t="shared" si="483"/>
        <v>695386.58000000007</v>
      </c>
      <c r="K309" s="451">
        <f t="shared" si="484"/>
        <v>695414.58000000007</v>
      </c>
      <c r="L309" s="451"/>
      <c r="M309" s="221">
        <f t="shared" si="485"/>
        <v>0.99995973624826795</v>
      </c>
      <c r="N309" s="176">
        <f t="shared" si="486"/>
        <v>9.8024053024945204</v>
      </c>
      <c r="O309" s="176">
        <f t="shared" si="478"/>
        <v>1.3950000000000002</v>
      </c>
      <c r="P309" s="221">
        <f t="shared" si="487"/>
        <v>0.65349368683296805</v>
      </c>
      <c r="Q309" s="221">
        <f t="shared" si="488"/>
        <v>15</v>
      </c>
      <c r="R309" s="221"/>
      <c r="S309" s="176">
        <f t="shared" si="489"/>
        <v>101.61229171081634</v>
      </c>
      <c r="T309" s="176">
        <f t="shared" si="490"/>
        <v>15</v>
      </c>
      <c r="U309" s="221">
        <f t="shared" si="491"/>
        <v>0.11071874366629281</v>
      </c>
      <c r="V309" s="221">
        <f t="shared" si="492"/>
        <v>0.11862722535674231</v>
      </c>
      <c r="W309" s="221">
        <f t="shared" si="493"/>
        <v>4.7765694730387008E-6</v>
      </c>
      <c r="X309" s="201">
        <f t="shared" si="494"/>
        <v>350</v>
      </c>
      <c r="Y309" s="451">
        <f t="shared" si="480"/>
        <v>350</v>
      </c>
      <c r="AA309" s="221">
        <f t="shared" si="495"/>
        <v>2.6665592966620477</v>
      </c>
      <c r="AB309" s="177">
        <f t="shared" si="496"/>
        <v>1.1503929066313219E-4</v>
      </c>
      <c r="AC309" s="177">
        <f t="shared" si="497"/>
        <v>2.4527153110202145</v>
      </c>
      <c r="AD309" s="177"/>
      <c r="AE309" s="177">
        <f t="shared" si="498"/>
        <v>6.4712206554230591E-6</v>
      </c>
      <c r="AF309" s="555">
        <f t="shared" si="499"/>
        <v>4193.9555555555571</v>
      </c>
      <c r="AG309" s="538">
        <f t="shared" si="500"/>
        <v>7.7611695137976321E-3</v>
      </c>
      <c r="AI309" s="177">
        <f t="shared" si="501"/>
        <v>0.51924120461634071</v>
      </c>
      <c r="AJ309" s="177">
        <f t="shared" si="502"/>
        <v>0.51924120461634071</v>
      </c>
      <c r="AK309" s="177">
        <f t="shared" si="503"/>
        <v>1.4461608030775603</v>
      </c>
      <c r="AM309" s="555">
        <f t="shared" si="504"/>
        <v>93.000000000000014</v>
      </c>
      <c r="AN309" s="469">
        <f t="shared" si="505"/>
        <v>350</v>
      </c>
      <c r="AP309">
        <f t="shared" si="506"/>
        <v>93.000000000000014</v>
      </c>
      <c r="AQ309">
        <f t="shared" si="507"/>
        <v>350</v>
      </c>
      <c r="AS309" s="5">
        <f t="shared" si="479"/>
        <v>2.8571428571428572</v>
      </c>
      <c r="AT309" s="5">
        <f t="shared" si="508"/>
        <v>0.55632986208893642</v>
      </c>
      <c r="AU309" s="5">
        <f t="shared" si="516"/>
        <v>2.3008129950539207</v>
      </c>
      <c r="AV309" s="5"/>
      <c r="AW309" s="177">
        <f t="shared" si="517"/>
        <v>0.19471545173112775</v>
      </c>
      <c r="AX309" s="177"/>
      <c r="BA309" s="469">
        <f t="shared" si="509"/>
        <v>3.7498490124508512</v>
      </c>
      <c r="BB309" s="469">
        <f t="shared" si="510"/>
        <v>1.3012488189688902</v>
      </c>
      <c r="BC309" s="5">
        <f t="shared" ref="BC309:BC316" si="518">H309/Efficiency/I309*AU309/Vinripple1</f>
        <v>0.10613869471230884</v>
      </c>
      <c r="BD309" s="469">
        <f t="shared" si="511"/>
        <v>0</v>
      </c>
      <c r="BQ309" s="538">
        <f t="shared" si="512"/>
        <v>2.6644500000000005E-2</v>
      </c>
      <c r="CG309" s="571">
        <f t="shared" si="513"/>
        <v>-50</v>
      </c>
      <c r="CH309">
        <f t="shared" si="514"/>
        <v>-50</v>
      </c>
    </row>
    <row r="310" spans="4:86" x14ac:dyDescent="0.25">
      <c r="E310" s="174">
        <v>94</v>
      </c>
      <c r="F310" s="221">
        <f t="shared" si="515"/>
        <v>9.4E-2</v>
      </c>
      <c r="G310" s="221"/>
      <c r="H310" s="221">
        <f t="shared" si="481"/>
        <v>1.41</v>
      </c>
      <c r="I310" s="551">
        <f t="shared" si="482"/>
        <v>28</v>
      </c>
      <c r="J310" s="451">
        <f t="shared" si="483"/>
        <v>695386.58000000007</v>
      </c>
      <c r="K310" s="451">
        <f t="shared" si="484"/>
        <v>695414.58000000007</v>
      </c>
      <c r="L310" s="451"/>
      <c r="M310" s="221">
        <f t="shared" si="485"/>
        <v>0.99995973624826795</v>
      </c>
      <c r="N310" s="176">
        <f t="shared" si="486"/>
        <v>9.8024053024945204</v>
      </c>
      <c r="O310" s="176">
        <f t="shared" si="478"/>
        <v>1.41</v>
      </c>
      <c r="P310" s="221">
        <f t="shared" si="487"/>
        <v>0.65349368683296805</v>
      </c>
      <c r="Q310" s="221">
        <f t="shared" si="488"/>
        <v>15</v>
      </c>
      <c r="R310" s="221"/>
      <c r="S310" s="176">
        <f t="shared" si="489"/>
        <v>100.53130339283234</v>
      </c>
      <c r="T310" s="176">
        <f t="shared" si="490"/>
        <v>15</v>
      </c>
      <c r="U310" s="221">
        <f t="shared" si="491"/>
        <v>0.11190926779173679</v>
      </c>
      <c r="V310" s="221">
        <f t="shared" si="492"/>
        <v>0.11990278691971798</v>
      </c>
      <c r="W310" s="221">
        <f t="shared" si="493"/>
        <v>4.8279304351143845E-6</v>
      </c>
      <c r="X310" s="201">
        <f t="shared" si="494"/>
        <v>350</v>
      </c>
      <c r="Y310" s="451">
        <f t="shared" si="480"/>
        <v>350</v>
      </c>
      <c r="AA310" s="221">
        <f t="shared" si="495"/>
        <v>2.6665592966620477</v>
      </c>
      <c r="AB310" s="177">
        <f t="shared" si="496"/>
        <v>1.1503929066313219E-4</v>
      </c>
      <c r="AC310" s="177">
        <f t="shared" si="497"/>
        <v>2.4527153110202145</v>
      </c>
      <c r="AD310" s="177"/>
      <c r="AE310" s="177">
        <f t="shared" si="498"/>
        <v>6.4712206554230591E-6</v>
      </c>
      <c r="AF310" s="555">
        <f t="shared" si="499"/>
        <v>4239.0518518518529</v>
      </c>
      <c r="AG310" s="538">
        <f t="shared" si="500"/>
        <v>7.7611695137976321E-3</v>
      </c>
      <c r="AI310" s="177">
        <f t="shared" si="501"/>
        <v>0.52202535971969422</v>
      </c>
      <c r="AJ310" s="177">
        <f t="shared" si="502"/>
        <v>0.52202535971969422</v>
      </c>
      <c r="AK310" s="177">
        <f t="shared" si="503"/>
        <v>1.4480169064797961</v>
      </c>
      <c r="AM310" s="555">
        <f t="shared" si="504"/>
        <v>94</v>
      </c>
      <c r="AN310" s="469">
        <f t="shared" si="505"/>
        <v>350</v>
      </c>
      <c r="AP310">
        <f t="shared" si="506"/>
        <v>94</v>
      </c>
      <c r="AQ310">
        <f t="shared" si="507"/>
        <v>350</v>
      </c>
      <c r="AS310" s="5">
        <f t="shared" si="479"/>
        <v>2.8571428571428572</v>
      </c>
      <c r="AT310" s="5">
        <f t="shared" si="508"/>
        <v>0.55931288541395818</v>
      </c>
      <c r="AU310" s="5">
        <f t="shared" si="516"/>
        <v>2.2978299717288992</v>
      </c>
      <c r="AV310" s="5"/>
      <c r="AW310" s="177">
        <f t="shared" si="517"/>
        <v>0.19575950989488536</v>
      </c>
      <c r="AX310" s="177"/>
      <c r="BA310" s="469">
        <f t="shared" si="509"/>
        <v>3.7498490124508512</v>
      </c>
      <c r="BB310" s="469">
        <f t="shared" si="510"/>
        <v>1.3263508572562275</v>
      </c>
      <c r="BC310" s="5">
        <f t="shared" si="518"/>
        <v>0.10714088161831173</v>
      </c>
      <c r="BD310" s="469">
        <f t="shared" si="511"/>
        <v>0</v>
      </c>
      <c r="BQ310" s="538">
        <f t="shared" si="512"/>
        <v>2.6930999999999997E-2</v>
      </c>
      <c r="CG310" s="571">
        <f t="shared" si="513"/>
        <v>-50</v>
      </c>
      <c r="CH310">
        <f t="shared" si="514"/>
        <v>-50</v>
      </c>
    </row>
    <row r="311" spans="4:86" x14ac:dyDescent="0.25">
      <c r="E311" s="174">
        <v>95</v>
      </c>
      <c r="F311" s="221">
        <f t="shared" si="515"/>
        <v>9.5000000000000001E-2</v>
      </c>
      <c r="G311" s="221"/>
      <c r="H311" s="221">
        <f t="shared" si="481"/>
        <v>1.425</v>
      </c>
      <c r="I311" s="551">
        <f t="shared" si="482"/>
        <v>28</v>
      </c>
      <c r="J311" s="451">
        <f t="shared" si="483"/>
        <v>695386.58000000007</v>
      </c>
      <c r="K311" s="451">
        <f t="shared" si="484"/>
        <v>695414.58000000007</v>
      </c>
      <c r="L311" s="451"/>
      <c r="M311" s="221">
        <f t="shared" si="485"/>
        <v>0.99995973624826795</v>
      </c>
      <c r="N311" s="176">
        <f t="shared" si="486"/>
        <v>9.8024053024945204</v>
      </c>
      <c r="O311" s="176">
        <f t="shared" si="478"/>
        <v>1.425</v>
      </c>
      <c r="P311" s="221">
        <f t="shared" si="487"/>
        <v>0.65349368683296805</v>
      </c>
      <c r="Q311" s="221">
        <f t="shared" si="488"/>
        <v>15</v>
      </c>
      <c r="R311" s="221"/>
      <c r="S311" s="176">
        <f t="shared" si="489"/>
        <v>99.473072723946373</v>
      </c>
      <c r="T311" s="176">
        <f t="shared" si="490"/>
        <v>15</v>
      </c>
      <c r="U311" s="221">
        <f t="shared" si="491"/>
        <v>0.11309979191718081</v>
      </c>
      <c r="V311" s="221">
        <f t="shared" si="492"/>
        <v>0.12117834848269374</v>
      </c>
      <c r="W311" s="221">
        <f t="shared" si="493"/>
        <v>4.8792913971900692E-6</v>
      </c>
      <c r="X311" s="201">
        <f t="shared" si="494"/>
        <v>350</v>
      </c>
      <c r="Y311" s="451">
        <f t="shared" si="480"/>
        <v>350</v>
      </c>
      <c r="AA311" s="221">
        <f t="shared" si="495"/>
        <v>2.6665592966620477</v>
      </c>
      <c r="AB311" s="177">
        <f t="shared" si="496"/>
        <v>1.1503929066313219E-4</v>
      </c>
      <c r="AC311" s="177">
        <f t="shared" si="497"/>
        <v>2.4527153110202145</v>
      </c>
      <c r="AD311" s="177"/>
      <c r="AE311" s="177">
        <f t="shared" si="498"/>
        <v>6.4712206554230591E-6</v>
      </c>
      <c r="AF311" s="555">
        <f t="shared" si="499"/>
        <v>4284.1481481481496</v>
      </c>
      <c r="AG311" s="538">
        <f t="shared" si="500"/>
        <v>7.7611695137976321E-3</v>
      </c>
      <c r="AI311" s="177">
        <f t="shared" si="501"/>
        <v>0.5247947444568436</v>
      </c>
      <c r="AJ311" s="177">
        <f t="shared" si="502"/>
        <v>0.5247947444568436</v>
      </c>
      <c r="AK311" s="177">
        <f t="shared" si="503"/>
        <v>1.4498631629712291</v>
      </c>
      <c r="AM311" s="555">
        <f t="shared" si="504"/>
        <v>95</v>
      </c>
      <c r="AN311" s="469">
        <f t="shared" si="505"/>
        <v>350</v>
      </c>
      <c r="AP311">
        <f t="shared" si="506"/>
        <v>95</v>
      </c>
      <c r="AQ311">
        <f t="shared" si="507"/>
        <v>350</v>
      </c>
      <c r="AS311" s="5">
        <f t="shared" si="479"/>
        <v>2.8571428571428572</v>
      </c>
      <c r="AT311" s="5">
        <f t="shared" si="508"/>
        <v>0.56228008334661816</v>
      </c>
      <c r="AU311" s="5">
        <f t="shared" si="516"/>
        <v>2.2948627737962388</v>
      </c>
      <c r="AV311" s="5"/>
      <c r="AW311" s="177">
        <f t="shared" si="517"/>
        <v>0.19679802917131636</v>
      </c>
      <c r="AX311" s="177"/>
      <c r="BA311" s="469">
        <f t="shared" si="509"/>
        <v>3.7498490124508512</v>
      </c>
      <c r="BB311" s="469">
        <f t="shared" si="510"/>
        <v>1.3516892809797931</v>
      </c>
      <c r="BC311" s="5">
        <f t="shared" si="518"/>
        <v>0.10814085491599337</v>
      </c>
      <c r="BD311" s="469">
        <f t="shared" si="511"/>
        <v>0</v>
      </c>
      <c r="BQ311" s="538">
        <f t="shared" si="512"/>
        <v>2.7217499999999995E-2</v>
      </c>
      <c r="CG311" s="571">
        <f t="shared" si="513"/>
        <v>-50</v>
      </c>
      <c r="CH311">
        <f t="shared" si="514"/>
        <v>-50</v>
      </c>
    </row>
    <row r="312" spans="4:86" x14ac:dyDescent="0.25">
      <c r="E312" s="174">
        <v>96</v>
      </c>
      <c r="F312" s="221">
        <f t="shared" si="515"/>
        <v>9.6000000000000002E-2</v>
      </c>
      <c r="G312" s="221"/>
      <c r="H312" s="221">
        <f t="shared" ref="H312:H316" si="519">F312*Vout</f>
        <v>1.44</v>
      </c>
      <c r="I312" s="551">
        <f t="shared" si="482"/>
        <v>28</v>
      </c>
      <c r="J312" s="451">
        <f t="shared" si="483"/>
        <v>695386.58000000007</v>
      </c>
      <c r="K312" s="451">
        <f t="shared" si="484"/>
        <v>695414.58000000007</v>
      </c>
      <c r="L312" s="451"/>
      <c r="M312" s="221">
        <f t="shared" si="485"/>
        <v>0.99995973624826795</v>
      </c>
      <c r="N312" s="176">
        <f t="shared" ref="N312:N316" si="520">M312*I312*(Isw_max+VIN_max/Lmag*ILIM_delay)*0.5*Efficiency</f>
        <v>9.8024053024945204</v>
      </c>
      <c r="O312" s="176">
        <f t="shared" si="478"/>
        <v>1.44</v>
      </c>
      <c r="P312" s="221">
        <f t="shared" ref="P312:P316" si="521">N312/Vout</f>
        <v>0.65349368683296805</v>
      </c>
      <c r="Q312" s="221">
        <f t="shared" si="488"/>
        <v>15</v>
      </c>
      <c r="R312" s="221"/>
      <c r="S312" s="176">
        <f t="shared" si="489"/>
        <v>98.436888527624163</v>
      </c>
      <c r="T312" s="176">
        <f t="shared" ref="T312:T316" si="522">MIN(Vout, S312)</f>
        <v>15</v>
      </c>
      <c r="U312" s="221">
        <f t="shared" si="491"/>
        <v>0.11429031604262481</v>
      </c>
      <c r="V312" s="221">
        <f t="shared" ref="V312:V316" si="523">L*U312/I312*1000000</f>
        <v>0.12245391004566944</v>
      </c>
      <c r="W312" s="221">
        <f t="shared" si="493"/>
        <v>4.9306523592657546E-6</v>
      </c>
      <c r="X312" s="201">
        <f t="shared" si="494"/>
        <v>350</v>
      </c>
      <c r="Y312" s="451">
        <f t="shared" si="480"/>
        <v>350</v>
      </c>
      <c r="AA312" s="221">
        <f t="shared" si="495"/>
        <v>2.6665592966620477</v>
      </c>
      <c r="AB312" s="177">
        <f t="shared" ref="AB312:AB316" si="524">L*AA312/J312*1000000</f>
        <v>1.1503929066313219E-4</v>
      </c>
      <c r="AC312" s="177">
        <f t="shared" ref="AC312:AC316" si="525">0.5*AB312*AA312*Nps*X312/1000</f>
        <v>2.4527153110202145</v>
      </c>
      <c r="AD312" s="177"/>
      <c r="AE312" s="177">
        <f t="shared" si="498"/>
        <v>6.4712206554230591E-6</v>
      </c>
      <c r="AF312" s="555">
        <f t="shared" ref="AF312:AF316" si="526">MAX(12000,F312/(0.5*AE312/1000000*Isw_min*Nps))/1000</f>
        <v>4329.2444444444463</v>
      </c>
      <c r="AG312" s="538">
        <f t="shared" si="500"/>
        <v>7.7611695137976321E-3</v>
      </c>
      <c r="AI312" s="177">
        <f t="shared" si="501"/>
        <v>0.52754959144005742</v>
      </c>
      <c r="AJ312" s="177">
        <f t="shared" ref="AJ312:AJ316" si="527">MAX(IF(F312&gt;AC312,U312,AI312),Isw_min)</f>
        <v>0.52754959144005742</v>
      </c>
      <c r="AK312" s="177">
        <f t="shared" ref="AK312:AK316" si="528">IF(F312&gt;AG312, (AJ312-Isw_min)/1.2*0.8+1.2, AF312*0.2/350+1)</f>
        <v>1.451699727626705</v>
      </c>
      <c r="AM312" s="555">
        <f t="shared" si="504"/>
        <v>96</v>
      </c>
      <c r="AN312" s="469">
        <f t="shared" si="505"/>
        <v>350</v>
      </c>
      <c r="AP312">
        <f t="shared" si="506"/>
        <v>96</v>
      </c>
      <c r="AQ312">
        <f t="shared" si="507"/>
        <v>350</v>
      </c>
      <c r="AS312" s="5">
        <f t="shared" si="479"/>
        <v>2.8571428571428572</v>
      </c>
      <c r="AT312" s="5">
        <f t="shared" si="508"/>
        <v>0.56523170511434728</v>
      </c>
      <c r="AU312" s="5">
        <f t="shared" si="516"/>
        <v>2.29191115202851</v>
      </c>
      <c r="AV312" s="5"/>
      <c r="AW312" s="177">
        <f t="shared" si="517"/>
        <v>0.19783109679002153</v>
      </c>
      <c r="AX312" s="177"/>
      <c r="BA312" s="469">
        <f t="shared" si="509"/>
        <v>3.7498490124508512</v>
      </c>
      <c r="BB312" s="469">
        <f t="shared" si="510"/>
        <v>1.3772640901395869</v>
      </c>
      <c r="BC312" s="5">
        <f t="shared" si="518"/>
        <v>0.10913862628707188</v>
      </c>
      <c r="BD312" s="469">
        <f t="shared" si="511"/>
        <v>0</v>
      </c>
      <c r="BQ312" s="538">
        <f t="shared" si="512"/>
        <v>2.7503999999999997E-2</v>
      </c>
      <c r="CG312" s="571">
        <f t="shared" si="513"/>
        <v>-50</v>
      </c>
      <c r="CH312">
        <f t="shared" si="514"/>
        <v>-50</v>
      </c>
    </row>
    <row r="313" spans="4:86" x14ac:dyDescent="0.25">
      <c r="E313" s="174">
        <v>97</v>
      </c>
      <c r="F313" s="221">
        <f t="shared" ref="F313:F316" si="529">IF(PLOT_TYPE=1, E313/100*Iout_max, min_I*EXP(N313*rr/100))</f>
        <v>9.7000000000000003E-2</v>
      </c>
      <c r="G313" s="221"/>
      <c r="H313" s="221">
        <f t="shared" si="519"/>
        <v>1.4550000000000001</v>
      </c>
      <c r="I313" s="551">
        <f t="shared" si="482"/>
        <v>28</v>
      </c>
      <c r="J313" s="451">
        <f t="shared" si="483"/>
        <v>695386.58000000007</v>
      </c>
      <c r="K313" s="451">
        <f t="shared" si="484"/>
        <v>695414.58000000007</v>
      </c>
      <c r="L313" s="451"/>
      <c r="M313" s="221">
        <f t="shared" si="485"/>
        <v>0.99995973624826795</v>
      </c>
      <c r="N313" s="176">
        <f t="shared" si="520"/>
        <v>9.8024053024945204</v>
      </c>
      <c r="O313" s="176">
        <f t="shared" si="478"/>
        <v>1.4550000000000001</v>
      </c>
      <c r="P313" s="221">
        <f t="shared" si="521"/>
        <v>0.65349368683296805</v>
      </c>
      <c r="Q313" s="221">
        <f t="shared" si="488"/>
        <v>15</v>
      </c>
      <c r="R313" s="221"/>
      <c r="S313" s="176">
        <f t="shared" si="489"/>
        <v>97.422068954198735</v>
      </c>
      <c r="T313" s="176">
        <f t="shared" si="522"/>
        <v>15</v>
      </c>
      <c r="U313" s="221">
        <f t="shared" si="491"/>
        <v>0.11548084016806882</v>
      </c>
      <c r="V313" s="221">
        <f t="shared" si="523"/>
        <v>0.12372947160864518</v>
      </c>
      <c r="W313" s="221">
        <f t="shared" si="493"/>
        <v>4.9820133213414401E-6</v>
      </c>
      <c r="X313" s="201">
        <f t="shared" si="494"/>
        <v>350</v>
      </c>
      <c r="Y313" s="451">
        <f t="shared" si="480"/>
        <v>350</v>
      </c>
      <c r="AA313" s="221">
        <f t="shared" si="495"/>
        <v>2.6665592966620477</v>
      </c>
      <c r="AB313" s="177">
        <f t="shared" si="524"/>
        <v>1.1503929066313219E-4</v>
      </c>
      <c r="AC313" s="177">
        <f t="shared" si="525"/>
        <v>2.4527153110202145</v>
      </c>
      <c r="AD313" s="177"/>
      <c r="AE313" s="177">
        <f t="shared" si="498"/>
        <v>6.4712206554230591E-6</v>
      </c>
      <c r="AF313" s="555">
        <f t="shared" si="526"/>
        <v>4374.3407407407412</v>
      </c>
      <c r="AG313" s="538">
        <f t="shared" si="500"/>
        <v>7.7611695137976321E-3</v>
      </c>
      <c r="AI313" s="177">
        <f t="shared" si="501"/>
        <v>0.53029012723943769</v>
      </c>
      <c r="AJ313" s="177">
        <f t="shared" si="527"/>
        <v>0.53029012723943769</v>
      </c>
      <c r="AK313" s="177">
        <f t="shared" si="528"/>
        <v>1.4535267514929584</v>
      </c>
      <c r="AM313" s="555">
        <f t="shared" si="504"/>
        <v>97</v>
      </c>
      <c r="AN313" s="469">
        <f t="shared" si="505"/>
        <v>350</v>
      </c>
      <c r="AP313">
        <f t="shared" si="506"/>
        <v>97</v>
      </c>
      <c r="AQ313">
        <f t="shared" si="507"/>
        <v>350</v>
      </c>
      <c r="AS313" s="5">
        <f t="shared" si="479"/>
        <v>2.8571428571428572</v>
      </c>
      <c r="AT313" s="5">
        <f t="shared" si="508"/>
        <v>0.56816799347082603</v>
      </c>
      <c r="AU313" s="5">
        <f t="shared" si="516"/>
        <v>2.2889748636720313</v>
      </c>
      <c r="AV313" s="5"/>
      <c r="AW313" s="177">
        <f t="shared" si="517"/>
        <v>0.19885879771478909</v>
      </c>
      <c r="AX313" s="177"/>
      <c r="BA313" s="469">
        <f t="shared" si="509"/>
        <v>3.7498490124508512</v>
      </c>
      <c r="BB313" s="469">
        <f t="shared" si="510"/>
        <v>1.4030752847356092</v>
      </c>
      <c r="BC313" s="5">
        <f t="shared" si="518"/>
        <v>0.1101342072302515</v>
      </c>
      <c r="BD313" s="469">
        <f t="shared" si="511"/>
        <v>0</v>
      </c>
      <c r="BQ313" s="538">
        <f t="shared" si="512"/>
        <v>2.7790499999999999E-2</v>
      </c>
      <c r="CG313" s="571">
        <f t="shared" si="513"/>
        <v>-50</v>
      </c>
      <c r="CH313">
        <f t="shared" si="514"/>
        <v>-50</v>
      </c>
    </row>
    <row r="314" spans="4:86" x14ac:dyDescent="0.25">
      <c r="E314" s="174">
        <v>98</v>
      </c>
      <c r="F314" s="221">
        <f t="shared" si="529"/>
        <v>9.8000000000000004E-2</v>
      </c>
      <c r="G314" s="221"/>
      <c r="H314" s="221">
        <f t="shared" si="519"/>
        <v>1.47</v>
      </c>
      <c r="I314" s="551">
        <f t="shared" si="482"/>
        <v>28</v>
      </c>
      <c r="J314" s="451">
        <f t="shared" si="483"/>
        <v>695386.58000000007</v>
      </c>
      <c r="K314" s="451">
        <f t="shared" si="484"/>
        <v>695414.58000000007</v>
      </c>
      <c r="L314" s="451"/>
      <c r="M314" s="221">
        <f t="shared" si="485"/>
        <v>0.99995973624826795</v>
      </c>
      <c r="N314" s="176">
        <f t="shared" si="520"/>
        <v>9.8024053024945204</v>
      </c>
      <c r="O314" s="176">
        <f t="shared" si="478"/>
        <v>1.47</v>
      </c>
      <c r="P314" s="221">
        <f t="shared" si="521"/>
        <v>0.65349368683296805</v>
      </c>
      <c r="Q314" s="221">
        <f t="shared" si="488"/>
        <v>15</v>
      </c>
      <c r="R314" s="221"/>
      <c r="S314" s="176">
        <f t="shared" si="489"/>
        <v>96.427959984601785</v>
      </c>
      <c r="T314" s="176">
        <f t="shared" si="522"/>
        <v>15</v>
      </c>
      <c r="U314" s="221">
        <f t="shared" si="491"/>
        <v>0.11667136429351282</v>
      </c>
      <c r="V314" s="221">
        <f t="shared" si="523"/>
        <v>0.12500503317162087</v>
      </c>
      <c r="W314" s="221">
        <f t="shared" si="493"/>
        <v>5.0333742834171239E-6</v>
      </c>
      <c r="X314" s="201">
        <f t="shared" si="494"/>
        <v>350</v>
      </c>
      <c r="Y314" s="451">
        <f t="shared" si="480"/>
        <v>350</v>
      </c>
      <c r="AA314" s="221">
        <f t="shared" si="495"/>
        <v>2.6665592966620477</v>
      </c>
      <c r="AB314" s="177">
        <f t="shared" si="524"/>
        <v>1.1503929066313219E-4</v>
      </c>
      <c r="AC314" s="177">
        <f t="shared" si="525"/>
        <v>2.4527153110202145</v>
      </c>
      <c r="AD314" s="177"/>
      <c r="AE314" s="177">
        <f t="shared" si="498"/>
        <v>6.4712206554230591E-6</v>
      </c>
      <c r="AF314" s="555">
        <f t="shared" si="526"/>
        <v>4419.437037037038</v>
      </c>
      <c r="AG314" s="538">
        <f t="shared" si="500"/>
        <v>7.7611695137976321E-3</v>
      </c>
      <c r="AI314" s="177">
        <f t="shared" si="501"/>
        <v>0.53301657260038982</v>
      </c>
      <c r="AJ314" s="177">
        <f t="shared" si="527"/>
        <v>0.53301657260038982</v>
      </c>
      <c r="AK314" s="177">
        <f t="shared" si="528"/>
        <v>1.4553443817335932</v>
      </c>
      <c r="AM314" s="555">
        <f t="shared" si="504"/>
        <v>98</v>
      </c>
      <c r="AN314" s="469">
        <f t="shared" si="505"/>
        <v>350</v>
      </c>
      <c r="AP314">
        <f t="shared" si="506"/>
        <v>98</v>
      </c>
      <c r="AQ314">
        <f t="shared" si="507"/>
        <v>350</v>
      </c>
      <c r="AS314" s="5">
        <f t="shared" si="479"/>
        <v>2.8571428571428572</v>
      </c>
      <c r="AT314" s="5">
        <f t="shared" si="508"/>
        <v>0.57108918492898919</v>
      </c>
      <c r="AU314" s="5">
        <f t="shared" si="516"/>
        <v>2.286053672213868</v>
      </c>
      <c r="AV314" s="5"/>
      <c r="AW314" s="177">
        <f t="shared" si="517"/>
        <v>0.19988121472514622</v>
      </c>
      <c r="AX314" s="177"/>
      <c r="BA314" s="469">
        <f t="shared" si="509"/>
        <v>3.7498490124508512</v>
      </c>
      <c r="BB314" s="469">
        <f t="shared" si="510"/>
        <v>1.42912286476786</v>
      </c>
      <c r="BC314" s="5">
        <f t="shared" si="518"/>
        <v>0.1111276090659519</v>
      </c>
      <c r="BD314" s="469">
        <f t="shared" si="511"/>
        <v>0</v>
      </c>
      <c r="BQ314" s="538">
        <f t="shared" si="512"/>
        <v>2.8076999999999998E-2</v>
      </c>
      <c r="CG314" s="571">
        <f t="shared" si="513"/>
        <v>-50</v>
      </c>
      <c r="CH314">
        <f t="shared" si="514"/>
        <v>-50</v>
      </c>
    </row>
    <row r="315" spans="4:86" x14ac:dyDescent="0.25">
      <c r="E315" s="174">
        <v>99</v>
      </c>
      <c r="F315" s="221">
        <f t="shared" si="529"/>
        <v>9.9000000000000005E-2</v>
      </c>
      <c r="G315" s="221"/>
      <c r="H315" s="221">
        <f t="shared" si="519"/>
        <v>1.4850000000000001</v>
      </c>
      <c r="I315" s="551">
        <f t="shared" si="482"/>
        <v>28</v>
      </c>
      <c r="J315" s="451">
        <f t="shared" si="483"/>
        <v>695386.58000000007</v>
      </c>
      <c r="K315" s="451">
        <f t="shared" si="484"/>
        <v>695414.58000000007</v>
      </c>
      <c r="L315" s="451"/>
      <c r="M315" s="221">
        <f t="shared" si="485"/>
        <v>0.99995973624826795</v>
      </c>
      <c r="N315" s="176">
        <f t="shared" si="520"/>
        <v>9.8024053024945204</v>
      </c>
      <c r="O315" s="176">
        <f t="shared" si="478"/>
        <v>1.4850000000000001</v>
      </c>
      <c r="P315" s="221">
        <f t="shared" si="521"/>
        <v>0.65349368683296805</v>
      </c>
      <c r="Q315" s="221">
        <f t="shared" si="488"/>
        <v>15</v>
      </c>
      <c r="R315" s="221"/>
      <c r="S315" s="176">
        <f t="shared" si="489"/>
        <v>95.453934024777951</v>
      </c>
      <c r="T315" s="176">
        <f t="shared" si="522"/>
        <v>15</v>
      </c>
      <c r="U315" s="221">
        <f t="shared" si="491"/>
        <v>0.11786188841895684</v>
      </c>
      <c r="V315" s="221">
        <f t="shared" si="523"/>
        <v>0.12628059473459663</v>
      </c>
      <c r="W315" s="221">
        <f t="shared" si="493"/>
        <v>5.0847352454928093E-6</v>
      </c>
      <c r="X315" s="201">
        <f t="shared" si="494"/>
        <v>350</v>
      </c>
      <c r="Y315" s="451">
        <f t="shared" si="480"/>
        <v>350</v>
      </c>
      <c r="AA315" s="221">
        <f t="shared" si="495"/>
        <v>2.6665592966620477</v>
      </c>
      <c r="AB315" s="177">
        <f t="shared" si="524"/>
        <v>1.1503929066313219E-4</v>
      </c>
      <c r="AC315" s="177">
        <f t="shared" si="525"/>
        <v>2.4527153110202145</v>
      </c>
      <c r="AD315" s="177"/>
      <c r="AE315" s="177">
        <f t="shared" si="498"/>
        <v>6.4712206554230591E-6</v>
      </c>
      <c r="AF315" s="555">
        <f t="shared" si="526"/>
        <v>4464.5333333333347</v>
      </c>
      <c r="AG315" s="538">
        <f t="shared" si="500"/>
        <v>7.7611695137976321E-3</v>
      </c>
      <c r="AI315" s="177">
        <f t="shared" si="501"/>
        <v>0.53572914265112959</v>
      </c>
      <c r="AJ315" s="177">
        <f t="shared" si="527"/>
        <v>0.53572914265112959</v>
      </c>
      <c r="AK315" s="177">
        <f t="shared" si="528"/>
        <v>1.4571527617674196</v>
      </c>
      <c r="AM315" s="555">
        <f t="shared" si="504"/>
        <v>99</v>
      </c>
      <c r="AN315" s="469">
        <f t="shared" si="505"/>
        <v>350</v>
      </c>
      <c r="AP315">
        <f t="shared" si="506"/>
        <v>99</v>
      </c>
      <c r="AQ315">
        <f t="shared" si="507"/>
        <v>350</v>
      </c>
      <c r="AS315" s="5">
        <f t="shared" si="479"/>
        <v>2.8571428571428572</v>
      </c>
      <c r="AT315" s="5">
        <f t="shared" si="508"/>
        <v>0.57399550998335314</v>
      </c>
      <c r="AU315" s="5">
        <f t="shared" si="516"/>
        <v>2.2831473471595043</v>
      </c>
      <c r="AV315" s="5"/>
      <c r="AW315" s="177">
        <f t="shared" si="517"/>
        <v>0.20089842849417358</v>
      </c>
      <c r="AX315" s="177"/>
      <c r="BA315" s="469">
        <f t="shared" si="509"/>
        <v>3.7498490124508512</v>
      </c>
      <c r="BB315" s="469">
        <f t="shared" si="510"/>
        <v>1.4554068302363383</v>
      </c>
      <c r="BC315" s="5">
        <f t="shared" si="518"/>
        <v>0.1121188429408685</v>
      </c>
      <c r="BD315" s="469">
        <f t="shared" si="511"/>
        <v>0</v>
      </c>
      <c r="BQ315" s="538">
        <f t="shared" si="512"/>
        <v>2.83635E-2</v>
      </c>
      <c r="CG315" s="571">
        <f t="shared" si="513"/>
        <v>-50</v>
      </c>
      <c r="CH315">
        <f t="shared" si="514"/>
        <v>-50</v>
      </c>
    </row>
    <row r="316" spans="4:86" x14ac:dyDescent="0.25">
      <c r="E316" s="174">
        <v>100</v>
      </c>
      <c r="F316" s="221">
        <f t="shared" si="529"/>
        <v>0.1</v>
      </c>
      <c r="G316" s="221"/>
      <c r="H316" s="221">
        <f t="shared" si="519"/>
        <v>1.5</v>
      </c>
      <c r="I316" s="551">
        <f t="shared" si="482"/>
        <v>28</v>
      </c>
      <c r="J316" s="451">
        <f t="shared" si="483"/>
        <v>695386.58000000007</v>
      </c>
      <c r="K316" s="451">
        <f t="shared" si="484"/>
        <v>695414.58000000007</v>
      </c>
      <c r="L316" s="451"/>
      <c r="M316" s="221">
        <f t="shared" si="485"/>
        <v>0.99995973624826795</v>
      </c>
      <c r="N316" s="176">
        <f t="shared" si="520"/>
        <v>9.8024053024945204</v>
      </c>
      <c r="O316" s="176">
        <f t="shared" si="478"/>
        <v>1.5</v>
      </c>
      <c r="P316" s="221">
        <f t="shared" si="521"/>
        <v>0.65349368683296805</v>
      </c>
      <c r="Q316" s="221">
        <f t="shared" si="488"/>
        <v>15</v>
      </c>
      <c r="R316" s="221"/>
      <c r="S316" s="176">
        <f t="shared" si="489"/>
        <v>94.499388584433973</v>
      </c>
      <c r="T316" s="176">
        <f t="shared" si="522"/>
        <v>15</v>
      </c>
      <c r="U316" s="221">
        <f t="shared" si="491"/>
        <v>0.11905241254440084</v>
      </c>
      <c r="V316" s="221">
        <f t="shared" si="523"/>
        <v>0.12755615629757233</v>
      </c>
      <c r="W316" s="221">
        <f t="shared" si="493"/>
        <v>5.1360962075684939E-6</v>
      </c>
      <c r="X316" s="201">
        <f t="shared" si="494"/>
        <v>350</v>
      </c>
      <c r="Y316" s="451">
        <f t="shared" si="480"/>
        <v>350</v>
      </c>
      <c r="AA316" s="221">
        <f t="shared" si="495"/>
        <v>2.6665592966620477</v>
      </c>
      <c r="AB316" s="177">
        <f t="shared" si="524"/>
        <v>1.1503929066313219E-4</v>
      </c>
      <c r="AC316" s="177">
        <f t="shared" si="525"/>
        <v>2.4527153110202145</v>
      </c>
      <c r="AD316" s="177"/>
      <c r="AE316" s="177">
        <f t="shared" si="498"/>
        <v>6.4712206554230591E-6</v>
      </c>
      <c r="AF316" s="555">
        <f t="shared" si="526"/>
        <v>4509.6296296296305</v>
      </c>
      <c r="AG316" s="538">
        <f t="shared" si="500"/>
        <v>7.7611695137976321E-3</v>
      </c>
      <c r="AI316" s="177">
        <f t="shared" si="501"/>
        <v>0.53842804710078207</v>
      </c>
      <c r="AJ316" s="177">
        <f t="shared" si="527"/>
        <v>0.53842804710078207</v>
      </c>
      <c r="AK316" s="177">
        <f t="shared" si="528"/>
        <v>1.4589520314005213</v>
      </c>
      <c r="AM316" s="555">
        <f t="shared" si="504"/>
        <v>100</v>
      </c>
      <c r="AN316" s="469">
        <f t="shared" si="505"/>
        <v>350</v>
      </c>
      <c r="AP316">
        <f t="shared" si="506"/>
        <v>100</v>
      </c>
      <c r="AQ316">
        <f t="shared" si="507"/>
        <v>350</v>
      </c>
      <c r="AS316" s="5">
        <f t="shared" si="479"/>
        <v>2.8571428571428572</v>
      </c>
      <c r="AT316" s="5">
        <f t="shared" si="508"/>
        <v>0.57688719332226646</v>
      </c>
      <c r="AU316" s="5">
        <f t="shared" si="516"/>
        <v>2.2802556638205909</v>
      </c>
      <c r="AV316" s="5"/>
      <c r="AW316" s="177">
        <f t="shared" si="517"/>
        <v>0.20191051766279325</v>
      </c>
      <c r="AX316" s="177"/>
      <c r="BA316" s="469">
        <f t="shared" si="509"/>
        <v>3.7498490124508512</v>
      </c>
      <c r="BB316" s="469">
        <f t="shared" si="510"/>
        <v>1.4819271811410455</v>
      </c>
      <c r="BC316" s="5">
        <f t="shared" si="518"/>
        <v>0.11310791983237055</v>
      </c>
      <c r="BD316" s="469">
        <f t="shared" si="511"/>
        <v>0</v>
      </c>
      <c r="BQ316" s="538">
        <f t="shared" si="512"/>
        <v>2.8649999999999998E-2</v>
      </c>
      <c r="CG316" s="571">
        <f t="shared" si="513"/>
        <v>-50</v>
      </c>
      <c r="CH316">
        <f t="shared" si="514"/>
        <v>-50</v>
      </c>
    </row>
    <row r="317" spans="4:86" x14ac:dyDescent="0.25">
      <c r="E317" s="174"/>
      <c r="F317" s="221"/>
      <c r="G317" s="221"/>
      <c r="CG317" s="571"/>
    </row>
    <row r="318" spans="4:86" x14ac:dyDescent="0.25">
      <c r="CG318" s="571"/>
    </row>
    <row r="319" spans="4:86" x14ac:dyDescent="0.25">
      <c r="D319" s="77" t="s">
        <v>824</v>
      </c>
      <c r="CG319" s="571"/>
    </row>
    <row r="320" spans="4:86" x14ac:dyDescent="0.25">
      <c r="E320" s="77" t="s">
        <v>831</v>
      </c>
      <c r="CG320" s="571"/>
    </row>
    <row r="321" spans="4:85" x14ac:dyDescent="0.25">
      <c r="F321" s="77" t="s">
        <v>826</v>
      </c>
      <c r="G321" s="77" t="s">
        <v>825</v>
      </c>
      <c r="BB321" s="77" t="s">
        <v>827</v>
      </c>
      <c r="BC321" s="77" t="s">
        <v>829</v>
      </c>
      <c r="BD321" s="77" t="s">
        <v>830</v>
      </c>
      <c r="BF321" s="77" t="s">
        <v>828</v>
      </c>
      <c r="CG321" s="571"/>
    </row>
    <row r="322" spans="4:85" x14ac:dyDescent="0.25">
      <c r="F322">
        <f>'LM(2)518x PSR flyback converter'!E57</f>
        <v>5.0000000000000001E-3</v>
      </c>
      <c r="G322" s="771">
        <f>F322*Vout</f>
        <v>7.4999999999999997E-2</v>
      </c>
      <c r="BB322">
        <f>F322*Vout</f>
        <v>7.4999999999999997E-2</v>
      </c>
      <c r="BC322" s="770">
        <v>2.2000000000000001E-7</v>
      </c>
    </row>
    <row r="323" spans="4:85" x14ac:dyDescent="0.25">
      <c r="E323" t="s">
        <v>832</v>
      </c>
    </row>
    <row r="324" spans="4:85" x14ac:dyDescent="0.25">
      <c r="F324" t="s">
        <v>833</v>
      </c>
      <c r="G324" t="s">
        <v>834</v>
      </c>
      <c r="H324" t="s">
        <v>835</v>
      </c>
      <c r="I324" s="77" t="s">
        <v>676</v>
      </c>
    </row>
    <row r="325" spans="4:85" x14ac:dyDescent="0.25">
      <c r="F325" s="770">
        <v>1.9999999999999999E-7</v>
      </c>
      <c r="G325">
        <f>VIN_max</f>
        <v>28</v>
      </c>
      <c r="H325">
        <f>15000</f>
        <v>15000</v>
      </c>
      <c r="I325">
        <f>L*0.9</f>
        <v>2.7000000000000002E-5</v>
      </c>
    </row>
    <row r="326" spans="4:85" x14ac:dyDescent="0.25">
      <c r="G326" s="77" t="s">
        <v>836</v>
      </c>
    </row>
    <row r="327" spans="4:85" x14ac:dyDescent="0.25">
      <c r="G327" s="771">
        <f>0.5*(G325/I325*F325)^2*H325*I325</f>
        <v>8.7111111111111104E-3</v>
      </c>
    </row>
    <row r="328" spans="4:85" x14ac:dyDescent="0.25">
      <c r="E328" s="77" t="s">
        <v>837</v>
      </c>
    </row>
    <row r="329" spans="4:85" x14ac:dyDescent="0.25">
      <c r="G329" t="str">
        <f>IF(G327&gt;G322, "Yes", "No")</f>
        <v>No</v>
      </c>
      <c r="H329">
        <f>(Vout*1.05)^2/(G327-G322)</f>
        <v>-3742.1429768689241</v>
      </c>
    </row>
    <row r="332" spans="4:85" x14ac:dyDescent="0.25">
      <c r="D332" s="77"/>
    </row>
    <row r="334" spans="4:85" x14ac:dyDescent="0.25">
      <c r="F334" s="555"/>
    </row>
    <row r="335" spans="4:85" x14ac:dyDescent="0.25">
      <c r="F335" s="555"/>
    </row>
    <row r="336" spans="4:85" x14ac:dyDescent="0.25">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baseColWidth="10" defaultColWidth="8.88671875" defaultRowHeight="13.2" x14ac:dyDescent="0.25"/>
  <cols>
    <col min="1" max="1" width="2.77734375" customWidth="1"/>
    <col min="2" max="2" width="3.5546875" customWidth="1"/>
    <col min="3" max="3" width="2.77734375" customWidth="1"/>
    <col min="4" max="4" width="3.77734375" customWidth="1"/>
    <col min="5" max="5" width="6.21875" customWidth="1"/>
    <col min="6" max="6" width="9" customWidth="1"/>
    <col min="7" max="9" width="7.77734375" customWidth="1"/>
    <col min="10" max="10" width="6.21875" customWidth="1"/>
    <col min="11" max="11" width="9.5546875" customWidth="1"/>
    <col min="12" max="12" width="9.21875" customWidth="1"/>
    <col min="13" max="13" width="10.5546875" customWidth="1"/>
    <col min="14" max="14" width="8.44140625" customWidth="1"/>
    <col min="15" max="16" width="9.5546875" customWidth="1"/>
    <col min="17" max="18" width="8.77734375" customWidth="1"/>
    <col min="19" max="19" width="8.5546875" customWidth="1"/>
    <col min="20" max="20" width="7.5546875" customWidth="1"/>
    <col min="21" max="21" width="9" customWidth="1"/>
    <col min="22" max="22" width="8.77734375" customWidth="1"/>
    <col min="23" max="23" width="10" customWidth="1"/>
    <col min="24" max="24" width="9.5546875" customWidth="1"/>
    <col min="25" max="25" width="1.77734375" customWidth="1"/>
    <col min="26" max="26" width="9.77734375" customWidth="1"/>
    <col min="27" max="27" width="10.44140625" customWidth="1"/>
    <col min="28" max="28" width="10.21875" customWidth="1"/>
    <col min="29" max="29" width="2" customWidth="1"/>
    <col min="30" max="30" width="9.21875" customWidth="1"/>
    <col min="31" max="31" width="9.44140625" customWidth="1"/>
    <col min="32" max="32" width="10.44140625" customWidth="1"/>
    <col min="33" max="33" width="2.21875" customWidth="1"/>
    <col min="35" max="35" width="8" customWidth="1"/>
    <col min="37" max="37" width="2.21875" customWidth="1"/>
    <col min="38" max="38" width="6.5546875" customWidth="1"/>
    <col min="39" max="39" width="7.5546875" customWidth="1"/>
    <col min="40" max="40" width="2" customWidth="1"/>
    <col min="41" max="41" width="6.44140625" customWidth="1"/>
    <col min="42" max="42" width="7.5546875" customWidth="1"/>
    <col min="43" max="43" width="2.21875" customWidth="1"/>
    <col min="44" max="46" width="7" customWidth="1"/>
    <col min="47" max="47" width="8.44140625" customWidth="1"/>
    <col min="48" max="48" width="2.21875" customWidth="1"/>
    <col min="49" max="49" width="9.44140625" customWidth="1"/>
    <col min="50" max="50" width="12.5546875" customWidth="1"/>
    <col min="51" max="51" width="9.44140625" customWidth="1"/>
    <col min="52" max="52" width="12.77734375" customWidth="1"/>
    <col min="53" max="54" width="9.77734375" customWidth="1"/>
    <col min="55" max="55" width="2" customWidth="1"/>
    <col min="59" max="59" width="2.21875" customWidth="1"/>
    <col min="60" max="60" width="9" customWidth="1"/>
    <col min="61" max="62" width="8.21875" customWidth="1"/>
    <col min="63" max="63" width="8.77734375" customWidth="1"/>
    <col min="64" max="64" width="7.5546875" customWidth="1"/>
    <col min="65" max="65" width="8.5546875" customWidth="1"/>
    <col min="66" max="67" width="7.5546875" customWidth="1"/>
    <col min="68" max="69" width="10.21875" customWidth="1"/>
    <col min="70" max="70" width="9.44140625" customWidth="1"/>
    <col min="71" max="71" width="9.5546875" customWidth="1"/>
    <col min="72" max="72" width="10" customWidth="1"/>
    <col min="73" max="73" width="8.77734375" customWidth="1"/>
    <col min="76" max="78" width="9.77734375" customWidth="1"/>
    <col min="79" max="79" width="12.21875" customWidth="1"/>
    <col min="80" max="80" width="9.21875" customWidth="1"/>
    <col min="82" max="82" width="7.77734375" customWidth="1"/>
    <col min="83" max="83" width="10.44140625" customWidth="1"/>
    <col min="84" max="84" width="12.44140625" bestFit="1" customWidth="1"/>
    <col min="85" max="85" width="6.5546875" customWidth="1"/>
    <col min="86" max="86" width="5" customWidth="1"/>
    <col min="87" max="87" width="9.5546875" customWidth="1"/>
  </cols>
  <sheetData>
    <row r="1" spans="2:88" x14ac:dyDescent="0.25">
      <c r="B1" s="453" t="s">
        <v>526</v>
      </c>
    </row>
    <row r="2" spans="2:88" ht="13.8" thickBot="1" x14ac:dyDescent="0.3">
      <c r="AW2">
        <f>Vout_ripple</f>
        <v>150</v>
      </c>
    </row>
    <row r="3" spans="2:88" x14ac:dyDescent="0.25">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3">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5">
      <c r="E5" s="174">
        <v>0.1</v>
      </c>
      <c r="F5" s="221">
        <v>1.0000000000000001E-9</v>
      </c>
      <c r="G5" s="221">
        <v>1.0000000000000001E-9</v>
      </c>
      <c r="H5" s="221">
        <f t="shared" ref="H5:H36" si="0">F5*Vout</f>
        <v>1.5000000000000002E-8</v>
      </c>
      <c r="I5" s="221">
        <f>G5*Vout2</f>
        <v>8.0000000000000005E-9</v>
      </c>
      <c r="J5" s="551">
        <f t="shared" ref="J5:J68" si="1">Vin</f>
        <v>24</v>
      </c>
      <c r="K5" s="451">
        <f t="shared" ref="K5:K68" si="2">(S5+Vfwd1)*Nps</f>
        <v>695386.58000000007</v>
      </c>
      <c r="L5" s="451">
        <f t="shared" ref="L5:L68" si="3">(Vout+Vfwd1)*Nps+J5</f>
        <v>695410.58000000007</v>
      </c>
      <c r="M5" s="451"/>
      <c r="N5" s="221">
        <f t="shared" ref="N5:N68" si="4">(Vout+Vfwd1)*Nps/((Vout+Vfwd1)*Nps+J5)</f>
        <v>0.99996548801428931</v>
      </c>
      <c r="O5" s="176">
        <f>N5*J5*Isw_max*0.5*Efficiency*(Pout/Pout_total)</f>
        <v>2.2090146689770207</v>
      </c>
      <c r="P5" s="176">
        <f t="shared" ref="P5:P36" si="5">N5*J5*Isw_max*0.5*Efficiency*(Pout2/Pout_total)</f>
        <v>5.8907057839387225</v>
      </c>
      <c r="Q5" s="221">
        <f t="shared" ref="Q5:Q68" si="6">O5/Vout</f>
        <v>0.14726764459846806</v>
      </c>
      <c r="R5" s="221">
        <f t="shared" ref="R5:R36" si="7">O5/Vout2</f>
        <v>0.27612683362212759</v>
      </c>
      <c r="S5" s="451">
        <f t="shared" ref="S5:S36" si="8">MIN(Vout,O5/F5)</f>
        <v>15</v>
      </c>
      <c r="T5" s="221">
        <f t="shared" ref="T5:T36" si="9">MIN(2*(Vout*F5+Vout2*G5)/(Efficiency*J5*N5), Isw_max)</f>
        <v>2.1297031299136174E-9</v>
      </c>
      <c r="U5" s="221">
        <f t="shared" ref="U5:U68" si="10">L*T5/J5*1000000</f>
        <v>2.662128912392022E-9</v>
      </c>
      <c r="V5" s="221">
        <f t="shared" ref="V5:V68" si="11">L*T5/K5*1000000</f>
        <v>9.1878525894774269E-14</v>
      </c>
      <c r="W5" s="201">
        <f t="shared" ref="W5:W68" si="12">IF(1/((350000*L)*(1/J5+1/K5))&gt;Isw_min, 350, 0.001/((Isw_min*L)*(1/J5+1/K5)))</f>
        <v>350</v>
      </c>
      <c r="X5" s="451">
        <f>MIN(1/(U5+V5)*1000, 350)</f>
        <v>350</v>
      </c>
      <c r="Z5" s="221">
        <f t="shared" ref="Z5:Z68" si="13">1/((W5*1000*L)*(1/J5+1/K5))</f>
        <v>2.2856354011755182</v>
      </c>
      <c r="AA5" s="177">
        <f t="shared" ref="AA5:AA68" si="14">L*Z5/K5*1000000</f>
        <v>9.8605673459021225E-5</v>
      </c>
      <c r="AB5" s="177">
        <f t="shared" ref="AB5:AB36" si="15">0.5*AA5*Z5*Nps*W5/1000*(Pout/Pout_total)</f>
        <v>0.4914588143407696</v>
      </c>
      <c r="AC5" s="177"/>
      <c r="AD5" s="177">
        <f t="shared" ref="AD5:AD68" si="16">L*Isw_min/K5*1000000</f>
        <v>6.4712206554230591E-6</v>
      </c>
      <c r="AE5" s="555">
        <f t="shared" ref="AE5:AE36" si="17">MAX(10, F5/(0.5*AD5/1000000*Isw_min*Nps)/1000*Pout_total/Pout)</f>
        <v>10</v>
      </c>
      <c r="AF5" s="538">
        <f t="shared" ref="AF5:AF36" si="18">0.5*AD5/1000000*Isw_min*Nps*W5*1000*(Pout/Pout_total)</f>
        <v>2.1166825946720815E-3</v>
      </c>
      <c r="AH5" s="177">
        <f t="shared" ref="AH5:AH36" si="19">SQRT((H5+I5)/(0.5*L*Fsw_DCM))</f>
        <v>6.6188763252929728E-5</v>
      </c>
      <c r="AI5" s="177">
        <f t="shared" ref="AI5:AI36" si="20">MAX(IF(F5&gt;AB5,T5,AH5),Isw_min)</f>
        <v>0.15</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0.1875</v>
      </c>
      <c r="AT5" s="5">
        <f>AR5-AS5</f>
        <v>99.8125</v>
      </c>
      <c r="AU5" s="177">
        <f>AS5/AR5</f>
        <v>1.8749999999999999E-3</v>
      </c>
      <c r="AW5" s="5">
        <f t="shared" ref="AW5:AW36" si="26">L*Iout^2/(2*Vripple1_spec*Vout*Npri_sec1^2)*1000000000*((1+N5)/(1-N5))^2</f>
        <v>0.10724833101420155</v>
      </c>
      <c r="AX5" s="5">
        <f t="shared" ref="AX5:AX36" si="27">L*F5^2/(2*Cout*Vout*Nps^2)*1000000000*((1+N5)/(1-N5))^2+F5*RCoutEsr</f>
        <v>3.0000001608724967E-9</v>
      </c>
      <c r="AY5" s="5">
        <f t="shared" ref="AY5:AY36" si="28">L*Iout2^2/(2*Vripple2_spec*Vout2*Npri_sec2^2)*1000000000*((1+N5)/(1-N5))^2</f>
        <v>2.7494601245163159</v>
      </c>
      <c r="AZ5" s="5">
        <f t="shared" ref="AZ5:AZ36" si="29">L*G5^2/(2*Cout2*Vout2*Npri_sec2^2)*1000000000*((1+N5)/(1-N5))^2+G5*CoutEsr2</f>
        <v>2.0000000187197285E-9</v>
      </c>
      <c r="BA5" s="5">
        <f t="shared" ref="BA5:BA36" si="30">(H5+I5)/Efficiency/J5*AT5/Vinripple1</f>
        <v>8.856819058641976E-8</v>
      </c>
      <c r="BB5" s="469">
        <f t="shared" ref="BB5:BB36" si="31">((CD5/J5/Efficiency)*AT5/Cin+(CD5/J5/Efficiency)*RCinEsr)*1000</f>
        <v>1.0631377314814816E-5</v>
      </c>
      <c r="BC5" s="5"/>
      <c r="BD5" s="177">
        <f>AI5*SQRT(AU5/3)</f>
        <v>3.7499999999999999E-3</v>
      </c>
      <c r="BE5" s="177">
        <f t="shared" ref="BE5:BE36" si="32">AI5*Npri_sec1*SQRT((1-AU5)/3)*(Pout/Pout_total)</f>
        <v>1078.1106115628625</v>
      </c>
      <c r="BF5" s="177">
        <f t="shared" ref="BF5:BF36" si="33">AI5*Npri_sec2*SQRT((1-AU5)/3)*(Pout2/Pout_total)</f>
        <v>5323.225793345262</v>
      </c>
      <c r="BG5" s="177"/>
      <c r="BH5" s="538">
        <f t="shared" ref="BH5:BH68" si="34">Rdson*BD5^2</f>
        <v>4.9218749999999994E-6</v>
      </c>
      <c r="BI5" s="538">
        <f t="shared" ref="BI5:BI68" si="35">0.5*L5*AI5*AM5*1000*Trise</f>
        <v>5.2155793500000005</v>
      </c>
      <c r="BJ5" s="538">
        <f t="shared" ref="BJ5:BJ68" si="36">Qg*Vdd*AM5*1000</f>
        <v>1.25E-4</v>
      </c>
      <c r="BK5" s="538">
        <f t="shared" ref="BK5:BK68" si="37">0.5*(Coss+Csw)*L5^2*AM5*1000</f>
        <v>241797.9373879683</v>
      </c>
      <c r="BL5">
        <f t="shared" ref="BL5:BL68" si="38">J5*IQ</f>
        <v>6.96E-3</v>
      </c>
      <c r="BM5">
        <f t="shared" ref="BM5:BM36" si="39">(J5-Vdd)*Qg*AM5</f>
        <v>4.75E-7</v>
      </c>
      <c r="BN5">
        <f t="shared" ref="BN5:BN36" si="40">(BI5+BJ5+BK5+BL5+BM5+BH5*(1+RdsonTC*(Ta-25)))/(1-BH5*RdsonTC*ThetaJA)</f>
        <v>241803.37963662832</v>
      </c>
      <c r="BO5" s="469">
        <f>BN5*1000</f>
        <v>241803379.63662833</v>
      </c>
      <c r="BP5" s="177">
        <f t="shared" ref="BP5:BP36" si="41">(Vfwd2*F5+BE5^2*Rdiode)*(1+Diode_TC/1000*(Ta-25))</f>
        <v>888014.3829440393</v>
      </c>
      <c r="BQ5" s="177">
        <f t="shared" ref="BQ5:BQ36" si="42">(Vfwd2*G5+BF5^2*Rdiode)*(1+Diode_TC/1000*(Ta-25))</f>
        <v>21649263.895059321</v>
      </c>
      <c r="BR5" s="538"/>
      <c r="BT5" s="469">
        <f>SUM(BP5:BS5)*1000</f>
        <v>22537278278.003361</v>
      </c>
      <c r="BU5" s="538">
        <f t="shared" ref="BU5:BU68" si="43">Rdcr_pri*BD5^2</f>
        <v>1.4062500000000001E-6</v>
      </c>
      <c r="BV5" s="538">
        <f>Rdcr_sec*BE5^2</f>
        <v>34869.67472293348</v>
      </c>
      <c r="BW5" s="538">
        <f t="shared" ref="BW5:BW36" si="44">Rdcr_sec2*BF5^2</f>
        <v>1416836.6423468147</v>
      </c>
      <c r="BX5" s="538">
        <f t="shared" ref="BX5:BX68" si="45">AI5^2.5*AM5^2.5*k_core</f>
        <v>0</v>
      </c>
      <c r="BY5" s="538">
        <f t="shared" ref="BY5:BY36" si="46">(BX5+(BU5+BV5+BW5)*(1+Ltc*(Ta-25)))/(1-(BU5+BV5+BW5)*Ltc*ThetaCa)</f>
        <v>-14.000120548836087</v>
      </c>
      <c r="BZ5" s="538">
        <f>SUM(BU5:BX5)</f>
        <v>1451706.3170711545</v>
      </c>
      <c r="CA5" s="641">
        <f t="shared" ref="CA5:CA36" si="47">0.5*Lleak*0.000000001*AI5^2*AM5*1000</f>
        <v>1.1250000000000001E-5</v>
      </c>
      <c r="CB5" s="469">
        <f>(BY5+CA5)*1000</f>
        <v>-14000.109298836087</v>
      </c>
      <c r="CC5" s="177">
        <f>SUM(BN5,BP5:BS5,BY5, CA5)</f>
        <v>22779067.657530688</v>
      </c>
      <c r="CD5" s="5">
        <f>MIN(H5+I5,O5+P5)</f>
        <v>2.3000000000000001E-8</v>
      </c>
      <c r="CE5" s="177">
        <f>CD5/(CD5+CC5)</f>
        <v>1.009698919454952E-15</v>
      </c>
      <c r="CF5" s="5">
        <f>CE5*100</f>
        <v>1.0096989194549519E-13</v>
      </c>
      <c r="CG5">
        <v>0</v>
      </c>
      <c r="CI5" s="571">
        <f t="shared" ref="CI5:CI36" si="48">IF(ABS(F5-Ioutmax_Vinnom)&lt;Iout/200, AM5, -50)</f>
        <v>-50</v>
      </c>
      <c r="CJ5">
        <f t="shared" ref="CJ5:CJ36" si="49">IF(ABS(F5-Ioutmax_Vinnom)&lt;Iout/200, (O5+P5)*CE5, -50)</f>
        <v>-50</v>
      </c>
    </row>
    <row r="6" spans="2:88" x14ac:dyDescent="0.25">
      <c r="E6" s="174">
        <v>1</v>
      </c>
      <c r="F6" s="221">
        <f>IF(PLOT_TYPE=1, E6/100*Iout, min_I*EXP(O6*rr/100))</f>
        <v>1E-3</v>
      </c>
      <c r="G6" s="221">
        <f t="shared" ref="G6:G37" si="50">IF(PLOT_TYPE=1, E6/100*Iout2, min_I*EXP(Q6*rr/100))</f>
        <v>5.0000000000000001E-3</v>
      </c>
      <c r="H6" s="221">
        <f t="shared" si="0"/>
        <v>1.4999999999999999E-2</v>
      </c>
      <c r="I6" s="221">
        <f>G6*Vout2</f>
        <v>0.04</v>
      </c>
      <c r="J6" s="551">
        <f t="shared" si="1"/>
        <v>24</v>
      </c>
      <c r="K6" s="451">
        <f t="shared" si="2"/>
        <v>695386.58000000007</v>
      </c>
      <c r="L6" s="451">
        <f t="shared" si="3"/>
        <v>695410.58000000007</v>
      </c>
      <c r="M6" s="451"/>
      <c r="N6" s="221">
        <f t="shared" si="4"/>
        <v>0.99996548801428931</v>
      </c>
      <c r="O6" s="176">
        <f t="shared" ref="O6:O37" si="51">N6*J6*Isw_max*0.5*Efficiency*Pout/(Pout+Pout2)</f>
        <v>2.2090146689770211</v>
      </c>
      <c r="P6" s="176">
        <f t="shared" si="5"/>
        <v>5.8907057839387225</v>
      </c>
      <c r="Q6" s="221">
        <f t="shared" si="6"/>
        <v>0.14726764459846808</v>
      </c>
      <c r="R6" s="221">
        <f t="shared" si="7"/>
        <v>0.27612683362212764</v>
      </c>
      <c r="S6" s="451">
        <f t="shared" si="8"/>
        <v>15</v>
      </c>
      <c r="T6" s="221">
        <f t="shared" si="9"/>
        <v>5.0927683541412581E-3</v>
      </c>
      <c r="U6" s="221">
        <f t="shared" si="10"/>
        <v>6.3659604426765729E-3</v>
      </c>
      <c r="V6" s="221">
        <f t="shared" si="11"/>
        <v>2.1970951844402536E-7</v>
      </c>
      <c r="W6" s="201">
        <f t="shared" si="12"/>
        <v>350</v>
      </c>
      <c r="X6" s="451">
        <f t="shared" ref="X6:X69" si="52">MIN(1/(U6+V6)*1000, 350)</f>
        <v>350</v>
      </c>
      <c r="Z6" s="221">
        <f t="shared" si="13"/>
        <v>2.2856354011755182</v>
      </c>
      <c r="AA6" s="177">
        <f t="shared" si="14"/>
        <v>9.8605673459021225E-5</v>
      </c>
      <c r="AB6" s="177">
        <f t="shared" si="15"/>
        <v>0.4914588143407696</v>
      </c>
      <c r="AC6" s="177"/>
      <c r="AD6" s="177">
        <f t="shared" si="16"/>
        <v>6.4712206554230591E-6</v>
      </c>
      <c r="AE6" s="555">
        <f t="shared" si="17"/>
        <v>165.35308641975314</v>
      </c>
      <c r="AF6" s="538">
        <f t="shared" si="18"/>
        <v>2.1166825946720815E-3</v>
      </c>
      <c r="AH6" s="177">
        <f t="shared" si="19"/>
        <v>0.10235326314383179</v>
      </c>
      <c r="AI6" s="177">
        <f t="shared" si="20"/>
        <v>0.15</v>
      </c>
      <c r="AJ6" s="177">
        <f t="shared" si="21"/>
        <v>1.0944874779541447</v>
      </c>
      <c r="AL6" s="555">
        <f t="shared" si="22"/>
        <v>1</v>
      </c>
      <c r="AM6" s="469">
        <f t="shared" si="23"/>
        <v>165.35308641975314</v>
      </c>
      <c r="AO6">
        <f t="shared" ref="AO6:AO69" si="53">IF(H6&gt;O6, "",AL6)</f>
        <v>1</v>
      </c>
      <c r="AP6" s="469">
        <f t="shared" si="24"/>
        <v>165.35308641975314</v>
      </c>
      <c r="AQ6" s="469"/>
      <c r="AR6" s="5">
        <f t="shared" ref="AR6:AR69" si="54">1/AM6*1000</f>
        <v>6.0476645562059472</v>
      </c>
      <c r="AS6" s="5">
        <f t="shared" si="25"/>
        <v>0.1875</v>
      </c>
      <c r="AT6" s="5">
        <f t="shared" ref="AT6:AT69" si="55">AR6-AS6</f>
        <v>5.8601645562059472</v>
      </c>
      <c r="AU6" s="177">
        <f t="shared" ref="AU6:AU69" si="56">AS6/AR6</f>
        <v>3.1003703703703714E-2</v>
      </c>
      <c r="AW6" s="5">
        <f t="shared" si="26"/>
        <v>0.10724833101420155</v>
      </c>
      <c r="AX6" s="5">
        <f t="shared" si="27"/>
        <v>3.1608724965213023E-3</v>
      </c>
      <c r="AY6" s="5">
        <f t="shared" si="28"/>
        <v>2.7494601245163159</v>
      </c>
      <c r="AZ6" s="5">
        <f t="shared" si="29"/>
        <v>1.0467993212683628E-2</v>
      </c>
      <c r="BA6" s="5">
        <f t="shared" si="30"/>
        <v>1.2434762754295024E-2</v>
      </c>
      <c r="BB6" s="469">
        <f t="shared" si="31"/>
        <v>1.4998104194042921</v>
      </c>
      <c r="BC6" s="5"/>
      <c r="BD6" s="177">
        <f t="shared" ref="BD6:BD69" si="57">AI6*SQRT(AU6/3)</f>
        <v>1.5248861523988532E-2</v>
      </c>
      <c r="BE6" s="177">
        <f t="shared" si="32"/>
        <v>1062.2626522166915</v>
      </c>
      <c r="BF6" s="177">
        <f t="shared" si="33"/>
        <v>5244.9756907503806</v>
      </c>
      <c r="BG6" s="177"/>
      <c r="BH6" s="538">
        <f t="shared" si="34"/>
        <v>8.1384722222222245E-5</v>
      </c>
      <c r="BI6" s="538">
        <f t="shared" si="35"/>
        <v>86.241214298963015</v>
      </c>
      <c r="BJ6" s="538">
        <f t="shared" si="36"/>
        <v>2.066913580246914E-3</v>
      </c>
      <c r="BK6" s="538">
        <f t="shared" si="37"/>
        <v>3998203.5237030778</v>
      </c>
      <c r="BL6">
        <f t="shared" si="38"/>
        <v>6.96E-3</v>
      </c>
      <c r="BM6">
        <f t="shared" si="39"/>
        <v>7.8542716049382739E-6</v>
      </c>
      <c r="BN6">
        <f t="shared" si="40"/>
        <v>3998349.8111911374</v>
      </c>
      <c r="BO6" s="469">
        <f t="shared" ref="BO6:BO69" si="58">BN6*1000</f>
        <v>3998349811.1911373</v>
      </c>
      <c r="BP6" s="177">
        <f t="shared" si="41"/>
        <v>862099.08419945172</v>
      </c>
      <c r="BQ6" s="177">
        <f t="shared" si="42"/>
        <v>21017464.278806195</v>
      </c>
      <c r="BR6" s="538"/>
      <c r="BT6" s="469">
        <f t="shared" ref="BT6:BT69" si="59">SUM(BP6:BS6)*1000</f>
        <v>21879563363.005646</v>
      </c>
      <c r="BU6" s="538">
        <f t="shared" si="43"/>
        <v>2.3252777777777788E-5</v>
      </c>
      <c r="BV6" s="538">
        <f t="shared" ref="BV6:BV68" si="60">Rdcr_sec*BE6^2</f>
        <v>33852.058268833192</v>
      </c>
      <c r="BW6" s="538">
        <f t="shared" si="44"/>
        <v>1375488.4998281216</v>
      </c>
      <c r="BX6" s="538">
        <f t="shared" si="45"/>
        <v>0</v>
      </c>
      <c r="BY6" s="538">
        <f t="shared" si="46"/>
        <v>-14.000124172650217</v>
      </c>
      <c r="BZ6" s="538">
        <f t="shared" ref="BZ6:BZ69" si="61">SUM(BU6:BX6)</f>
        <v>1409340.5581202076</v>
      </c>
      <c r="CA6" s="641">
        <f t="shared" si="47"/>
        <v>1.860222222222223E-4</v>
      </c>
      <c r="CB6" s="469">
        <f t="shared" ref="CB6:CB69" si="62">(BY6+CA6)*1000</f>
        <v>-13999.938150427995</v>
      </c>
      <c r="CC6" s="177">
        <f t="shared" ref="CC6:CC69" si="63">SUM(BN6,BP6:BS6,BY6, CA6)</f>
        <v>25877899.174258634</v>
      </c>
      <c r="CD6" s="5">
        <f t="shared" ref="CD6:CD69" si="64">MIN(H6+I6,O6+P6)</f>
        <v>5.5E-2</v>
      </c>
      <c r="CE6" s="177">
        <f t="shared" ref="CE6:CE69" si="65">CD6/(CD6+CC6)</f>
        <v>2.1253657228023635E-9</v>
      </c>
      <c r="CF6" s="5">
        <f t="shared" ref="CF6:CF69" si="66">CE6*100</f>
        <v>2.1253657228023635E-7</v>
      </c>
      <c r="CG6">
        <f t="shared" ref="CG6:CG37" si="67">F6/Iout*100</f>
        <v>1</v>
      </c>
      <c r="CI6" s="571">
        <f t="shared" si="48"/>
        <v>-50</v>
      </c>
      <c r="CJ6">
        <f t="shared" si="49"/>
        <v>-50</v>
      </c>
    </row>
    <row r="7" spans="2:88" x14ac:dyDescent="0.25">
      <c r="E7" s="174">
        <v>2</v>
      </c>
      <c r="F7" s="221">
        <f>IF(PLOT_TYPE=1, E7/100*Iout, min_I*EXP(O7*rr/100))</f>
        <v>2E-3</v>
      </c>
      <c r="G7" s="221">
        <f t="shared" si="50"/>
        <v>0.01</v>
      </c>
      <c r="H7" s="221">
        <f t="shared" si="0"/>
        <v>0.03</v>
      </c>
      <c r="I7" s="221">
        <f>G7*Vout2</f>
        <v>0.08</v>
      </c>
      <c r="J7" s="551">
        <f t="shared" si="1"/>
        <v>24</v>
      </c>
      <c r="K7" s="451">
        <f t="shared" si="2"/>
        <v>695386.58000000007</v>
      </c>
      <c r="L7" s="451">
        <f t="shared" si="3"/>
        <v>695410.58000000007</v>
      </c>
      <c r="M7" s="451"/>
      <c r="N7" s="221">
        <f t="shared" si="4"/>
        <v>0.99996548801428931</v>
      </c>
      <c r="O7" s="176">
        <f t="shared" si="51"/>
        <v>2.2090146689770211</v>
      </c>
      <c r="P7" s="176">
        <f t="shared" si="5"/>
        <v>5.8907057839387225</v>
      </c>
      <c r="Q7" s="221">
        <f t="shared" si="6"/>
        <v>0.14726764459846808</v>
      </c>
      <c r="R7" s="221">
        <f t="shared" si="7"/>
        <v>0.27612683362212764</v>
      </c>
      <c r="S7" s="451">
        <f t="shared" si="8"/>
        <v>15</v>
      </c>
      <c r="T7" s="221">
        <f t="shared" si="9"/>
        <v>1.0185536708282516E-2</v>
      </c>
      <c r="U7" s="221">
        <f t="shared" si="10"/>
        <v>1.2731920885353146E-2</v>
      </c>
      <c r="V7" s="221">
        <f t="shared" si="11"/>
        <v>4.3941903688805073E-7</v>
      </c>
      <c r="W7" s="201">
        <f t="shared" si="12"/>
        <v>350</v>
      </c>
      <c r="X7" s="451">
        <f t="shared" si="52"/>
        <v>350</v>
      </c>
      <c r="Z7" s="221">
        <f t="shared" si="13"/>
        <v>2.2856354011755182</v>
      </c>
      <c r="AA7" s="177">
        <f t="shared" si="14"/>
        <v>9.8605673459021225E-5</v>
      </c>
      <c r="AB7" s="177">
        <f t="shared" si="15"/>
        <v>0.4914588143407696</v>
      </c>
      <c r="AC7" s="177"/>
      <c r="AD7" s="177">
        <f t="shared" si="16"/>
        <v>6.4712206554230591E-6</v>
      </c>
      <c r="AE7" s="555">
        <f t="shared" si="17"/>
        <v>330.70617283950628</v>
      </c>
      <c r="AF7" s="538">
        <f t="shared" si="18"/>
        <v>2.1166825946720815E-3</v>
      </c>
      <c r="AH7" s="177">
        <f t="shared" si="19"/>
        <v>0.14474937289114917</v>
      </c>
      <c r="AI7" s="177">
        <f t="shared" si="20"/>
        <v>0.15</v>
      </c>
      <c r="AJ7" s="177">
        <f t="shared" si="21"/>
        <v>1.1889749559082894</v>
      </c>
      <c r="AL7" s="555">
        <f t="shared" si="22"/>
        <v>2</v>
      </c>
      <c r="AM7" s="469">
        <f t="shared" si="23"/>
        <v>330.70617283950628</v>
      </c>
      <c r="AO7">
        <f t="shared" si="53"/>
        <v>2</v>
      </c>
      <c r="AP7" s="469">
        <f t="shared" si="24"/>
        <v>330.70617283950628</v>
      </c>
      <c r="AQ7" s="469"/>
      <c r="AR7" s="5">
        <f t="shared" si="54"/>
        <v>3.0238322781029736</v>
      </c>
      <c r="AS7" s="5">
        <f t="shared" si="25"/>
        <v>0.1875</v>
      </c>
      <c r="AT7" s="5">
        <f t="shared" si="55"/>
        <v>2.8363322781029736</v>
      </c>
      <c r="AU7" s="177">
        <f t="shared" si="56"/>
        <v>6.2007407407407428E-2</v>
      </c>
      <c r="AW7" s="5">
        <f t="shared" si="26"/>
        <v>0.10724833101420155</v>
      </c>
      <c r="AX7" s="5">
        <f t="shared" si="27"/>
        <v>6.643489986085209E-3</v>
      </c>
      <c r="AY7" s="5">
        <f t="shared" si="28"/>
        <v>2.7494601245163159</v>
      </c>
      <c r="AZ7" s="5">
        <f t="shared" si="29"/>
        <v>2.1871972850734514E-2</v>
      </c>
      <c r="BA7" s="5">
        <f t="shared" si="30"/>
        <v>1.2036903957998727E-2</v>
      </c>
      <c r="BB7" s="469">
        <f t="shared" si="31"/>
        <v>1.4597062527376252</v>
      </c>
      <c r="BC7" s="5"/>
      <c r="BD7" s="177">
        <f t="shared" si="57"/>
        <v>2.1565146777973842E-2</v>
      </c>
      <c r="BE7" s="177">
        <f t="shared" si="32"/>
        <v>1045.1305876243664</v>
      </c>
      <c r="BF7" s="177">
        <f t="shared" si="33"/>
        <v>5160.3852534121197</v>
      </c>
      <c r="BG7" s="177"/>
      <c r="BH7" s="538">
        <f t="shared" si="34"/>
        <v>1.6276944444444444E-4</v>
      </c>
      <c r="BI7" s="538">
        <f t="shared" si="35"/>
        <v>172.48242859792603</v>
      </c>
      <c r="BJ7" s="538">
        <f t="shared" si="36"/>
        <v>4.1338271604938279E-3</v>
      </c>
      <c r="BK7" s="538">
        <f t="shared" si="37"/>
        <v>7996407.0474061556</v>
      </c>
      <c r="BL7">
        <f t="shared" si="38"/>
        <v>6.96E-3</v>
      </c>
      <c r="BM7">
        <f t="shared" si="39"/>
        <v>1.5708543209876548E-5</v>
      </c>
      <c r="BN7">
        <f t="shared" si="40"/>
        <v>7996819.6933213621</v>
      </c>
      <c r="BO7" s="469">
        <f t="shared" si="58"/>
        <v>7996819693.3213625</v>
      </c>
      <c r="BP7" s="177">
        <f t="shared" si="41"/>
        <v>834515.6306966726</v>
      </c>
      <c r="BQ7" s="177">
        <f t="shared" si="42"/>
        <v>20344996.03908081</v>
      </c>
      <c r="BR7" s="538"/>
      <c r="BT7" s="469">
        <f t="shared" si="59"/>
        <v>21179511669.777481</v>
      </c>
      <c r="BU7" s="538">
        <f t="shared" si="43"/>
        <v>4.6505555555555562E-5</v>
      </c>
      <c r="BV7" s="538">
        <f t="shared" si="60"/>
        <v>32768.9383556416</v>
      </c>
      <c r="BW7" s="538">
        <f t="shared" si="44"/>
        <v>1331478.7981816633</v>
      </c>
      <c r="BX7" s="538">
        <f t="shared" si="45"/>
        <v>0</v>
      </c>
      <c r="BY7" s="538">
        <f t="shared" si="46"/>
        <v>-14.000128276997476</v>
      </c>
      <c r="BZ7" s="538">
        <f t="shared" si="61"/>
        <v>1364247.7365838105</v>
      </c>
      <c r="CA7" s="641">
        <f t="shared" si="47"/>
        <v>3.720444444444446E-4</v>
      </c>
      <c r="CB7" s="469">
        <f t="shared" si="62"/>
        <v>-13999.756232553031</v>
      </c>
      <c r="CC7" s="177">
        <f t="shared" si="63"/>
        <v>29176317.363342613</v>
      </c>
      <c r="CD7" s="5">
        <f t="shared" si="64"/>
        <v>0.11</v>
      </c>
      <c r="CE7" s="177">
        <f t="shared" si="65"/>
        <v>3.7701810758161372E-9</v>
      </c>
      <c r="CF7" s="5">
        <f t="shared" si="66"/>
        <v>3.7701810758161373E-7</v>
      </c>
      <c r="CG7">
        <f t="shared" si="67"/>
        <v>2</v>
      </c>
      <c r="CI7" s="571">
        <f t="shared" si="48"/>
        <v>-50</v>
      </c>
      <c r="CJ7">
        <f t="shared" si="49"/>
        <v>-50</v>
      </c>
    </row>
    <row r="8" spans="2:88" x14ac:dyDescent="0.25">
      <c r="E8" s="174">
        <v>3</v>
      </c>
      <c r="F8" s="221">
        <f t="shared" ref="F8:F39" si="68">IF(PLOT_TYPE=1, E8/100*Iout_max, min_I*EXP(O8*rr/100))</f>
        <v>3.0000000000000001E-3</v>
      </c>
      <c r="G8" s="221">
        <f t="shared" si="50"/>
        <v>1.4999999999999999E-2</v>
      </c>
      <c r="H8" s="221">
        <f t="shared" si="0"/>
        <v>4.4999999999999998E-2</v>
      </c>
      <c r="I8" s="221">
        <f t="shared" ref="I8:I39" si="69">Vout2*G8</f>
        <v>0.12</v>
      </c>
      <c r="J8" s="551">
        <f t="shared" si="1"/>
        <v>24</v>
      </c>
      <c r="K8" s="451">
        <f t="shared" si="2"/>
        <v>695386.58000000007</v>
      </c>
      <c r="L8" s="451">
        <f t="shared" si="3"/>
        <v>695410.58000000007</v>
      </c>
      <c r="M8" s="451"/>
      <c r="N8" s="221">
        <f t="shared" si="4"/>
        <v>0.99996548801428931</v>
      </c>
      <c r="O8" s="176">
        <f t="shared" si="51"/>
        <v>2.2090146689770211</v>
      </c>
      <c r="P8" s="176">
        <f t="shared" si="5"/>
        <v>5.8907057839387225</v>
      </c>
      <c r="Q8" s="221">
        <f t="shared" si="6"/>
        <v>0.14726764459846808</v>
      </c>
      <c r="R8" s="221">
        <f t="shared" si="7"/>
        <v>0.27612683362212764</v>
      </c>
      <c r="S8" s="451">
        <f t="shared" si="8"/>
        <v>15</v>
      </c>
      <c r="T8" s="221">
        <f t="shared" si="9"/>
        <v>1.5278305062423773E-2</v>
      </c>
      <c r="U8" s="221">
        <f t="shared" si="10"/>
        <v>1.9097881328029715E-2</v>
      </c>
      <c r="V8" s="221">
        <f t="shared" si="11"/>
        <v>6.5912855533207609E-7</v>
      </c>
      <c r="W8" s="201">
        <f t="shared" si="12"/>
        <v>350</v>
      </c>
      <c r="X8" s="451">
        <f t="shared" si="52"/>
        <v>350</v>
      </c>
      <c r="Z8" s="221">
        <f t="shared" si="13"/>
        <v>2.2856354011755182</v>
      </c>
      <c r="AA8" s="177">
        <f t="shared" si="14"/>
        <v>9.8605673459021225E-5</v>
      </c>
      <c r="AB8" s="177">
        <f t="shared" si="15"/>
        <v>0.4914588143407696</v>
      </c>
      <c r="AC8" s="177"/>
      <c r="AD8" s="177">
        <f t="shared" si="16"/>
        <v>6.4712206554230591E-6</v>
      </c>
      <c r="AE8" s="555">
        <f t="shared" si="17"/>
        <v>496.05925925925948</v>
      </c>
      <c r="AF8" s="538">
        <f t="shared" si="18"/>
        <v>2.1166825946720815E-3</v>
      </c>
      <c r="AH8" s="177">
        <f t="shared" si="19"/>
        <v>0.17728105208558365</v>
      </c>
      <c r="AI8" s="177">
        <f t="shared" si="20"/>
        <v>0.17728105208558365</v>
      </c>
      <c r="AJ8" s="177">
        <f t="shared" si="21"/>
        <v>1.2202081867300618</v>
      </c>
      <c r="AL8" s="555">
        <f t="shared" si="22"/>
        <v>3</v>
      </c>
      <c r="AM8" s="469">
        <f t="shared" si="23"/>
        <v>350</v>
      </c>
      <c r="AO8">
        <f t="shared" si="53"/>
        <v>3</v>
      </c>
      <c r="AP8" s="469">
        <f t="shared" si="24"/>
        <v>350</v>
      </c>
      <c r="AQ8" s="469"/>
      <c r="AR8" s="5">
        <f t="shared" si="54"/>
        <v>2.8571428571428572</v>
      </c>
      <c r="AS8" s="5">
        <f t="shared" si="25"/>
        <v>0.22160131510697956</v>
      </c>
      <c r="AT8" s="5">
        <f t="shared" si="55"/>
        <v>2.6355415420358774</v>
      </c>
      <c r="AU8" s="177">
        <f t="shared" si="56"/>
        <v>7.7560460287442845E-2</v>
      </c>
      <c r="AW8" s="5">
        <f t="shared" si="26"/>
        <v>0.10724833101420155</v>
      </c>
      <c r="AX8" s="5">
        <f t="shared" si="27"/>
        <v>1.0447852468691721E-2</v>
      </c>
      <c r="AY8" s="5">
        <f t="shared" si="28"/>
        <v>2.7494601245163159</v>
      </c>
      <c r="AZ8" s="5">
        <f t="shared" si="29"/>
        <v>3.4211938914152654E-2</v>
      </c>
      <c r="BA8" s="5">
        <f t="shared" si="30"/>
        <v>1.6777174168052456E-2</v>
      </c>
      <c r="BB8" s="469">
        <f t="shared" si="31"/>
        <v>2.0361775668329618</v>
      </c>
      <c r="BC8" s="5"/>
      <c r="BD8" s="177">
        <f t="shared" si="57"/>
        <v>2.8505054909476288E-2</v>
      </c>
      <c r="BE8" s="177">
        <f t="shared" si="32"/>
        <v>1224.9288699824763</v>
      </c>
      <c r="BF8" s="177">
        <f t="shared" si="33"/>
        <v>6048.1483864179372</v>
      </c>
      <c r="BG8" s="177"/>
      <c r="BH8" s="538">
        <f t="shared" si="34"/>
        <v>2.8438835438729035E-4</v>
      </c>
      <c r="BI8" s="538">
        <f t="shared" si="35"/>
        <v>215.74545869423039</v>
      </c>
      <c r="BJ8" s="538">
        <f t="shared" si="36"/>
        <v>4.3749999999999995E-3</v>
      </c>
      <c r="BK8" s="538">
        <f t="shared" si="37"/>
        <v>8462927.8085788898</v>
      </c>
      <c r="BL8">
        <f t="shared" si="38"/>
        <v>6.96E-3</v>
      </c>
      <c r="BM8">
        <f t="shared" si="39"/>
        <v>1.6625000000000001E-5</v>
      </c>
      <c r="BN8">
        <f t="shared" si="40"/>
        <v>8463587.6472053006</v>
      </c>
      <c r="BO8" s="469">
        <f t="shared" si="58"/>
        <v>8463587647.2053003</v>
      </c>
      <c r="BP8" s="177">
        <f t="shared" si="41"/>
        <v>1146344.363558141</v>
      </c>
      <c r="BQ8" s="177">
        <f t="shared" si="42"/>
        <v>27947195.567052737</v>
      </c>
      <c r="BR8" s="538"/>
      <c r="BT8" s="469">
        <f t="shared" si="59"/>
        <v>29093539930.610878</v>
      </c>
      <c r="BU8" s="538">
        <f t="shared" si="43"/>
        <v>8.1253815539225822E-5</v>
      </c>
      <c r="BV8" s="538">
        <f t="shared" si="60"/>
        <v>45013.522095496388</v>
      </c>
      <c r="BW8" s="538">
        <f t="shared" si="44"/>
        <v>1829004.945206495</v>
      </c>
      <c r="BX8" s="538">
        <f t="shared" si="45"/>
        <v>0</v>
      </c>
      <c r="BY8" s="538">
        <f t="shared" si="46"/>
        <v>-14.000093382840316</v>
      </c>
      <c r="BZ8" s="538">
        <f t="shared" si="61"/>
        <v>1874018.4673832452</v>
      </c>
      <c r="CA8" s="641">
        <f t="shared" si="47"/>
        <v>5.5000000000000003E-4</v>
      </c>
      <c r="CB8" s="469">
        <f t="shared" si="62"/>
        <v>-13999.543382840315</v>
      </c>
      <c r="CC8" s="177">
        <f t="shared" si="63"/>
        <v>37557113.578272797</v>
      </c>
      <c r="CD8" s="5">
        <f t="shared" si="64"/>
        <v>0.16499999999999998</v>
      </c>
      <c r="CE8" s="177">
        <f t="shared" si="65"/>
        <v>4.3933088449736015E-9</v>
      </c>
      <c r="CF8" s="5">
        <f t="shared" si="66"/>
        <v>4.3933088449736015E-7</v>
      </c>
      <c r="CG8">
        <f t="shared" si="67"/>
        <v>3</v>
      </c>
      <c r="CI8" s="571">
        <f t="shared" si="48"/>
        <v>-50</v>
      </c>
      <c r="CJ8">
        <f t="shared" si="49"/>
        <v>-50</v>
      </c>
    </row>
    <row r="9" spans="2:88" x14ac:dyDescent="0.25">
      <c r="E9" s="174">
        <v>4</v>
      </c>
      <c r="F9" s="221">
        <f t="shared" si="68"/>
        <v>4.0000000000000001E-3</v>
      </c>
      <c r="G9" s="221">
        <f t="shared" si="50"/>
        <v>0.02</v>
      </c>
      <c r="H9" s="221">
        <f t="shared" si="0"/>
        <v>0.06</v>
      </c>
      <c r="I9" s="221">
        <f t="shared" si="69"/>
        <v>0.16</v>
      </c>
      <c r="J9" s="551">
        <f t="shared" si="1"/>
        <v>24</v>
      </c>
      <c r="K9" s="451">
        <f t="shared" si="2"/>
        <v>695386.58000000007</v>
      </c>
      <c r="L9" s="451">
        <f t="shared" si="3"/>
        <v>695410.58000000007</v>
      </c>
      <c r="M9" s="451"/>
      <c r="N9" s="221">
        <f t="shared" si="4"/>
        <v>0.99996548801428931</v>
      </c>
      <c r="O9" s="176">
        <f t="shared" si="51"/>
        <v>2.2090146689770211</v>
      </c>
      <c r="P9" s="176">
        <f t="shared" si="5"/>
        <v>5.8907057839387225</v>
      </c>
      <c r="Q9" s="221">
        <f t="shared" si="6"/>
        <v>0.14726764459846808</v>
      </c>
      <c r="R9" s="221">
        <f t="shared" si="7"/>
        <v>0.27612683362212764</v>
      </c>
      <c r="S9" s="451">
        <f t="shared" si="8"/>
        <v>15</v>
      </c>
      <c r="T9" s="221">
        <f t="shared" si="9"/>
        <v>2.0371073416565032E-2</v>
      </c>
      <c r="U9" s="221">
        <f t="shared" si="10"/>
        <v>2.5463841770706291E-2</v>
      </c>
      <c r="V9" s="221">
        <f t="shared" si="11"/>
        <v>8.7883807377610145E-7</v>
      </c>
      <c r="W9" s="201">
        <f t="shared" si="12"/>
        <v>350</v>
      </c>
      <c r="X9" s="451">
        <f t="shared" si="52"/>
        <v>350</v>
      </c>
      <c r="Z9" s="221">
        <f t="shared" si="13"/>
        <v>2.2856354011755182</v>
      </c>
      <c r="AA9" s="177">
        <f t="shared" si="14"/>
        <v>9.8605673459021225E-5</v>
      </c>
      <c r="AB9" s="177">
        <f t="shared" si="15"/>
        <v>0.4914588143407696</v>
      </c>
      <c r="AC9" s="177"/>
      <c r="AD9" s="177">
        <f t="shared" si="16"/>
        <v>6.4712206554230591E-6</v>
      </c>
      <c r="AE9" s="555">
        <f t="shared" si="17"/>
        <v>661.41234567901256</v>
      </c>
      <c r="AF9" s="538">
        <f t="shared" si="18"/>
        <v>2.1166825946720815E-3</v>
      </c>
      <c r="AH9" s="177">
        <f t="shared" si="19"/>
        <v>0.20470652628766359</v>
      </c>
      <c r="AI9" s="177">
        <f t="shared" si="20"/>
        <v>0.20470652628766359</v>
      </c>
      <c r="AJ9" s="177">
        <f t="shared" si="21"/>
        <v>1.2405233528056767</v>
      </c>
      <c r="AL9" s="555">
        <f t="shared" si="22"/>
        <v>4</v>
      </c>
      <c r="AM9" s="469">
        <f t="shared" si="23"/>
        <v>350</v>
      </c>
      <c r="AO9">
        <f t="shared" si="53"/>
        <v>4</v>
      </c>
      <c r="AP9" s="469">
        <f t="shared" si="24"/>
        <v>350</v>
      </c>
      <c r="AQ9" s="469"/>
      <c r="AR9" s="5">
        <f t="shared" si="54"/>
        <v>2.8571428571428572</v>
      </c>
      <c r="AS9" s="5">
        <f t="shared" si="25"/>
        <v>0.25588315785957955</v>
      </c>
      <c r="AT9" s="5">
        <f t="shared" si="55"/>
        <v>2.6012596992832777</v>
      </c>
      <c r="AU9" s="177">
        <f t="shared" si="56"/>
        <v>8.9559105250852838E-2</v>
      </c>
      <c r="AW9" s="5">
        <f t="shared" si="26"/>
        <v>0.10724833101420155</v>
      </c>
      <c r="AX9" s="5">
        <f t="shared" si="27"/>
        <v>1.4573959944340836E-2</v>
      </c>
      <c r="AY9" s="5">
        <f t="shared" si="28"/>
        <v>2.7494601245163159</v>
      </c>
      <c r="AZ9" s="5">
        <f t="shared" si="29"/>
        <v>4.7487891402938055E-2</v>
      </c>
      <c r="BA9" s="5">
        <f t="shared" si="30"/>
        <v>2.2078593126632753E-2</v>
      </c>
      <c r="BB9" s="469">
        <f t="shared" si="31"/>
        <v>2.679986730751486</v>
      </c>
      <c r="BC9" s="5"/>
      <c r="BD9" s="177">
        <f t="shared" si="57"/>
        <v>3.5369256810307732E-2</v>
      </c>
      <c r="BE9" s="177">
        <f t="shared" si="32"/>
        <v>1405.1968322308437</v>
      </c>
      <c r="BF9" s="177">
        <f t="shared" si="33"/>
        <v>6938.2305876896826</v>
      </c>
      <c r="BG9" s="177"/>
      <c r="BH9" s="538">
        <f t="shared" si="34"/>
        <v>4.3784451455972497E-4</v>
      </c>
      <c r="BI9" s="538">
        <f t="shared" si="35"/>
        <v>249.12139730710643</v>
      </c>
      <c r="BJ9" s="538">
        <f t="shared" si="36"/>
        <v>4.3749999999999995E-3</v>
      </c>
      <c r="BK9" s="538">
        <f t="shared" si="37"/>
        <v>8462927.8085788898</v>
      </c>
      <c r="BL9">
        <f t="shared" si="38"/>
        <v>6.96E-3</v>
      </c>
      <c r="BM9">
        <f t="shared" si="39"/>
        <v>1.6625000000000001E-5</v>
      </c>
      <c r="BN9">
        <f t="shared" si="40"/>
        <v>8463860.6720662359</v>
      </c>
      <c r="BO9" s="469">
        <f t="shared" si="58"/>
        <v>8463860672.0662355</v>
      </c>
      <c r="BP9" s="177">
        <f t="shared" si="41"/>
        <v>1508577.6980520603</v>
      </c>
      <c r="BQ9" s="177">
        <f t="shared" si="42"/>
        <v>36778229.383325867</v>
      </c>
      <c r="BR9" s="538"/>
      <c r="BT9" s="469">
        <f t="shared" si="59"/>
        <v>38286807081.37793</v>
      </c>
      <c r="BU9" s="538">
        <f t="shared" si="43"/>
        <v>1.2509843273134999E-4</v>
      </c>
      <c r="BV9" s="538">
        <f t="shared" si="60"/>
        <v>59237.34411934793</v>
      </c>
      <c r="BW9" s="538">
        <f t="shared" si="44"/>
        <v>2406952.184397636</v>
      </c>
      <c r="BX9" s="538">
        <f t="shared" si="45"/>
        <v>0</v>
      </c>
      <c r="BY9" s="538">
        <f t="shared" si="46"/>
        <v>-14.000070960031646</v>
      </c>
      <c r="BZ9" s="538">
        <f t="shared" si="61"/>
        <v>2466189.5286420821</v>
      </c>
      <c r="CA9" s="641">
        <f t="shared" si="47"/>
        <v>7.3333333333333345E-4</v>
      </c>
      <c r="CB9" s="469">
        <f t="shared" si="62"/>
        <v>-13999.337626698314</v>
      </c>
      <c r="CC9" s="177">
        <f t="shared" si="63"/>
        <v>46750653.754106537</v>
      </c>
      <c r="CD9" s="5">
        <f t="shared" si="64"/>
        <v>0.22</v>
      </c>
      <c r="CE9" s="177">
        <f t="shared" si="65"/>
        <v>4.7058165244458377E-9</v>
      </c>
      <c r="CF9" s="5">
        <f t="shared" si="66"/>
        <v>4.7058165244458375E-7</v>
      </c>
      <c r="CG9">
        <f t="shared" si="67"/>
        <v>4</v>
      </c>
      <c r="CI9" s="571">
        <f t="shared" si="48"/>
        <v>-50</v>
      </c>
      <c r="CJ9">
        <f t="shared" si="49"/>
        <v>-50</v>
      </c>
    </row>
    <row r="10" spans="2:88" x14ac:dyDescent="0.25">
      <c r="E10" s="174">
        <v>5</v>
      </c>
      <c r="F10" s="221">
        <f t="shared" si="68"/>
        <v>5.000000000000001E-3</v>
      </c>
      <c r="G10" s="221">
        <f t="shared" si="50"/>
        <v>2.5000000000000001E-2</v>
      </c>
      <c r="H10" s="221">
        <f t="shared" si="0"/>
        <v>7.5000000000000011E-2</v>
      </c>
      <c r="I10" s="221">
        <f t="shared" si="69"/>
        <v>0.2</v>
      </c>
      <c r="J10" s="551">
        <f t="shared" si="1"/>
        <v>24</v>
      </c>
      <c r="K10" s="451">
        <f t="shared" si="2"/>
        <v>695386.58000000007</v>
      </c>
      <c r="L10" s="451">
        <f t="shared" si="3"/>
        <v>695410.58000000007</v>
      </c>
      <c r="M10" s="451"/>
      <c r="N10" s="221">
        <f t="shared" si="4"/>
        <v>0.99996548801428931</v>
      </c>
      <c r="O10" s="176">
        <f t="shared" si="51"/>
        <v>2.2090146689770211</v>
      </c>
      <c r="P10" s="176">
        <f t="shared" si="5"/>
        <v>5.8907057839387225</v>
      </c>
      <c r="Q10" s="221">
        <f t="shared" si="6"/>
        <v>0.14726764459846808</v>
      </c>
      <c r="R10" s="221">
        <f t="shared" si="7"/>
        <v>0.27612683362212764</v>
      </c>
      <c r="S10" s="451">
        <f t="shared" si="8"/>
        <v>15</v>
      </c>
      <c r="T10" s="221">
        <f t="shared" si="9"/>
        <v>2.5463841770706295E-2</v>
      </c>
      <c r="U10" s="221">
        <f t="shared" si="10"/>
        <v>3.1829802213382871E-2</v>
      </c>
      <c r="V10" s="221">
        <f t="shared" si="11"/>
        <v>1.0985475922201271E-6</v>
      </c>
      <c r="W10" s="201">
        <f t="shared" si="12"/>
        <v>350</v>
      </c>
      <c r="X10" s="451">
        <f t="shared" si="52"/>
        <v>350</v>
      </c>
      <c r="Z10" s="221">
        <f t="shared" si="13"/>
        <v>2.2856354011755182</v>
      </c>
      <c r="AA10" s="177">
        <f t="shared" si="14"/>
        <v>9.8605673459021225E-5</v>
      </c>
      <c r="AB10" s="177">
        <f t="shared" si="15"/>
        <v>0.4914588143407696</v>
      </c>
      <c r="AC10" s="177"/>
      <c r="AD10" s="177">
        <f t="shared" si="16"/>
        <v>6.4712206554230591E-6</v>
      </c>
      <c r="AE10" s="555">
        <f t="shared" si="17"/>
        <v>826.76543209876581</v>
      </c>
      <c r="AF10" s="538">
        <f t="shared" si="18"/>
        <v>2.1166825946720815E-3</v>
      </c>
      <c r="AH10" s="177">
        <f t="shared" si="19"/>
        <v>0.22886885410853172</v>
      </c>
      <c r="AI10" s="177">
        <f t="shared" si="20"/>
        <v>0.22886885410853172</v>
      </c>
      <c r="AJ10" s="177">
        <f t="shared" si="21"/>
        <v>1.2584213734137271</v>
      </c>
      <c r="AL10" s="555">
        <f t="shared" si="22"/>
        <v>5.0000000000000009</v>
      </c>
      <c r="AM10" s="469">
        <f t="shared" si="23"/>
        <v>350</v>
      </c>
      <c r="AO10">
        <f t="shared" si="53"/>
        <v>5.0000000000000009</v>
      </c>
      <c r="AP10" s="469">
        <f t="shared" si="24"/>
        <v>350</v>
      </c>
      <c r="AQ10" s="469"/>
      <c r="AR10" s="5">
        <f t="shared" si="54"/>
        <v>2.8571428571428572</v>
      </c>
      <c r="AS10" s="5">
        <f t="shared" si="25"/>
        <v>0.28608606763566469</v>
      </c>
      <c r="AT10" s="5">
        <f t="shared" si="55"/>
        <v>2.5710567895071925</v>
      </c>
      <c r="AU10" s="177">
        <f t="shared" si="56"/>
        <v>0.10013012367248264</v>
      </c>
      <c r="AW10" s="5">
        <f t="shared" si="26"/>
        <v>0.10724833101420155</v>
      </c>
      <c r="AX10" s="5">
        <f t="shared" si="27"/>
        <v>1.9021812413032562E-2</v>
      </c>
      <c r="AY10" s="5">
        <f t="shared" si="28"/>
        <v>2.7494601245163159</v>
      </c>
      <c r="AZ10" s="5">
        <f t="shared" si="29"/>
        <v>6.1699830317090712E-2</v>
      </c>
      <c r="BA10" s="5">
        <f t="shared" si="30"/>
        <v>2.7277801586206709E-2</v>
      </c>
      <c r="BB10" s="469">
        <f t="shared" si="31"/>
        <v>3.3115306347892499</v>
      </c>
      <c r="BC10" s="5"/>
      <c r="BD10" s="177">
        <f t="shared" si="57"/>
        <v>4.181272230628371E-2</v>
      </c>
      <c r="BE10" s="177">
        <f t="shared" si="32"/>
        <v>1561.9105091521112</v>
      </c>
      <c r="BF10" s="177">
        <f t="shared" si="33"/>
        <v>7712.0123112068568</v>
      </c>
      <c r="BG10" s="177"/>
      <c r="BH10" s="538">
        <f t="shared" si="34"/>
        <v>6.1190631133183841E-4</v>
      </c>
      <c r="BI10" s="538">
        <f t="shared" si="35"/>
        <v>278.52618951421152</v>
      </c>
      <c r="BJ10" s="538">
        <f t="shared" si="36"/>
        <v>4.3749999999999995E-3</v>
      </c>
      <c r="BK10" s="538">
        <f t="shared" si="37"/>
        <v>8462927.8085788898</v>
      </c>
      <c r="BL10">
        <f t="shared" si="38"/>
        <v>6.96E-3</v>
      </c>
      <c r="BM10">
        <f t="shared" si="39"/>
        <v>1.6625000000000001E-5</v>
      </c>
      <c r="BN10">
        <f t="shared" si="40"/>
        <v>8464161.9228861313</v>
      </c>
      <c r="BO10" s="469">
        <f t="shared" si="58"/>
        <v>8464161922.8861313</v>
      </c>
      <c r="BP10" s="177">
        <f t="shared" si="41"/>
        <v>1863827.2325227524</v>
      </c>
      <c r="BQ10" s="177">
        <f t="shared" si="42"/>
        <v>45439002.297751963</v>
      </c>
      <c r="BR10" s="538"/>
      <c r="BT10" s="469">
        <f t="shared" si="59"/>
        <v>47302829530.274719</v>
      </c>
      <c r="BU10" s="538">
        <f t="shared" si="43"/>
        <v>1.7483037466623955E-4</v>
      </c>
      <c r="BV10" s="538">
        <f t="shared" si="60"/>
        <v>73186.933157994208</v>
      </c>
      <c r="BW10" s="538">
        <f t="shared" si="44"/>
        <v>2973756.6944103064</v>
      </c>
      <c r="BX10" s="538">
        <f t="shared" si="45"/>
        <v>0</v>
      </c>
      <c r="BY10" s="538">
        <f t="shared" si="46"/>
        <v>-14.000057434839405</v>
      </c>
      <c r="BZ10" s="538">
        <f t="shared" si="61"/>
        <v>3046943.627743131</v>
      </c>
      <c r="CA10" s="641">
        <f t="shared" si="47"/>
        <v>9.1666666666666665E-4</v>
      </c>
      <c r="CB10" s="469">
        <f t="shared" si="62"/>
        <v>-13999.140768172738</v>
      </c>
      <c r="CC10" s="177">
        <f t="shared" si="63"/>
        <v>55766977.454020076</v>
      </c>
      <c r="CD10" s="5">
        <f t="shared" si="64"/>
        <v>0.27500000000000002</v>
      </c>
      <c r="CE10" s="177">
        <f t="shared" si="65"/>
        <v>4.9312337013539694E-9</v>
      </c>
      <c r="CF10" s="5">
        <f t="shared" si="66"/>
        <v>4.931233701353969E-7</v>
      </c>
      <c r="CG10">
        <f t="shared" si="67"/>
        <v>5.0000000000000009</v>
      </c>
      <c r="CI10" s="571">
        <f t="shared" si="48"/>
        <v>-50</v>
      </c>
      <c r="CJ10">
        <f t="shared" si="49"/>
        <v>-50</v>
      </c>
    </row>
    <row r="11" spans="2:88" x14ac:dyDescent="0.25">
      <c r="E11" s="174">
        <v>6</v>
      </c>
      <c r="F11" s="221">
        <f t="shared" si="68"/>
        <v>6.0000000000000001E-3</v>
      </c>
      <c r="G11" s="221">
        <f t="shared" si="50"/>
        <v>0.03</v>
      </c>
      <c r="H11" s="221">
        <f t="shared" si="0"/>
        <v>0.09</v>
      </c>
      <c r="I11" s="221">
        <f t="shared" si="69"/>
        <v>0.24</v>
      </c>
      <c r="J11" s="551">
        <f t="shared" si="1"/>
        <v>24</v>
      </c>
      <c r="K11" s="451">
        <f t="shared" si="2"/>
        <v>695386.58000000007</v>
      </c>
      <c r="L11" s="451">
        <f t="shared" si="3"/>
        <v>695410.58000000007</v>
      </c>
      <c r="M11" s="451"/>
      <c r="N11" s="221">
        <f t="shared" si="4"/>
        <v>0.99996548801428931</v>
      </c>
      <c r="O11" s="176">
        <f t="shared" si="51"/>
        <v>2.2090146689770211</v>
      </c>
      <c r="P11" s="176">
        <f t="shared" si="5"/>
        <v>5.8907057839387225</v>
      </c>
      <c r="Q11" s="221">
        <f t="shared" si="6"/>
        <v>0.14726764459846808</v>
      </c>
      <c r="R11" s="221">
        <f t="shared" si="7"/>
        <v>0.27612683362212764</v>
      </c>
      <c r="S11" s="451">
        <f t="shared" si="8"/>
        <v>15</v>
      </c>
      <c r="T11" s="221">
        <f t="shared" si="9"/>
        <v>3.0556610124847547E-2</v>
      </c>
      <c r="U11" s="221">
        <f t="shared" si="10"/>
        <v>3.819576265605943E-2</v>
      </c>
      <c r="V11" s="221">
        <f t="shared" si="11"/>
        <v>1.3182571106641522E-6</v>
      </c>
      <c r="W11" s="201">
        <f t="shared" si="12"/>
        <v>350</v>
      </c>
      <c r="X11" s="451">
        <f t="shared" si="52"/>
        <v>350</v>
      </c>
      <c r="Z11" s="221">
        <f t="shared" si="13"/>
        <v>2.2856354011755182</v>
      </c>
      <c r="AA11" s="177">
        <f t="shared" si="14"/>
        <v>9.8605673459021225E-5</v>
      </c>
      <c r="AB11" s="177">
        <f t="shared" si="15"/>
        <v>0.4914588143407696</v>
      </c>
      <c r="AC11" s="177"/>
      <c r="AD11" s="177">
        <f t="shared" si="16"/>
        <v>6.4712206554230591E-6</v>
      </c>
      <c r="AE11" s="555">
        <f t="shared" si="17"/>
        <v>992.11851851851895</v>
      </c>
      <c r="AF11" s="538">
        <f t="shared" si="18"/>
        <v>2.1166825946720815E-3</v>
      </c>
      <c r="AH11" s="177">
        <f t="shared" si="19"/>
        <v>0.25071326821120349</v>
      </c>
      <c r="AI11" s="177">
        <f t="shared" si="20"/>
        <v>0.25071326821120349</v>
      </c>
      <c r="AJ11" s="177">
        <f t="shared" si="21"/>
        <v>1.2746024208971878</v>
      </c>
      <c r="AL11" s="555">
        <f t="shared" si="22"/>
        <v>6</v>
      </c>
      <c r="AM11" s="469">
        <f t="shared" si="23"/>
        <v>350</v>
      </c>
      <c r="AO11">
        <f t="shared" si="53"/>
        <v>6</v>
      </c>
      <c r="AP11" s="469">
        <f t="shared" si="24"/>
        <v>350</v>
      </c>
      <c r="AQ11" s="469"/>
      <c r="AR11" s="5">
        <f t="shared" si="54"/>
        <v>2.8571428571428572</v>
      </c>
      <c r="AS11" s="5">
        <f t="shared" si="25"/>
        <v>0.31339158526400435</v>
      </c>
      <c r="AT11" s="5">
        <f t="shared" si="55"/>
        <v>2.5437512718788531</v>
      </c>
      <c r="AU11" s="177">
        <f t="shared" si="56"/>
        <v>0.10968705484240152</v>
      </c>
      <c r="AW11" s="5">
        <f t="shared" si="26"/>
        <v>0.10724833101420155</v>
      </c>
      <c r="AX11" s="5">
        <f t="shared" si="27"/>
        <v>2.3791409874766883E-2</v>
      </c>
      <c r="AY11" s="5">
        <f t="shared" si="28"/>
        <v>2.7494601245163159</v>
      </c>
      <c r="AZ11" s="5">
        <f t="shared" si="29"/>
        <v>7.6847755656610617E-2</v>
      </c>
      <c r="BA11" s="5">
        <f t="shared" si="30"/>
        <v>3.2385722211420574E-2</v>
      </c>
      <c r="BB11" s="469">
        <f t="shared" si="31"/>
        <v>3.9321199987038034</v>
      </c>
      <c r="BC11" s="5"/>
      <c r="BD11" s="177">
        <f t="shared" si="57"/>
        <v>4.7939596979977822E-2</v>
      </c>
      <c r="BE11" s="177">
        <f t="shared" si="32"/>
        <v>1701.877345340848</v>
      </c>
      <c r="BF11" s="177">
        <f t="shared" si="33"/>
        <v>8403.1056597202623</v>
      </c>
      <c r="BG11" s="177"/>
      <c r="BH11" s="538">
        <f t="shared" si="34"/>
        <v>8.0437173551094459E-4</v>
      </c>
      <c r="BI11" s="538">
        <f t="shared" si="35"/>
        <v>305.11015370578508</v>
      </c>
      <c r="BJ11" s="538">
        <f t="shared" si="36"/>
        <v>4.3749999999999995E-3</v>
      </c>
      <c r="BK11" s="538">
        <f t="shared" si="37"/>
        <v>8462927.8085788898</v>
      </c>
      <c r="BL11">
        <f t="shared" si="38"/>
        <v>6.96E-3</v>
      </c>
      <c r="BM11">
        <f t="shared" si="39"/>
        <v>1.6625000000000001E-5</v>
      </c>
      <c r="BN11">
        <f t="shared" si="40"/>
        <v>8464489.1169225033</v>
      </c>
      <c r="BO11" s="469">
        <f t="shared" si="58"/>
        <v>8464489116.9225035</v>
      </c>
      <c r="BP11" s="177">
        <f t="shared" si="41"/>
        <v>2212839.2866374906</v>
      </c>
      <c r="BQ11" s="177">
        <f t="shared" si="42"/>
        <v>53947709.141109936</v>
      </c>
      <c r="BR11" s="538"/>
      <c r="BT11" s="469">
        <f t="shared" si="59"/>
        <v>56160548427.747429</v>
      </c>
      <c r="BU11" s="538">
        <f t="shared" si="43"/>
        <v>2.2982049586026988E-4</v>
      </c>
      <c r="BV11" s="538">
        <f t="shared" si="60"/>
        <v>86891.594957532361</v>
      </c>
      <c r="BW11" s="538">
        <f t="shared" si="44"/>
        <v>3530609.2364211353</v>
      </c>
      <c r="BX11" s="538">
        <f t="shared" si="45"/>
        <v>0</v>
      </c>
      <c r="BY11" s="538">
        <f t="shared" si="46"/>
        <v>-14.000048376106282</v>
      </c>
      <c r="BZ11" s="538">
        <f t="shared" si="61"/>
        <v>3617500.8316084882</v>
      </c>
      <c r="CA11" s="641">
        <f t="shared" si="47"/>
        <v>1.1000000000000001E-3</v>
      </c>
      <c r="CB11" s="469">
        <f t="shared" si="62"/>
        <v>-13998.948376106282</v>
      </c>
      <c r="CC11" s="177">
        <f t="shared" si="63"/>
        <v>64625023.545721553</v>
      </c>
      <c r="CD11" s="5">
        <f t="shared" si="64"/>
        <v>0.32999999999999996</v>
      </c>
      <c r="CE11" s="177">
        <f t="shared" si="65"/>
        <v>5.1063810921697001E-9</v>
      </c>
      <c r="CF11" s="5">
        <f t="shared" si="66"/>
        <v>5.1063810921697003E-7</v>
      </c>
      <c r="CG11">
        <f t="shared" si="67"/>
        <v>6</v>
      </c>
      <c r="CI11" s="571">
        <f t="shared" si="48"/>
        <v>-50</v>
      </c>
      <c r="CJ11">
        <f t="shared" si="49"/>
        <v>-50</v>
      </c>
    </row>
    <row r="12" spans="2:88" x14ac:dyDescent="0.25">
      <c r="E12" s="174">
        <v>7</v>
      </c>
      <c r="F12" s="221">
        <f t="shared" si="68"/>
        <v>7.000000000000001E-3</v>
      </c>
      <c r="G12" s="221">
        <f t="shared" si="50"/>
        <v>3.5000000000000003E-2</v>
      </c>
      <c r="H12" s="221">
        <f t="shared" si="0"/>
        <v>0.10500000000000001</v>
      </c>
      <c r="I12" s="221">
        <f t="shared" si="69"/>
        <v>0.28000000000000003</v>
      </c>
      <c r="J12" s="551">
        <f t="shared" si="1"/>
        <v>24</v>
      </c>
      <c r="K12" s="451">
        <f t="shared" si="2"/>
        <v>695386.58000000007</v>
      </c>
      <c r="L12" s="451">
        <f t="shared" si="3"/>
        <v>695410.58000000007</v>
      </c>
      <c r="M12" s="451"/>
      <c r="N12" s="221">
        <f t="shared" si="4"/>
        <v>0.99996548801428931</v>
      </c>
      <c r="O12" s="176">
        <f t="shared" si="51"/>
        <v>2.2090146689770211</v>
      </c>
      <c r="P12" s="176">
        <f t="shared" si="5"/>
        <v>5.8907057839387225</v>
      </c>
      <c r="Q12" s="221">
        <f t="shared" si="6"/>
        <v>0.14726764459846808</v>
      </c>
      <c r="R12" s="221">
        <f t="shared" si="7"/>
        <v>0.27612683362212764</v>
      </c>
      <c r="S12" s="451">
        <f t="shared" si="8"/>
        <v>15</v>
      </c>
      <c r="T12" s="221">
        <f t="shared" si="9"/>
        <v>3.5649378478988809E-2</v>
      </c>
      <c r="U12" s="221">
        <f t="shared" si="10"/>
        <v>4.456172309873601E-2</v>
      </c>
      <c r="V12" s="221">
        <f t="shared" si="11"/>
        <v>1.5379666291081776E-6</v>
      </c>
      <c r="W12" s="201">
        <f t="shared" si="12"/>
        <v>350</v>
      </c>
      <c r="X12" s="451">
        <f t="shared" si="52"/>
        <v>350</v>
      </c>
      <c r="Z12" s="221">
        <f t="shared" si="13"/>
        <v>2.2856354011755182</v>
      </c>
      <c r="AA12" s="177">
        <f t="shared" si="14"/>
        <v>9.8605673459021225E-5</v>
      </c>
      <c r="AB12" s="177">
        <f t="shared" si="15"/>
        <v>0.4914588143407696</v>
      </c>
      <c r="AC12" s="177"/>
      <c r="AD12" s="177">
        <f t="shared" si="16"/>
        <v>6.4712206554230591E-6</v>
      </c>
      <c r="AE12" s="555">
        <f t="shared" si="17"/>
        <v>1157.4716049382721</v>
      </c>
      <c r="AF12" s="538">
        <f t="shared" si="18"/>
        <v>2.1166825946720815E-3</v>
      </c>
      <c r="AH12" s="177">
        <f t="shared" si="19"/>
        <v>0.27080128015453203</v>
      </c>
      <c r="AI12" s="177">
        <f t="shared" si="20"/>
        <v>0.27080128015453203</v>
      </c>
      <c r="AJ12" s="177">
        <f t="shared" si="21"/>
        <v>1.2894824297440977</v>
      </c>
      <c r="AL12" s="555">
        <f t="shared" si="22"/>
        <v>7.0000000000000009</v>
      </c>
      <c r="AM12" s="469">
        <f t="shared" si="23"/>
        <v>350</v>
      </c>
      <c r="AO12">
        <f t="shared" si="53"/>
        <v>7.0000000000000009</v>
      </c>
      <c r="AP12" s="469">
        <f t="shared" si="24"/>
        <v>350</v>
      </c>
      <c r="AQ12" s="469"/>
      <c r="AR12" s="5">
        <f t="shared" si="54"/>
        <v>2.8571428571428572</v>
      </c>
      <c r="AS12" s="5">
        <f t="shared" si="25"/>
        <v>0.33850160019316505</v>
      </c>
      <c r="AT12" s="5">
        <f t="shared" si="55"/>
        <v>2.5186412569496923</v>
      </c>
      <c r="AU12" s="177">
        <f t="shared" si="56"/>
        <v>0.11847556006760776</v>
      </c>
      <c r="AW12" s="5">
        <f t="shared" si="26"/>
        <v>0.10724833101420155</v>
      </c>
      <c r="AX12" s="5">
        <f t="shared" si="27"/>
        <v>2.8882752329543817E-2</v>
      </c>
      <c r="AY12" s="5">
        <f t="shared" si="28"/>
        <v>2.7494601245163159</v>
      </c>
      <c r="AZ12" s="5">
        <f t="shared" si="29"/>
        <v>9.2931667421497804E-2</v>
      </c>
      <c r="BA12" s="5">
        <f t="shared" si="30"/>
        <v>3.7410373608241947E-2</v>
      </c>
      <c r="BB12" s="469">
        <f t="shared" si="31"/>
        <v>4.5427170552112566</v>
      </c>
      <c r="BC12" s="5"/>
      <c r="BD12" s="177">
        <f t="shared" si="57"/>
        <v>5.3815139562181563E-2</v>
      </c>
      <c r="BE12" s="177">
        <f t="shared" si="32"/>
        <v>1829.1422726845851</v>
      </c>
      <c r="BF12" s="177">
        <f t="shared" si="33"/>
        <v>9031.4826894596554</v>
      </c>
      <c r="BG12" s="177"/>
      <c r="BH12" s="538">
        <f t="shared" si="34"/>
        <v>1.0136242361339777E-3</v>
      </c>
      <c r="BI12" s="538">
        <f t="shared" si="35"/>
        <v>329.55663176975986</v>
      </c>
      <c r="BJ12" s="538">
        <f t="shared" si="36"/>
        <v>4.3749999999999995E-3</v>
      </c>
      <c r="BK12" s="538">
        <f t="shared" si="37"/>
        <v>8462927.8085788898</v>
      </c>
      <c r="BL12">
        <f t="shared" si="38"/>
        <v>6.96E-3</v>
      </c>
      <c r="BM12">
        <f t="shared" si="39"/>
        <v>1.6625000000000001E-5</v>
      </c>
      <c r="BN12">
        <f t="shared" si="40"/>
        <v>8464840.4185986556</v>
      </c>
      <c r="BO12" s="469">
        <f t="shared" si="58"/>
        <v>8464840418.5986557</v>
      </c>
      <c r="BP12" s="177">
        <f t="shared" si="41"/>
        <v>2556161.7526489003</v>
      </c>
      <c r="BQ12" s="177">
        <f t="shared" si="42"/>
        <v>62317707.201514669</v>
      </c>
      <c r="BR12" s="538"/>
      <c r="BT12" s="469">
        <f t="shared" si="59"/>
        <v>64873868954.163567</v>
      </c>
      <c r="BU12" s="538">
        <f t="shared" si="43"/>
        <v>2.8960692460970795E-4</v>
      </c>
      <c r="BV12" s="538">
        <f t="shared" si="60"/>
        <v>100372.84361165187</v>
      </c>
      <c r="BW12" s="538">
        <f t="shared" si="44"/>
        <v>4078383.9785004705</v>
      </c>
      <c r="BX12" s="538">
        <f t="shared" si="45"/>
        <v>0</v>
      </c>
      <c r="BY12" s="538">
        <f t="shared" si="46"/>
        <v>-14.0000418786091</v>
      </c>
      <c r="BZ12" s="538">
        <f t="shared" si="61"/>
        <v>4178756.8224017294</v>
      </c>
      <c r="CA12" s="641">
        <f t="shared" si="47"/>
        <v>1.2833333333333336E-3</v>
      </c>
      <c r="CB12" s="469">
        <f t="shared" si="62"/>
        <v>-13998.758545275767</v>
      </c>
      <c r="CC12" s="177">
        <f t="shared" si="63"/>
        <v>73338695.374003693</v>
      </c>
      <c r="CD12" s="5">
        <f t="shared" si="64"/>
        <v>0.38500000000000001</v>
      </c>
      <c r="CE12" s="177">
        <f t="shared" si="65"/>
        <v>5.2496161271416396E-9</v>
      </c>
      <c r="CF12" s="5">
        <f t="shared" si="66"/>
        <v>5.2496161271416401E-7</v>
      </c>
      <c r="CG12">
        <f t="shared" si="67"/>
        <v>7.0000000000000009</v>
      </c>
      <c r="CI12" s="571">
        <f t="shared" si="48"/>
        <v>-50</v>
      </c>
      <c r="CJ12">
        <f t="shared" si="49"/>
        <v>-50</v>
      </c>
    </row>
    <row r="13" spans="2:88" s="77" customFormat="1" x14ac:dyDescent="0.25">
      <c r="E13" s="193">
        <v>8</v>
      </c>
      <c r="F13" s="221">
        <f t="shared" si="68"/>
        <v>8.0000000000000002E-3</v>
      </c>
      <c r="G13" s="221">
        <f t="shared" si="50"/>
        <v>0.04</v>
      </c>
      <c r="H13" s="221">
        <f t="shared" si="0"/>
        <v>0.12</v>
      </c>
      <c r="I13" s="221">
        <f t="shared" si="69"/>
        <v>0.32</v>
      </c>
      <c r="J13" s="551">
        <f t="shared" si="1"/>
        <v>24</v>
      </c>
      <c r="K13" s="451">
        <f t="shared" si="2"/>
        <v>695386.58000000007</v>
      </c>
      <c r="L13" s="545">
        <f t="shared" si="3"/>
        <v>695410.58000000007</v>
      </c>
      <c r="M13" s="545"/>
      <c r="N13" s="333">
        <f t="shared" si="4"/>
        <v>0.99996548801428931</v>
      </c>
      <c r="O13" s="176">
        <f t="shared" si="51"/>
        <v>2.2090146689770211</v>
      </c>
      <c r="P13" s="176">
        <f t="shared" si="5"/>
        <v>5.8907057839387225</v>
      </c>
      <c r="Q13" s="333">
        <f t="shared" si="6"/>
        <v>0.14726764459846808</v>
      </c>
      <c r="R13" s="221">
        <f t="shared" si="7"/>
        <v>0.27612683362212764</v>
      </c>
      <c r="S13" s="451">
        <f t="shared" si="8"/>
        <v>15</v>
      </c>
      <c r="T13" s="221">
        <f t="shared" si="9"/>
        <v>4.0742146833130065E-2</v>
      </c>
      <c r="U13" s="333">
        <f t="shared" si="10"/>
        <v>5.0927683541412583E-2</v>
      </c>
      <c r="V13" s="221">
        <f t="shared" si="11"/>
        <v>1.7576761475522029E-6</v>
      </c>
      <c r="W13" s="547">
        <f t="shared" si="12"/>
        <v>350</v>
      </c>
      <c r="X13" s="545">
        <f t="shared" si="52"/>
        <v>350</v>
      </c>
      <c r="Z13" s="333">
        <f t="shared" si="13"/>
        <v>2.2856354011755182</v>
      </c>
      <c r="AA13" s="177">
        <f t="shared" si="14"/>
        <v>9.8605673459021225E-5</v>
      </c>
      <c r="AB13" s="177">
        <f t="shared" si="15"/>
        <v>0.4914588143407696</v>
      </c>
      <c r="AC13" s="548"/>
      <c r="AD13" s="177">
        <f t="shared" si="16"/>
        <v>6.4712206554230591E-6</v>
      </c>
      <c r="AE13" s="555">
        <f t="shared" si="17"/>
        <v>1322.8246913580251</v>
      </c>
      <c r="AF13" s="538">
        <f t="shared" si="18"/>
        <v>2.1166825946720815E-3</v>
      </c>
      <c r="AG13"/>
      <c r="AH13" s="177">
        <f t="shared" si="19"/>
        <v>0.28949874578229834</v>
      </c>
      <c r="AI13" s="177">
        <f t="shared" si="20"/>
        <v>0.28949874578229834</v>
      </c>
      <c r="AJ13" s="177">
        <f t="shared" si="21"/>
        <v>1.303332404283184</v>
      </c>
      <c r="AL13" s="555">
        <f t="shared" si="22"/>
        <v>8</v>
      </c>
      <c r="AM13" s="469">
        <f t="shared" si="23"/>
        <v>350</v>
      </c>
      <c r="AO13">
        <f t="shared" si="53"/>
        <v>8</v>
      </c>
      <c r="AP13" s="469">
        <f t="shared" si="24"/>
        <v>350</v>
      </c>
      <c r="AQ13" s="469"/>
      <c r="AR13" s="5">
        <f t="shared" si="54"/>
        <v>2.8571428571428572</v>
      </c>
      <c r="AS13" s="5">
        <f t="shared" si="25"/>
        <v>0.36187343222787294</v>
      </c>
      <c r="AT13" s="5">
        <f t="shared" si="55"/>
        <v>2.4952694249149845</v>
      </c>
      <c r="AU13" s="177">
        <f t="shared" si="56"/>
        <v>0.12665570127975553</v>
      </c>
      <c r="AW13" s="5">
        <f t="shared" si="26"/>
        <v>0.10724833101420155</v>
      </c>
      <c r="AX13" s="5">
        <f t="shared" si="27"/>
        <v>3.4295839777363349E-2</v>
      </c>
      <c r="AY13" s="5">
        <f t="shared" si="28"/>
        <v>2.7494601245163159</v>
      </c>
      <c r="AZ13" s="5">
        <f t="shared" si="29"/>
        <v>0.10995156561175222</v>
      </c>
      <c r="BA13" s="5">
        <f t="shared" si="30"/>
        <v>4.235796863281608E-2</v>
      </c>
      <c r="BB13" s="469">
        <f t="shared" si="31"/>
        <v>5.1440673470490408</v>
      </c>
      <c r="BC13" s="5"/>
      <c r="BD13" s="177">
        <f t="shared" si="57"/>
        <v>5.9483762523951593E-2</v>
      </c>
      <c r="BE13" s="177">
        <f t="shared" si="32"/>
        <v>1946.3414255821306</v>
      </c>
      <c r="BF13" s="177">
        <f t="shared" si="33"/>
        <v>9610.1594476431565</v>
      </c>
      <c r="BG13" s="177"/>
      <c r="BH13" s="538">
        <f t="shared" si="34"/>
        <v>1.2384113014020537E-3</v>
      </c>
      <c r="BI13" s="538">
        <f t="shared" si="35"/>
        <v>352.31085874904619</v>
      </c>
      <c r="BJ13" s="538">
        <f t="shared" si="36"/>
        <v>4.3749999999999995E-3</v>
      </c>
      <c r="BK13" s="538">
        <f t="shared" si="37"/>
        <v>8462927.8085788898</v>
      </c>
      <c r="BL13">
        <f t="shared" si="38"/>
        <v>6.96E-3</v>
      </c>
      <c r="BM13">
        <f t="shared" si="39"/>
        <v>1.6625000000000001E-5</v>
      </c>
      <c r="BN13">
        <f t="shared" si="40"/>
        <v>8465214.3226472195</v>
      </c>
      <c r="BO13" s="469">
        <f t="shared" si="58"/>
        <v>8465214322.6472197</v>
      </c>
      <c r="BP13" s="177">
        <f t="shared" si="41"/>
        <v>2894219.1402239287</v>
      </c>
      <c r="BQ13" s="177">
        <f t="shared" si="42"/>
        <v>70559345.772831485</v>
      </c>
      <c r="BR13" s="538"/>
      <c r="BT13" s="469">
        <f t="shared" si="59"/>
        <v>73453564913.05542</v>
      </c>
      <c r="BU13" s="538">
        <f t="shared" si="43"/>
        <v>3.5383180040058683E-4</v>
      </c>
      <c r="BV13" s="538">
        <f t="shared" si="60"/>
        <v>113647.3483481124</v>
      </c>
      <c r="BW13" s="538">
        <f t="shared" si="44"/>
        <v>4617758.2304562507</v>
      </c>
      <c r="BX13" s="538">
        <f t="shared" si="45"/>
        <v>0</v>
      </c>
      <c r="BY13" s="538">
        <f t="shared" si="46"/>
        <v>-14.000036986992431</v>
      </c>
      <c r="BZ13" s="538">
        <f t="shared" si="61"/>
        <v>4731405.5791581953</v>
      </c>
      <c r="CA13" s="641">
        <f t="shared" si="47"/>
        <v>1.4666666666666669E-3</v>
      </c>
      <c r="CB13" s="469">
        <f t="shared" si="62"/>
        <v>-13998.570320325764</v>
      </c>
      <c r="CC13" s="177">
        <f t="shared" si="63"/>
        <v>81918765.237132311</v>
      </c>
      <c r="CD13" s="5">
        <f t="shared" si="64"/>
        <v>0.44</v>
      </c>
      <c r="CE13" s="177">
        <f t="shared" si="65"/>
        <v>5.3711746797330758E-9</v>
      </c>
      <c r="CF13" s="5">
        <f t="shared" si="66"/>
        <v>5.3711746797330762E-7</v>
      </c>
      <c r="CG13">
        <f t="shared" si="67"/>
        <v>8</v>
      </c>
      <c r="CI13" s="571">
        <f t="shared" si="48"/>
        <v>-50</v>
      </c>
      <c r="CJ13">
        <f t="shared" si="49"/>
        <v>-50</v>
      </c>
    </row>
    <row r="14" spans="2:88" x14ac:dyDescent="0.25">
      <c r="E14" s="174">
        <v>9</v>
      </c>
      <c r="F14" s="221">
        <f t="shared" si="68"/>
        <v>8.9999999999999993E-3</v>
      </c>
      <c r="G14" s="221">
        <f t="shared" si="50"/>
        <v>4.4999999999999998E-2</v>
      </c>
      <c r="H14" s="221">
        <f t="shared" si="0"/>
        <v>0.13499999999999998</v>
      </c>
      <c r="I14" s="221">
        <f t="shared" si="69"/>
        <v>0.36</v>
      </c>
      <c r="J14" s="551">
        <f t="shared" si="1"/>
        <v>24</v>
      </c>
      <c r="K14" s="451">
        <f t="shared" si="2"/>
        <v>695386.58000000007</v>
      </c>
      <c r="L14" s="451">
        <f t="shared" si="3"/>
        <v>695410.58000000007</v>
      </c>
      <c r="M14" s="451"/>
      <c r="N14" s="221">
        <f t="shared" si="4"/>
        <v>0.99996548801428931</v>
      </c>
      <c r="O14" s="176">
        <f t="shared" si="51"/>
        <v>2.2090146689770211</v>
      </c>
      <c r="P14" s="176">
        <f t="shared" si="5"/>
        <v>5.8907057839387225</v>
      </c>
      <c r="Q14" s="221">
        <f t="shared" si="6"/>
        <v>0.14726764459846808</v>
      </c>
      <c r="R14" s="221">
        <f t="shared" si="7"/>
        <v>0.27612683362212764</v>
      </c>
      <c r="S14" s="451">
        <f t="shared" si="8"/>
        <v>15</v>
      </c>
      <c r="T14" s="221">
        <f t="shared" si="9"/>
        <v>4.5834915187271327E-2</v>
      </c>
      <c r="U14" s="221">
        <f t="shared" si="10"/>
        <v>5.7293643984089163E-2</v>
      </c>
      <c r="V14" s="221">
        <f t="shared" si="11"/>
        <v>1.9773856659962284E-6</v>
      </c>
      <c r="W14" s="201">
        <f t="shared" si="12"/>
        <v>350</v>
      </c>
      <c r="X14" s="451">
        <f t="shared" si="52"/>
        <v>350</v>
      </c>
      <c r="Z14" s="221">
        <f t="shared" si="13"/>
        <v>2.2856354011755182</v>
      </c>
      <c r="AA14" s="177">
        <f t="shared" si="14"/>
        <v>9.8605673459021225E-5</v>
      </c>
      <c r="AB14" s="177">
        <f t="shared" si="15"/>
        <v>0.4914588143407696</v>
      </c>
      <c r="AC14" s="177"/>
      <c r="AD14" s="177">
        <f t="shared" si="16"/>
        <v>6.4712206554230591E-6</v>
      </c>
      <c r="AE14" s="555">
        <f t="shared" si="17"/>
        <v>1488.1777777777779</v>
      </c>
      <c r="AF14" s="538">
        <f t="shared" si="18"/>
        <v>2.1166825946720815E-3</v>
      </c>
      <c r="AH14" s="177">
        <f t="shared" si="19"/>
        <v>0.30705978943149537</v>
      </c>
      <c r="AI14" s="177">
        <f t="shared" si="20"/>
        <v>0.30705978943149537</v>
      </c>
      <c r="AJ14" s="177">
        <f t="shared" si="21"/>
        <v>1.3163405847640706</v>
      </c>
      <c r="AL14" s="555">
        <f t="shared" si="22"/>
        <v>9</v>
      </c>
      <c r="AM14" s="469">
        <f t="shared" si="23"/>
        <v>350</v>
      </c>
      <c r="AO14">
        <f t="shared" si="53"/>
        <v>9</v>
      </c>
      <c r="AP14" s="469">
        <f t="shared" si="24"/>
        <v>350</v>
      </c>
      <c r="AQ14" s="469"/>
      <c r="AR14" s="5">
        <f t="shared" si="54"/>
        <v>2.8571428571428572</v>
      </c>
      <c r="AS14" s="5">
        <f t="shared" si="25"/>
        <v>0.38382473678936924</v>
      </c>
      <c r="AT14" s="5">
        <f t="shared" si="55"/>
        <v>2.473318120353488</v>
      </c>
      <c r="AU14" s="177">
        <f t="shared" si="56"/>
        <v>0.13433865787627922</v>
      </c>
      <c r="AW14" s="5">
        <f t="shared" si="26"/>
        <v>0.10724833101420155</v>
      </c>
      <c r="AX14" s="5">
        <f t="shared" si="27"/>
        <v>4.0030672218225476E-2</v>
      </c>
      <c r="AY14" s="5">
        <f t="shared" si="28"/>
        <v>2.7494601245163159</v>
      </c>
      <c r="AZ14" s="5">
        <f t="shared" si="29"/>
        <v>0.12790745022737388</v>
      </c>
      <c r="BA14" s="5">
        <f t="shared" si="30"/>
        <v>4.7233505770639513E-2</v>
      </c>
      <c r="BB14" s="469">
        <f t="shared" si="31"/>
        <v>5.7367706924767443</v>
      </c>
      <c r="BC14" s="5"/>
      <c r="BD14" s="177">
        <f t="shared" si="57"/>
        <v>6.4977473825034632E-2</v>
      </c>
      <c r="BE14" s="177">
        <f t="shared" si="32"/>
        <v>2055.3063049246475</v>
      </c>
      <c r="BF14" s="177">
        <f t="shared" si="33"/>
        <v>10148.179062758523</v>
      </c>
      <c r="BG14" s="177"/>
      <c r="BH14" s="538">
        <f t="shared" si="34"/>
        <v>1.477725236639071E-3</v>
      </c>
      <c r="BI14" s="538">
        <f t="shared" si="35"/>
        <v>373.68209596065969</v>
      </c>
      <c r="BJ14" s="538">
        <f t="shared" si="36"/>
        <v>4.3749999999999995E-3</v>
      </c>
      <c r="BK14" s="538">
        <f t="shared" si="37"/>
        <v>8462927.8085788898</v>
      </c>
      <c r="BL14">
        <f t="shared" si="38"/>
        <v>6.96E-3</v>
      </c>
      <c r="BM14">
        <f t="shared" si="39"/>
        <v>1.6625000000000001E-5</v>
      </c>
      <c r="BN14">
        <f t="shared" si="40"/>
        <v>8465609.5700887144</v>
      </c>
      <c r="BO14" s="469">
        <f t="shared" si="58"/>
        <v>8465609570.0887146</v>
      </c>
      <c r="BP14" s="177">
        <f t="shared" si="41"/>
        <v>3227352.983974637</v>
      </c>
      <c r="BQ14" s="177">
        <f t="shared" si="42"/>
        <v>78680951.266307682</v>
      </c>
      <c r="BR14" s="538"/>
      <c r="BT14" s="469">
        <f t="shared" si="59"/>
        <v>81908304250.282318</v>
      </c>
      <c r="BU14" s="538">
        <f t="shared" si="43"/>
        <v>4.2220721046830605E-4</v>
      </c>
      <c r="BV14" s="538">
        <f t="shared" si="60"/>
        <v>126728.52021189024</v>
      </c>
      <c r="BW14" s="538">
        <f t="shared" si="44"/>
        <v>5149276.9144905237</v>
      </c>
      <c r="BX14" s="538">
        <f t="shared" si="45"/>
        <v>0</v>
      </c>
      <c r="BY14" s="538">
        <f t="shared" si="46"/>
        <v>-14.000033169111891</v>
      </c>
      <c r="BZ14" s="538">
        <f t="shared" si="61"/>
        <v>5276005.4351246208</v>
      </c>
      <c r="CA14" s="641">
        <f t="shared" si="47"/>
        <v>1.65E-3</v>
      </c>
      <c r="CB14" s="469">
        <f t="shared" si="62"/>
        <v>-13998.38316911189</v>
      </c>
      <c r="CC14" s="177">
        <f t="shared" si="63"/>
        <v>90373899.821987867</v>
      </c>
      <c r="CD14" s="5">
        <f t="shared" si="64"/>
        <v>0.495</v>
      </c>
      <c r="CE14" s="177">
        <f t="shared" si="65"/>
        <v>5.4772450703552658E-9</v>
      </c>
      <c r="CF14" s="5">
        <f t="shared" si="66"/>
        <v>5.477245070355266E-7</v>
      </c>
      <c r="CG14">
        <f t="shared" si="67"/>
        <v>8.9999999999999982</v>
      </c>
      <c r="CI14" s="571">
        <f t="shared" si="48"/>
        <v>-50</v>
      </c>
      <c r="CJ14">
        <f t="shared" si="49"/>
        <v>-50</v>
      </c>
    </row>
    <row r="15" spans="2:88" x14ac:dyDescent="0.25">
      <c r="E15" s="174">
        <v>10</v>
      </c>
      <c r="F15" s="221">
        <f t="shared" si="68"/>
        <v>1.0000000000000002E-2</v>
      </c>
      <c r="G15" s="221">
        <f t="shared" si="50"/>
        <v>0.05</v>
      </c>
      <c r="H15" s="221">
        <f t="shared" si="0"/>
        <v>0.15000000000000002</v>
      </c>
      <c r="I15" s="221">
        <f t="shared" si="69"/>
        <v>0.4</v>
      </c>
      <c r="J15" s="551">
        <f t="shared" si="1"/>
        <v>24</v>
      </c>
      <c r="K15" s="451">
        <f t="shared" si="2"/>
        <v>695386.58000000007</v>
      </c>
      <c r="L15" s="451">
        <f t="shared" si="3"/>
        <v>695410.58000000007</v>
      </c>
      <c r="M15" s="451"/>
      <c r="N15" s="221">
        <f t="shared" si="4"/>
        <v>0.99996548801428931</v>
      </c>
      <c r="O15" s="176">
        <f t="shared" si="51"/>
        <v>2.2090146689770211</v>
      </c>
      <c r="P15" s="176">
        <f t="shared" si="5"/>
        <v>5.8907057839387225</v>
      </c>
      <c r="Q15" s="221">
        <f t="shared" si="6"/>
        <v>0.14726764459846808</v>
      </c>
      <c r="R15" s="221">
        <f t="shared" si="7"/>
        <v>0.27612683362212764</v>
      </c>
      <c r="S15" s="451">
        <f t="shared" si="8"/>
        <v>15</v>
      </c>
      <c r="T15" s="221">
        <f t="shared" si="9"/>
        <v>5.092768354141259E-2</v>
      </c>
      <c r="U15" s="221">
        <f t="shared" si="10"/>
        <v>6.3659604426765742E-2</v>
      </c>
      <c r="V15" s="221">
        <f t="shared" si="11"/>
        <v>2.1970951844402543E-6</v>
      </c>
      <c r="W15" s="201">
        <f t="shared" si="12"/>
        <v>350</v>
      </c>
      <c r="X15" s="451">
        <f t="shared" si="52"/>
        <v>350</v>
      </c>
      <c r="Z15" s="221">
        <f t="shared" si="13"/>
        <v>2.2856354011755182</v>
      </c>
      <c r="AA15" s="177">
        <f t="shared" si="14"/>
        <v>9.8605673459021225E-5</v>
      </c>
      <c r="AB15" s="177">
        <f t="shared" si="15"/>
        <v>0.4914588143407696</v>
      </c>
      <c r="AC15" s="177"/>
      <c r="AD15" s="177">
        <f t="shared" si="16"/>
        <v>6.4712206554230591E-6</v>
      </c>
      <c r="AE15" s="555">
        <f t="shared" si="17"/>
        <v>1653.5308641975316</v>
      </c>
      <c r="AF15" s="538">
        <f t="shared" si="18"/>
        <v>2.1166825946720815E-3</v>
      </c>
      <c r="AH15" s="177">
        <f t="shared" si="19"/>
        <v>0.32366943748507482</v>
      </c>
      <c r="AI15" s="177">
        <f t="shared" si="20"/>
        <v>0.32366943748507482</v>
      </c>
      <c r="AJ15" s="177">
        <f t="shared" si="21"/>
        <v>1.328644027766722</v>
      </c>
      <c r="AL15" s="555">
        <f t="shared" si="22"/>
        <v>10.000000000000002</v>
      </c>
      <c r="AM15" s="469">
        <f t="shared" si="23"/>
        <v>350</v>
      </c>
      <c r="AO15">
        <f t="shared" si="53"/>
        <v>10.000000000000002</v>
      </c>
      <c r="AP15" s="469">
        <f t="shared" si="24"/>
        <v>350</v>
      </c>
      <c r="AQ15" s="469"/>
      <c r="AR15" s="5">
        <f t="shared" si="54"/>
        <v>2.8571428571428572</v>
      </c>
      <c r="AS15" s="5">
        <f t="shared" si="25"/>
        <v>0.40458679685634358</v>
      </c>
      <c r="AT15" s="5">
        <f t="shared" si="55"/>
        <v>2.4525560602865135</v>
      </c>
      <c r="AU15" s="177">
        <f t="shared" si="56"/>
        <v>0.14160537889972025</v>
      </c>
      <c r="AW15" s="5">
        <f t="shared" si="26"/>
        <v>0.10724833101420155</v>
      </c>
      <c r="AX15" s="5">
        <f t="shared" si="27"/>
        <v>4.6087249652130235E-2</v>
      </c>
      <c r="AY15" s="5">
        <f t="shared" si="28"/>
        <v>2.7494601245163159</v>
      </c>
      <c r="AZ15" s="5">
        <f t="shared" si="29"/>
        <v>0.14679932126836284</v>
      </c>
      <c r="BA15" s="5">
        <f t="shared" si="30"/>
        <v>5.2041120106388207E-2</v>
      </c>
      <c r="BB15" s="469">
        <f t="shared" si="31"/>
        <v>6.3213233016554753</v>
      </c>
      <c r="BC15" s="5"/>
      <c r="BD15" s="177">
        <f t="shared" si="57"/>
        <v>7.0320336598705999E-2</v>
      </c>
      <c r="BE15" s="177">
        <f t="shared" si="32"/>
        <v>2157.3707278756224</v>
      </c>
      <c r="BF15" s="177">
        <f t="shared" si="33"/>
        <v>10652.12732466082</v>
      </c>
      <c r="BG15" s="177"/>
      <c r="BH15" s="538">
        <f t="shared" si="34"/>
        <v>1.7307324087743583E-3</v>
      </c>
      <c r="BI15" s="538">
        <f t="shared" si="35"/>
        <v>393.89551468709686</v>
      </c>
      <c r="BJ15" s="538">
        <f t="shared" si="36"/>
        <v>4.3749999999999995E-3</v>
      </c>
      <c r="BK15" s="538">
        <f t="shared" si="37"/>
        <v>8462927.8085788898</v>
      </c>
      <c r="BL15">
        <f t="shared" si="38"/>
        <v>6.96E-3</v>
      </c>
      <c r="BM15">
        <f t="shared" si="39"/>
        <v>1.6625000000000001E-5</v>
      </c>
      <c r="BN15">
        <f t="shared" si="40"/>
        <v>8466025.0896368679</v>
      </c>
      <c r="BO15" s="469">
        <f t="shared" si="58"/>
        <v>8466025089.6368675</v>
      </c>
      <c r="BP15" s="177">
        <f t="shared" si="41"/>
        <v>3555845.8243908677</v>
      </c>
      <c r="BQ15" s="177">
        <f t="shared" si="42"/>
        <v>86689411.851485223</v>
      </c>
      <c r="BR15" s="538"/>
      <c r="BT15" s="469">
        <f t="shared" si="59"/>
        <v>90245257675.876099</v>
      </c>
      <c r="BU15" s="538">
        <f t="shared" si="43"/>
        <v>4.9449497393553102E-4</v>
      </c>
      <c r="BV15" s="538">
        <f t="shared" si="60"/>
        <v>139627.45372483777</v>
      </c>
      <c r="BW15" s="538">
        <f t="shared" si="44"/>
        <v>5673390.8270392837</v>
      </c>
      <c r="BX15" s="538">
        <f t="shared" si="45"/>
        <v>0</v>
      </c>
      <c r="BY15" s="538">
        <f t="shared" si="46"/>
        <v>-14.000030104907271</v>
      </c>
      <c r="BZ15" s="538">
        <f t="shared" si="61"/>
        <v>5813018.2812586166</v>
      </c>
      <c r="CA15" s="641">
        <f t="shared" si="47"/>
        <v>1.8333333333333333E-3</v>
      </c>
      <c r="CB15" s="469">
        <f t="shared" si="62"/>
        <v>-13998.196771573937</v>
      </c>
      <c r="CC15" s="177">
        <f t="shared" si="63"/>
        <v>98711268.767316192</v>
      </c>
      <c r="CD15" s="5">
        <f t="shared" si="64"/>
        <v>0.55000000000000004</v>
      </c>
      <c r="CE15" s="177">
        <f t="shared" si="65"/>
        <v>5.5718055679334438E-9</v>
      </c>
      <c r="CF15" s="5">
        <f t="shared" si="66"/>
        <v>5.5718055679334442E-7</v>
      </c>
      <c r="CG15">
        <f t="shared" si="67"/>
        <v>10.000000000000002</v>
      </c>
      <c r="CI15" s="571">
        <f t="shared" si="48"/>
        <v>-50</v>
      </c>
      <c r="CJ15">
        <f t="shared" si="49"/>
        <v>-50</v>
      </c>
    </row>
    <row r="16" spans="2:88" x14ac:dyDescent="0.25">
      <c r="E16" s="174">
        <v>11</v>
      </c>
      <c r="F16" s="221">
        <f t="shared" si="68"/>
        <v>1.1000000000000001E-2</v>
      </c>
      <c r="G16" s="221">
        <f t="shared" si="50"/>
        <v>5.5E-2</v>
      </c>
      <c r="H16" s="221">
        <f t="shared" si="0"/>
        <v>0.16500000000000001</v>
      </c>
      <c r="I16" s="221">
        <f t="shared" si="69"/>
        <v>0.44</v>
      </c>
      <c r="J16" s="551">
        <f t="shared" si="1"/>
        <v>24</v>
      </c>
      <c r="K16" s="451">
        <f t="shared" si="2"/>
        <v>695386.58000000007</v>
      </c>
      <c r="L16" s="451">
        <f t="shared" si="3"/>
        <v>695410.58000000007</v>
      </c>
      <c r="M16" s="451"/>
      <c r="N16" s="221">
        <f t="shared" si="4"/>
        <v>0.99996548801428931</v>
      </c>
      <c r="O16" s="176">
        <f t="shared" si="51"/>
        <v>2.2090146689770211</v>
      </c>
      <c r="P16" s="176">
        <f t="shared" si="5"/>
        <v>5.8907057839387225</v>
      </c>
      <c r="Q16" s="221">
        <f t="shared" si="6"/>
        <v>0.14726764459846808</v>
      </c>
      <c r="R16" s="221">
        <f t="shared" si="7"/>
        <v>0.27612683362212764</v>
      </c>
      <c r="S16" s="451">
        <f t="shared" si="8"/>
        <v>15</v>
      </c>
      <c r="T16" s="221">
        <f t="shared" si="9"/>
        <v>5.6020451895553838E-2</v>
      </c>
      <c r="U16" s="221">
        <f t="shared" si="10"/>
        <v>7.0025564869442308E-2</v>
      </c>
      <c r="V16" s="221">
        <f t="shared" si="11"/>
        <v>2.4168047028842793E-6</v>
      </c>
      <c r="W16" s="201">
        <f t="shared" si="12"/>
        <v>350</v>
      </c>
      <c r="X16" s="451">
        <f t="shared" si="52"/>
        <v>350</v>
      </c>
      <c r="Z16" s="221">
        <f t="shared" si="13"/>
        <v>2.2856354011755182</v>
      </c>
      <c r="AA16" s="177">
        <f t="shared" si="14"/>
        <v>9.8605673459021225E-5</v>
      </c>
      <c r="AB16" s="177">
        <f t="shared" si="15"/>
        <v>0.4914588143407696</v>
      </c>
      <c r="AC16" s="177"/>
      <c r="AD16" s="177">
        <f t="shared" si="16"/>
        <v>6.4712206554230591E-6</v>
      </c>
      <c r="AE16" s="555">
        <f t="shared" si="17"/>
        <v>1818.8839506172844</v>
      </c>
      <c r="AF16" s="538">
        <f t="shared" si="18"/>
        <v>2.1166825946720815E-3</v>
      </c>
      <c r="AH16" s="177">
        <f t="shared" si="19"/>
        <v>0.3394673699166022</v>
      </c>
      <c r="AI16" s="177">
        <f t="shared" si="20"/>
        <v>0.3394673699166022</v>
      </c>
      <c r="AJ16" s="177">
        <f t="shared" si="21"/>
        <v>1.3403461999382238</v>
      </c>
      <c r="AL16" s="555">
        <f t="shared" si="22"/>
        <v>11.000000000000002</v>
      </c>
      <c r="AM16" s="469">
        <f t="shared" si="23"/>
        <v>350</v>
      </c>
      <c r="AO16">
        <f t="shared" si="53"/>
        <v>11.000000000000002</v>
      </c>
      <c r="AP16" s="469">
        <f t="shared" si="24"/>
        <v>350</v>
      </c>
      <c r="AQ16" s="469"/>
      <c r="AR16" s="5">
        <f t="shared" si="54"/>
        <v>2.8571428571428572</v>
      </c>
      <c r="AS16" s="5">
        <f t="shared" si="25"/>
        <v>0.42433421239575275</v>
      </c>
      <c r="AT16" s="5">
        <f t="shared" si="55"/>
        <v>2.4328086447471042</v>
      </c>
      <c r="AU16" s="177">
        <f t="shared" si="56"/>
        <v>0.14851697433851346</v>
      </c>
      <c r="AW16" s="5">
        <f t="shared" si="26"/>
        <v>0.10724833101420155</v>
      </c>
      <c r="AX16" s="5">
        <f t="shared" si="27"/>
        <v>5.246557207907758E-2</v>
      </c>
      <c r="AY16" s="5">
        <f t="shared" si="28"/>
        <v>2.7494601245163159</v>
      </c>
      <c r="AZ16" s="5">
        <f t="shared" si="29"/>
        <v>0.16662717873471902</v>
      </c>
      <c r="BA16" s="5">
        <f t="shared" si="30"/>
        <v>5.6784306715740654E-2</v>
      </c>
      <c r="BB16" s="469">
        <f t="shared" si="31"/>
        <v>6.8981445836666575</v>
      </c>
      <c r="BC16" s="5"/>
      <c r="BD16" s="177">
        <f t="shared" si="57"/>
        <v>7.553103828514332E-2</v>
      </c>
      <c r="BE16" s="177">
        <f t="shared" si="32"/>
        <v>2253.5418511814455</v>
      </c>
      <c r="BF16" s="177">
        <f t="shared" si="33"/>
        <v>11126.977120837506</v>
      </c>
      <c r="BG16" s="177"/>
      <c r="BH16" s="538">
        <f t="shared" si="34"/>
        <v>1.9967282105511253E-3</v>
      </c>
      <c r="BI16" s="538">
        <f t="shared" si="35"/>
        <v>413.12110105836314</v>
      </c>
      <c r="BJ16" s="538">
        <f t="shared" si="36"/>
        <v>4.3749999999999995E-3</v>
      </c>
      <c r="BK16" s="538">
        <f t="shared" si="37"/>
        <v>8462927.8085788898</v>
      </c>
      <c r="BL16">
        <f t="shared" si="38"/>
        <v>6.96E-3</v>
      </c>
      <c r="BM16">
        <f t="shared" si="39"/>
        <v>1.6625000000000001E-5</v>
      </c>
      <c r="BN16">
        <f t="shared" si="40"/>
        <v>8466459.9562842101</v>
      </c>
      <c r="BO16" s="469">
        <f t="shared" si="58"/>
        <v>8466459956.2842102</v>
      </c>
      <c r="BP16" s="177">
        <f t="shared" si="41"/>
        <v>3879936.4716715892</v>
      </c>
      <c r="BQ16" s="177">
        <f t="shared" si="42"/>
        <v>94590549.579355434</v>
      </c>
      <c r="BR16" s="538"/>
      <c r="BT16" s="469">
        <f t="shared" si="59"/>
        <v>98470486051.027023</v>
      </c>
      <c r="BU16" s="538">
        <f t="shared" si="43"/>
        <v>5.7049377444317868E-4</v>
      </c>
      <c r="BV16" s="538">
        <f t="shared" si="60"/>
        <v>152353.52625078888</v>
      </c>
      <c r="BW16" s="538">
        <f t="shared" si="44"/>
        <v>6190480.9923820663</v>
      </c>
      <c r="BX16" s="538">
        <f t="shared" si="45"/>
        <v>0</v>
      </c>
      <c r="BY16" s="538">
        <f t="shared" si="46"/>
        <v>-14.000027590242873</v>
      </c>
      <c r="BZ16" s="538">
        <f t="shared" si="61"/>
        <v>6342834.519203349</v>
      </c>
      <c r="CA16" s="641">
        <f t="shared" si="47"/>
        <v>2.016666666666667E-3</v>
      </c>
      <c r="CB16" s="469">
        <f t="shared" si="62"/>
        <v>-13998.010923576207</v>
      </c>
      <c r="CC16" s="177">
        <f t="shared" si="63"/>
        <v>106936932.00930029</v>
      </c>
      <c r="CD16" s="5">
        <f t="shared" si="64"/>
        <v>0.60499999999999998</v>
      </c>
      <c r="CE16" s="177">
        <f t="shared" si="65"/>
        <v>5.6575402455399728E-9</v>
      </c>
      <c r="CF16" s="5">
        <f t="shared" si="66"/>
        <v>5.6575402455399727E-7</v>
      </c>
      <c r="CG16">
        <f t="shared" si="67"/>
        <v>11</v>
      </c>
      <c r="CI16" s="571">
        <f t="shared" si="48"/>
        <v>-50</v>
      </c>
      <c r="CJ16">
        <f t="shared" si="49"/>
        <v>-50</v>
      </c>
    </row>
    <row r="17" spans="5:88" x14ac:dyDescent="0.25">
      <c r="E17" s="174">
        <v>12</v>
      </c>
      <c r="F17" s="221">
        <f t="shared" si="68"/>
        <v>1.2E-2</v>
      </c>
      <c r="G17" s="221">
        <f t="shared" si="50"/>
        <v>0.06</v>
      </c>
      <c r="H17" s="221">
        <f t="shared" si="0"/>
        <v>0.18</v>
      </c>
      <c r="I17" s="221">
        <f t="shared" si="69"/>
        <v>0.48</v>
      </c>
      <c r="J17" s="551">
        <f t="shared" si="1"/>
        <v>24</v>
      </c>
      <c r="K17" s="451">
        <f t="shared" si="2"/>
        <v>695386.58000000007</v>
      </c>
      <c r="L17" s="451">
        <f t="shared" si="3"/>
        <v>695410.58000000007</v>
      </c>
      <c r="M17" s="451"/>
      <c r="N17" s="221">
        <f t="shared" si="4"/>
        <v>0.99996548801428931</v>
      </c>
      <c r="O17" s="176">
        <f t="shared" si="51"/>
        <v>2.2090146689770211</v>
      </c>
      <c r="P17" s="176">
        <f t="shared" si="5"/>
        <v>5.8907057839387225</v>
      </c>
      <c r="Q17" s="221">
        <f t="shared" si="6"/>
        <v>0.14726764459846808</v>
      </c>
      <c r="R17" s="221">
        <f t="shared" si="7"/>
        <v>0.27612683362212764</v>
      </c>
      <c r="S17" s="451">
        <f t="shared" si="8"/>
        <v>15</v>
      </c>
      <c r="T17" s="221">
        <f t="shared" si="9"/>
        <v>6.1113220249695094E-2</v>
      </c>
      <c r="U17" s="221">
        <f t="shared" si="10"/>
        <v>7.639152531211886E-2</v>
      </c>
      <c r="V17" s="221">
        <f t="shared" si="11"/>
        <v>2.6365142213283044E-6</v>
      </c>
      <c r="W17" s="201">
        <f t="shared" si="12"/>
        <v>350</v>
      </c>
      <c r="X17" s="451">
        <f t="shared" si="52"/>
        <v>350</v>
      </c>
      <c r="Z17" s="221">
        <f t="shared" si="13"/>
        <v>2.2856354011755182</v>
      </c>
      <c r="AA17" s="177">
        <f t="shared" si="14"/>
        <v>9.8605673459021225E-5</v>
      </c>
      <c r="AB17" s="177">
        <f t="shared" si="15"/>
        <v>0.4914588143407696</v>
      </c>
      <c r="AC17" s="177"/>
      <c r="AD17" s="177">
        <f t="shared" si="16"/>
        <v>6.4712206554230591E-6</v>
      </c>
      <c r="AE17" s="555">
        <f t="shared" si="17"/>
        <v>1984.2370370370379</v>
      </c>
      <c r="AF17" s="538">
        <f t="shared" si="18"/>
        <v>2.1166825946720815E-3</v>
      </c>
      <c r="AH17" s="177">
        <f t="shared" si="19"/>
        <v>0.35456210417116729</v>
      </c>
      <c r="AI17" s="177">
        <f t="shared" si="20"/>
        <v>0.35456210417116729</v>
      </c>
      <c r="AJ17" s="177">
        <f t="shared" si="21"/>
        <v>1.3515274845712351</v>
      </c>
      <c r="AL17" s="555">
        <f t="shared" si="22"/>
        <v>12</v>
      </c>
      <c r="AM17" s="469">
        <f t="shared" si="23"/>
        <v>350</v>
      </c>
      <c r="AO17">
        <f t="shared" si="53"/>
        <v>12</v>
      </c>
      <c r="AP17" s="469">
        <f t="shared" si="24"/>
        <v>350</v>
      </c>
      <c r="AQ17" s="469"/>
      <c r="AR17" s="5">
        <f t="shared" si="54"/>
        <v>2.8571428571428572</v>
      </c>
      <c r="AS17" s="5">
        <f t="shared" si="25"/>
        <v>0.44320263021395911</v>
      </c>
      <c r="AT17" s="5">
        <f t="shared" si="55"/>
        <v>2.4139402269288981</v>
      </c>
      <c r="AU17" s="177">
        <f t="shared" si="56"/>
        <v>0.15512092057488569</v>
      </c>
      <c r="AW17" s="5">
        <f t="shared" si="26"/>
        <v>0.10724833101420155</v>
      </c>
      <c r="AX17" s="5">
        <f t="shared" si="27"/>
        <v>5.9165639499067529E-2</v>
      </c>
      <c r="AY17" s="5">
        <f t="shared" si="28"/>
        <v>2.7494601245163159</v>
      </c>
      <c r="AZ17" s="5">
        <f t="shared" si="29"/>
        <v>0.18739102262644247</v>
      </c>
      <c r="BA17" s="5">
        <f t="shared" si="30"/>
        <v>6.1466070593096937E-2</v>
      </c>
      <c r="BB17" s="469">
        <f t="shared" si="31"/>
        <v>7.4675951378382983</v>
      </c>
      <c r="BC17" s="5"/>
      <c r="BD17" s="177">
        <f t="shared" si="57"/>
        <v>8.0624470498342288E-2</v>
      </c>
      <c r="BE17" s="177">
        <f t="shared" si="32"/>
        <v>2344.6023135056425</v>
      </c>
      <c r="BF17" s="177">
        <f t="shared" si="33"/>
        <v>11576.592769361197</v>
      </c>
      <c r="BG17" s="177"/>
      <c r="BH17" s="538">
        <f t="shared" si="34"/>
        <v>2.2751068350983228E-3</v>
      </c>
      <c r="BI17" s="538">
        <f t="shared" si="35"/>
        <v>431.49091738846079</v>
      </c>
      <c r="BJ17" s="538">
        <f t="shared" si="36"/>
        <v>4.3749999999999995E-3</v>
      </c>
      <c r="BK17" s="538">
        <f t="shared" si="37"/>
        <v>8462927.8085788898</v>
      </c>
      <c r="BL17">
        <f t="shared" si="38"/>
        <v>6.96E-3</v>
      </c>
      <c r="BM17">
        <f t="shared" si="39"/>
        <v>1.6625000000000001E-5</v>
      </c>
      <c r="BN17">
        <f t="shared" si="40"/>
        <v>8466913.3613691367</v>
      </c>
      <c r="BO17" s="469">
        <f t="shared" si="58"/>
        <v>8466913361.3691368</v>
      </c>
      <c r="BP17" s="177">
        <f t="shared" si="41"/>
        <v>4199830.2499289522</v>
      </c>
      <c r="BQ17" s="177">
        <f t="shared" si="42"/>
        <v>102389370.1299762</v>
      </c>
      <c r="BR17" s="538"/>
      <c r="BT17" s="469">
        <f t="shared" si="59"/>
        <v>106589200379.90515</v>
      </c>
      <c r="BU17" s="538">
        <f t="shared" si="43"/>
        <v>6.5003052431380657E-4</v>
      </c>
      <c r="BV17" s="538">
        <f t="shared" si="60"/>
        <v>164914.80025488033</v>
      </c>
      <c r="BW17" s="538">
        <f t="shared" si="44"/>
        <v>6700875.0073812976</v>
      </c>
      <c r="BX17" s="538">
        <f t="shared" si="45"/>
        <v>0</v>
      </c>
      <c r="BY17" s="538">
        <f t="shared" si="46"/>
        <v>-14.000025488738151</v>
      </c>
      <c r="BZ17" s="538">
        <f t="shared" si="61"/>
        <v>6865789.8082862087</v>
      </c>
      <c r="CA17" s="641">
        <f t="shared" si="47"/>
        <v>2.2000000000000001E-3</v>
      </c>
      <c r="CB17" s="469">
        <f t="shared" si="62"/>
        <v>-13997.825488738152</v>
      </c>
      <c r="CC17" s="177">
        <f t="shared" si="63"/>
        <v>115056099.74344879</v>
      </c>
      <c r="CD17" s="5">
        <f t="shared" si="64"/>
        <v>0.65999999999999992</v>
      </c>
      <c r="CE17" s="177">
        <f t="shared" si="65"/>
        <v>5.736332082224964E-9</v>
      </c>
      <c r="CF17" s="5">
        <f t="shared" si="66"/>
        <v>5.7363320822249636E-7</v>
      </c>
      <c r="CG17">
        <f t="shared" si="67"/>
        <v>12</v>
      </c>
      <c r="CI17" s="571">
        <f t="shared" si="48"/>
        <v>-50</v>
      </c>
      <c r="CJ17">
        <f t="shared" si="49"/>
        <v>-50</v>
      </c>
    </row>
    <row r="18" spans="5:88" x14ac:dyDescent="0.25">
      <c r="E18" s="174">
        <v>13</v>
      </c>
      <c r="F18" s="221">
        <f t="shared" si="68"/>
        <v>1.3000000000000001E-2</v>
      </c>
      <c r="G18" s="221">
        <f t="shared" si="50"/>
        <v>6.5000000000000002E-2</v>
      </c>
      <c r="H18" s="221">
        <f t="shared" si="0"/>
        <v>0.19500000000000001</v>
      </c>
      <c r="I18" s="221">
        <f t="shared" si="69"/>
        <v>0.52</v>
      </c>
      <c r="J18" s="551">
        <f t="shared" si="1"/>
        <v>24</v>
      </c>
      <c r="K18" s="451">
        <f t="shared" si="2"/>
        <v>695386.58000000007</v>
      </c>
      <c r="L18" s="451">
        <f t="shared" si="3"/>
        <v>695410.58000000007</v>
      </c>
      <c r="M18" s="451"/>
      <c r="N18" s="221">
        <f t="shared" si="4"/>
        <v>0.99996548801428931</v>
      </c>
      <c r="O18" s="176">
        <f t="shared" si="51"/>
        <v>2.2090146689770211</v>
      </c>
      <c r="P18" s="176">
        <f t="shared" si="5"/>
        <v>5.8907057839387225</v>
      </c>
      <c r="Q18" s="221">
        <f t="shared" si="6"/>
        <v>0.14726764459846808</v>
      </c>
      <c r="R18" s="221">
        <f t="shared" si="7"/>
        <v>0.27612683362212764</v>
      </c>
      <c r="S18" s="451">
        <f t="shared" si="8"/>
        <v>15</v>
      </c>
      <c r="T18" s="221">
        <f t="shared" si="9"/>
        <v>6.6205988603836363E-2</v>
      </c>
      <c r="U18" s="221">
        <f t="shared" si="10"/>
        <v>8.2757485754795454E-2</v>
      </c>
      <c r="V18" s="221">
        <f t="shared" si="11"/>
        <v>2.8562237397723298E-6</v>
      </c>
      <c r="W18" s="201">
        <f t="shared" si="12"/>
        <v>350</v>
      </c>
      <c r="X18" s="451">
        <f t="shared" si="52"/>
        <v>350</v>
      </c>
      <c r="Z18" s="221">
        <f t="shared" si="13"/>
        <v>2.2856354011755182</v>
      </c>
      <c r="AA18" s="177">
        <f t="shared" si="14"/>
        <v>9.8605673459021225E-5</v>
      </c>
      <c r="AB18" s="177">
        <f t="shared" si="15"/>
        <v>0.4914588143407696</v>
      </c>
      <c r="AC18" s="177"/>
      <c r="AD18" s="177">
        <f t="shared" si="16"/>
        <v>6.4712206554230591E-6</v>
      </c>
      <c r="AE18" s="555">
        <f t="shared" si="17"/>
        <v>2149.5901234567909</v>
      </c>
      <c r="AF18" s="538">
        <f t="shared" si="18"/>
        <v>2.1166825946720815E-3</v>
      </c>
      <c r="AH18" s="177">
        <f t="shared" si="19"/>
        <v>0.36903993847614408</v>
      </c>
      <c r="AI18" s="177">
        <f t="shared" si="20"/>
        <v>0.36903993847614408</v>
      </c>
      <c r="AJ18" s="177">
        <f t="shared" si="21"/>
        <v>1.3622518062786253</v>
      </c>
      <c r="AL18" s="555">
        <f t="shared" si="22"/>
        <v>13.000000000000002</v>
      </c>
      <c r="AM18" s="469">
        <f t="shared" si="23"/>
        <v>350</v>
      </c>
      <c r="AO18">
        <f t="shared" si="53"/>
        <v>13.000000000000002</v>
      </c>
      <c r="AP18" s="469">
        <f t="shared" si="24"/>
        <v>350</v>
      </c>
      <c r="AQ18" s="469"/>
      <c r="AR18" s="5">
        <f t="shared" si="54"/>
        <v>2.8571428571428572</v>
      </c>
      <c r="AS18" s="5">
        <f t="shared" si="25"/>
        <v>0.46129992309518014</v>
      </c>
      <c r="AT18" s="5">
        <f t="shared" si="55"/>
        <v>2.395842934047677</v>
      </c>
      <c r="AU18" s="177">
        <f t="shared" si="56"/>
        <v>0.16145497308331305</v>
      </c>
      <c r="AW18" s="5">
        <f t="shared" si="26"/>
        <v>0.10724833101420155</v>
      </c>
      <c r="AX18" s="5">
        <f t="shared" si="27"/>
        <v>6.6187451912100098E-2</v>
      </c>
      <c r="AY18" s="5">
        <f t="shared" si="28"/>
        <v>2.7494601245163159</v>
      </c>
      <c r="AZ18" s="5">
        <f t="shared" si="29"/>
        <v>0.20909085294353319</v>
      </c>
      <c r="BA18" s="5">
        <f t="shared" si="30"/>
        <v>6.6089031552626881E-2</v>
      </c>
      <c r="BB18" s="469">
        <f t="shared" si="31"/>
        <v>8.0299893418707828</v>
      </c>
      <c r="BC18" s="5"/>
      <c r="BD18" s="177">
        <f t="shared" si="57"/>
        <v>8.561275151817227E-2</v>
      </c>
      <c r="BE18" s="177">
        <f t="shared" si="32"/>
        <v>2431.1746458268494</v>
      </c>
      <c r="BF18" s="177">
        <f t="shared" si="33"/>
        <v>12004.048048494615</v>
      </c>
      <c r="BG18" s="177"/>
      <c r="BH18" s="538">
        <f t="shared" si="34"/>
        <v>2.5653401278793076E-3</v>
      </c>
      <c r="BI18" s="538">
        <f t="shared" si="35"/>
        <v>449.10998590300449</v>
      </c>
      <c r="BJ18" s="538">
        <f t="shared" si="36"/>
        <v>4.3749999999999995E-3</v>
      </c>
      <c r="BK18" s="538">
        <f t="shared" si="37"/>
        <v>8462927.8085788898</v>
      </c>
      <c r="BL18">
        <f t="shared" si="38"/>
        <v>6.96E-3</v>
      </c>
      <c r="BM18">
        <f t="shared" si="39"/>
        <v>1.6625000000000001E-5</v>
      </c>
      <c r="BN18">
        <f t="shared" si="40"/>
        <v>8467384.5904389303</v>
      </c>
      <c r="BO18" s="469">
        <f t="shared" si="58"/>
        <v>8467384590.4389305</v>
      </c>
      <c r="BP18" s="177">
        <f t="shared" si="41"/>
        <v>4515706.1648271373</v>
      </c>
      <c r="BQ18" s="177">
        <f t="shared" si="42"/>
        <v>110090237.55525593</v>
      </c>
      <c r="BR18" s="538"/>
      <c r="BT18" s="469">
        <f t="shared" si="59"/>
        <v>114605943720.08307</v>
      </c>
      <c r="BU18" s="538">
        <f t="shared" si="43"/>
        <v>7.3295432225123087E-4</v>
      </c>
      <c r="BV18" s="538">
        <f t="shared" si="60"/>
        <v>177318.3047553392</v>
      </c>
      <c r="BW18" s="538">
        <f t="shared" si="44"/>
        <v>7204858.4775283681</v>
      </c>
      <c r="BX18" s="538">
        <f t="shared" si="45"/>
        <v>0</v>
      </c>
      <c r="BY18" s="538">
        <f t="shared" si="46"/>
        <v>-14.000023705785091</v>
      </c>
      <c r="BZ18" s="538">
        <f t="shared" si="61"/>
        <v>7382176.7830166612</v>
      </c>
      <c r="CA18" s="641">
        <f t="shared" si="47"/>
        <v>2.3833333333333337E-3</v>
      </c>
      <c r="CB18" s="469">
        <f t="shared" si="62"/>
        <v>-13997.640372451759</v>
      </c>
      <c r="CC18" s="177">
        <f t="shared" si="63"/>
        <v>123073314.31288163</v>
      </c>
      <c r="CD18" s="5">
        <f t="shared" si="64"/>
        <v>0.71500000000000008</v>
      </c>
      <c r="CE18" s="177">
        <f t="shared" si="65"/>
        <v>5.8095453091356195E-9</v>
      </c>
      <c r="CF18" s="5">
        <f t="shared" si="66"/>
        <v>5.8095453091356192E-7</v>
      </c>
      <c r="CG18">
        <f t="shared" si="67"/>
        <v>13</v>
      </c>
      <c r="CI18" s="571">
        <f t="shared" si="48"/>
        <v>-50</v>
      </c>
      <c r="CJ18">
        <f t="shared" si="49"/>
        <v>-50</v>
      </c>
    </row>
    <row r="19" spans="5:88" x14ac:dyDescent="0.25">
      <c r="E19" s="174">
        <v>14</v>
      </c>
      <c r="F19" s="221">
        <f t="shared" si="68"/>
        <v>1.4000000000000002E-2</v>
      </c>
      <c r="G19" s="221">
        <f t="shared" si="50"/>
        <v>7.0000000000000007E-2</v>
      </c>
      <c r="H19" s="221">
        <f t="shared" si="0"/>
        <v>0.21000000000000002</v>
      </c>
      <c r="I19" s="221">
        <f t="shared" si="69"/>
        <v>0.56000000000000005</v>
      </c>
      <c r="J19" s="551">
        <f t="shared" si="1"/>
        <v>24</v>
      </c>
      <c r="K19" s="451">
        <f t="shared" si="2"/>
        <v>695386.58000000007</v>
      </c>
      <c r="L19" s="451">
        <f t="shared" si="3"/>
        <v>695410.58000000007</v>
      </c>
      <c r="M19" s="451"/>
      <c r="N19" s="221">
        <f t="shared" si="4"/>
        <v>0.99996548801428931</v>
      </c>
      <c r="O19" s="176">
        <f t="shared" si="51"/>
        <v>2.2090146689770211</v>
      </c>
      <c r="P19" s="176">
        <f t="shared" si="5"/>
        <v>5.8907057839387225</v>
      </c>
      <c r="Q19" s="221">
        <f t="shared" si="6"/>
        <v>0.14726764459846808</v>
      </c>
      <c r="R19" s="221">
        <f t="shared" si="7"/>
        <v>0.27612683362212764</v>
      </c>
      <c r="S19" s="451">
        <f t="shared" si="8"/>
        <v>15</v>
      </c>
      <c r="T19" s="221">
        <f t="shared" si="9"/>
        <v>7.1298756957977619E-2</v>
      </c>
      <c r="U19" s="221">
        <f t="shared" si="10"/>
        <v>8.912344619747202E-2</v>
      </c>
      <c r="V19" s="221">
        <f t="shared" si="11"/>
        <v>3.0759332582163553E-6</v>
      </c>
      <c r="W19" s="201">
        <f t="shared" si="12"/>
        <v>350</v>
      </c>
      <c r="X19" s="451">
        <f t="shared" si="52"/>
        <v>350</v>
      </c>
      <c r="Z19" s="221">
        <f t="shared" si="13"/>
        <v>2.2856354011755182</v>
      </c>
      <c r="AA19" s="177">
        <f t="shared" si="14"/>
        <v>9.8605673459021225E-5</v>
      </c>
      <c r="AB19" s="177">
        <f t="shared" si="15"/>
        <v>0.4914588143407696</v>
      </c>
      <c r="AC19" s="177"/>
      <c r="AD19" s="177">
        <f t="shared" si="16"/>
        <v>6.4712206554230591E-6</v>
      </c>
      <c r="AE19" s="555">
        <f t="shared" si="17"/>
        <v>2314.9432098765442</v>
      </c>
      <c r="AF19" s="538">
        <f t="shared" si="18"/>
        <v>2.1166825946720815E-3</v>
      </c>
      <c r="AH19" s="177">
        <f t="shared" si="19"/>
        <v>0.38297084310253526</v>
      </c>
      <c r="AI19" s="177">
        <f t="shared" si="20"/>
        <v>0.38297084310253526</v>
      </c>
      <c r="AJ19" s="177">
        <f t="shared" si="21"/>
        <v>1.3725709948907667</v>
      </c>
      <c r="AL19" s="555">
        <f t="shared" si="22"/>
        <v>14.000000000000002</v>
      </c>
      <c r="AM19" s="469">
        <f t="shared" si="23"/>
        <v>350</v>
      </c>
      <c r="AO19">
        <f t="shared" si="53"/>
        <v>14.000000000000002</v>
      </c>
      <c r="AP19" s="469">
        <f t="shared" si="24"/>
        <v>350</v>
      </c>
      <c r="AQ19" s="469"/>
      <c r="AR19" s="5">
        <f t="shared" si="54"/>
        <v>2.8571428571428572</v>
      </c>
      <c r="AS19" s="5">
        <f t="shared" si="25"/>
        <v>0.47871355387816905</v>
      </c>
      <c r="AT19" s="5">
        <f t="shared" si="55"/>
        <v>2.3784293032646882</v>
      </c>
      <c r="AU19" s="177">
        <f t="shared" si="56"/>
        <v>0.16754974385735916</v>
      </c>
      <c r="AW19" s="5">
        <f t="shared" si="26"/>
        <v>0.10724833101420155</v>
      </c>
      <c r="AX19" s="5">
        <f t="shared" si="27"/>
        <v>7.3531009318175258E-2</v>
      </c>
      <c r="AY19" s="5">
        <f t="shared" si="28"/>
        <v>2.7494601245163159</v>
      </c>
      <c r="AZ19" s="5">
        <f t="shared" si="29"/>
        <v>0.23172666968599118</v>
      </c>
      <c r="BA19" s="5">
        <f t="shared" si="30"/>
        <v>7.065550013556364E-2</v>
      </c>
      <c r="BB19" s="469">
        <f t="shared" si="31"/>
        <v>8.5856044607120818</v>
      </c>
      <c r="BC19" s="5"/>
      <c r="BD19" s="177">
        <f t="shared" si="57"/>
        <v>9.0505915888433652E-2</v>
      </c>
      <c r="BE19" s="177">
        <f t="shared" si="32"/>
        <v>2513.7637053125222</v>
      </c>
      <c r="BF19" s="177">
        <f t="shared" si="33"/>
        <v>12411.835716092975</v>
      </c>
      <c r="BG19" s="177"/>
      <c r="BH19" s="538">
        <f t="shared" si="34"/>
        <v>2.8669622837814795E-3</v>
      </c>
      <c r="BI19" s="538">
        <f t="shared" si="35"/>
        <v>466.06345821879046</v>
      </c>
      <c r="BJ19" s="538">
        <f t="shared" si="36"/>
        <v>4.3749999999999995E-3</v>
      </c>
      <c r="BK19" s="538">
        <f t="shared" si="37"/>
        <v>8462927.8085788898</v>
      </c>
      <c r="BL19">
        <f t="shared" si="38"/>
        <v>6.96E-3</v>
      </c>
      <c r="BM19">
        <f t="shared" si="39"/>
        <v>1.6625000000000001E-5</v>
      </c>
      <c r="BN19">
        <f t="shared" si="40"/>
        <v>8467873.0065251775</v>
      </c>
      <c r="BO19" s="469">
        <f t="shared" si="58"/>
        <v>8467873006.525178</v>
      </c>
      <c r="BP19" s="177">
        <f t="shared" si="41"/>
        <v>4827722.090146956</v>
      </c>
      <c r="BQ19" s="177">
        <f t="shared" si="42"/>
        <v>117697000.72432181</v>
      </c>
      <c r="BR19" s="538"/>
      <c r="BT19" s="469">
        <f t="shared" si="59"/>
        <v>122524722814.46877</v>
      </c>
      <c r="BU19" s="538">
        <f t="shared" si="43"/>
        <v>8.1913208108042284E-4</v>
      </c>
      <c r="BV19" s="538">
        <f t="shared" si="60"/>
        <v>189570.23898439622</v>
      </c>
      <c r="BW19" s="538">
        <f t="shared" si="44"/>
        <v>7702683.2921640612</v>
      </c>
      <c r="BX19" s="538">
        <f t="shared" si="45"/>
        <v>0</v>
      </c>
      <c r="BY19" s="538">
        <f t="shared" si="46"/>
        <v>-14.000022173676566</v>
      </c>
      <c r="BZ19" s="538">
        <f t="shared" si="61"/>
        <v>7892253.5319675896</v>
      </c>
      <c r="CA19" s="641">
        <f t="shared" si="47"/>
        <v>2.5666666666666672E-3</v>
      </c>
      <c r="CB19" s="469">
        <f t="shared" si="62"/>
        <v>-13997.4555070099</v>
      </c>
      <c r="CC19" s="177">
        <f t="shared" si="63"/>
        <v>130992581.82353844</v>
      </c>
      <c r="CD19" s="5">
        <f t="shared" si="64"/>
        <v>0.77</v>
      </c>
      <c r="CE19" s="177">
        <f t="shared" si="65"/>
        <v>5.8781954272117879E-9</v>
      </c>
      <c r="CF19" s="5">
        <f t="shared" si="66"/>
        <v>5.8781954272117874E-7</v>
      </c>
      <c r="CG19">
        <f t="shared" si="67"/>
        <v>14.000000000000002</v>
      </c>
      <c r="CI19" s="571">
        <f t="shared" si="48"/>
        <v>-50</v>
      </c>
      <c r="CJ19">
        <f t="shared" si="49"/>
        <v>-50</v>
      </c>
    </row>
    <row r="20" spans="5:88" x14ac:dyDescent="0.25">
      <c r="E20" s="174">
        <v>15</v>
      </c>
      <c r="F20" s="221">
        <f t="shared" si="68"/>
        <v>1.4999999999999999E-2</v>
      </c>
      <c r="G20" s="221">
        <f t="shared" si="50"/>
        <v>7.4999999999999997E-2</v>
      </c>
      <c r="H20" s="221">
        <f t="shared" si="0"/>
        <v>0.22499999999999998</v>
      </c>
      <c r="I20" s="221">
        <f t="shared" si="69"/>
        <v>0.6</v>
      </c>
      <c r="J20" s="551">
        <f t="shared" si="1"/>
        <v>24</v>
      </c>
      <c r="K20" s="451">
        <f t="shared" si="2"/>
        <v>695386.58000000007</v>
      </c>
      <c r="L20" s="451">
        <f t="shared" si="3"/>
        <v>695410.58000000007</v>
      </c>
      <c r="M20" s="451"/>
      <c r="N20" s="221">
        <f t="shared" si="4"/>
        <v>0.99996548801428931</v>
      </c>
      <c r="O20" s="176">
        <f t="shared" si="51"/>
        <v>2.2090146689770211</v>
      </c>
      <c r="P20" s="176">
        <f t="shared" si="5"/>
        <v>5.8907057839387225</v>
      </c>
      <c r="Q20" s="221">
        <f t="shared" si="6"/>
        <v>0.14726764459846808</v>
      </c>
      <c r="R20" s="221">
        <f t="shared" si="7"/>
        <v>0.27612683362212764</v>
      </c>
      <c r="S20" s="451">
        <f t="shared" si="8"/>
        <v>15</v>
      </c>
      <c r="T20" s="221">
        <f t="shared" si="9"/>
        <v>7.6391525312118874E-2</v>
      </c>
      <c r="U20" s="221">
        <f t="shared" si="10"/>
        <v>9.5489406640148586E-2</v>
      </c>
      <c r="V20" s="221">
        <f t="shared" si="11"/>
        <v>3.2956427766603808E-6</v>
      </c>
      <c r="W20" s="201">
        <f t="shared" si="12"/>
        <v>350</v>
      </c>
      <c r="X20" s="451">
        <f t="shared" si="52"/>
        <v>350</v>
      </c>
      <c r="Z20" s="221">
        <f t="shared" si="13"/>
        <v>2.2856354011755182</v>
      </c>
      <c r="AA20" s="177">
        <f t="shared" si="14"/>
        <v>9.8605673459021225E-5</v>
      </c>
      <c r="AB20" s="177">
        <f t="shared" si="15"/>
        <v>0.4914588143407696</v>
      </c>
      <c r="AC20" s="177"/>
      <c r="AD20" s="177">
        <f t="shared" si="16"/>
        <v>6.4712206554230591E-6</v>
      </c>
      <c r="AE20" s="555">
        <f t="shared" si="17"/>
        <v>2480.296296296297</v>
      </c>
      <c r="AF20" s="538">
        <f t="shared" si="18"/>
        <v>2.1166825946720815E-3</v>
      </c>
      <c r="AH20" s="177">
        <f t="shared" si="19"/>
        <v>0.39641248358604592</v>
      </c>
      <c r="AI20" s="177">
        <f t="shared" si="20"/>
        <v>0.39641248358604592</v>
      </c>
      <c r="AJ20" s="177">
        <f t="shared" si="21"/>
        <v>1.3825277656192934</v>
      </c>
      <c r="AL20" s="555">
        <f t="shared" si="22"/>
        <v>15</v>
      </c>
      <c r="AM20" s="469">
        <f t="shared" si="23"/>
        <v>350</v>
      </c>
      <c r="AO20">
        <f t="shared" si="53"/>
        <v>15</v>
      </c>
      <c r="AP20" s="469">
        <f t="shared" si="24"/>
        <v>350</v>
      </c>
      <c r="AQ20" s="469"/>
      <c r="AR20" s="5">
        <f t="shared" si="54"/>
        <v>2.8571428571428572</v>
      </c>
      <c r="AS20" s="5">
        <f t="shared" si="25"/>
        <v>0.49551560448255733</v>
      </c>
      <c r="AT20" s="5">
        <f t="shared" si="55"/>
        <v>2.3616272526602997</v>
      </c>
      <c r="AU20" s="177">
        <f t="shared" si="56"/>
        <v>0.17343046156889505</v>
      </c>
      <c r="AW20" s="5">
        <f t="shared" si="26"/>
        <v>0.10724833101420155</v>
      </c>
      <c r="AX20" s="5">
        <f t="shared" si="27"/>
        <v>8.119631171729301E-2</v>
      </c>
      <c r="AY20" s="5">
        <f t="shared" si="28"/>
        <v>2.7494601245163159</v>
      </c>
      <c r="AZ20" s="5">
        <f t="shared" si="29"/>
        <v>0.25529847285381635</v>
      </c>
      <c r="BA20" s="5">
        <f t="shared" si="30"/>
        <v>7.5167534083516466E-2</v>
      </c>
      <c r="BB20" s="469">
        <f t="shared" si="31"/>
        <v>9.1346874233553095</v>
      </c>
      <c r="BC20" s="5"/>
      <c r="BD20" s="177">
        <f t="shared" si="57"/>
        <v>9.5312395567664146E-2</v>
      </c>
      <c r="BE20" s="177">
        <f t="shared" si="32"/>
        <v>2592.7856570839667</v>
      </c>
      <c r="BF20" s="177">
        <f t="shared" si="33"/>
        <v>12802.010608537868</v>
      </c>
      <c r="BG20" s="177"/>
      <c r="BH20" s="538">
        <f t="shared" si="34"/>
        <v>3.1795584620964092E-3</v>
      </c>
      <c r="BI20" s="538">
        <f t="shared" si="35"/>
        <v>482.42151147717226</v>
      </c>
      <c r="BJ20" s="538">
        <f t="shared" si="36"/>
        <v>4.3749999999999995E-3</v>
      </c>
      <c r="BK20" s="538">
        <f t="shared" si="37"/>
        <v>8462927.8085788898</v>
      </c>
      <c r="BL20">
        <f t="shared" si="38"/>
        <v>6.96E-3</v>
      </c>
      <c r="BM20">
        <f t="shared" si="39"/>
        <v>1.6625000000000001E-5</v>
      </c>
      <c r="BN20">
        <f t="shared" si="40"/>
        <v>8468378.0372632593</v>
      </c>
      <c r="BO20" s="469">
        <f t="shared" si="58"/>
        <v>8468378037.2632589</v>
      </c>
      <c r="BP20" s="177">
        <f t="shared" si="41"/>
        <v>5136018.6264728764</v>
      </c>
      <c r="BQ20" s="177">
        <f t="shared" si="42"/>
        <v>125213087.39602017</v>
      </c>
      <c r="BR20" s="538"/>
      <c r="BT20" s="469">
        <f t="shared" si="59"/>
        <v>130349106022.49304</v>
      </c>
      <c r="BU20" s="538">
        <f t="shared" si="43"/>
        <v>9.0844527488468838E-4</v>
      </c>
      <c r="BV20" s="538">
        <f t="shared" si="60"/>
        <v>201676.1239074101</v>
      </c>
      <c r="BW20" s="538">
        <f t="shared" si="44"/>
        <v>8194573.7810558071</v>
      </c>
      <c r="BX20" s="538">
        <f t="shared" si="45"/>
        <v>0</v>
      </c>
      <c r="BY20" s="538">
        <f t="shared" si="46"/>
        <v>-14.000020842669347</v>
      </c>
      <c r="BZ20" s="538">
        <f t="shared" si="61"/>
        <v>8396249.9058716632</v>
      </c>
      <c r="CA20" s="641">
        <f t="shared" si="47"/>
        <v>2.7499999999999994E-3</v>
      </c>
      <c r="CB20" s="469">
        <f t="shared" si="62"/>
        <v>-13997.270842669346</v>
      </c>
      <c r="CC20" s="177">
        <f t="shared" si="63"/>
        <v>138817470.06248549</v>
      </c>
      <c r="CD20" s="5">
        <f t="shared" si="64"/>
        <v>0.82499999999999996</v>
      </c>
      <c r="CE20" s="177">
        <f t="shared" si="65"/>
        <v>5.9430559764965036E-9</v>
      </c>
      <c r="CF20" s="5">
        <f t="shared" si="66"/>
        <v>5.9430559764965039E-7</v>
      </c>
      <c r="CG20">
        <f t="shared" si="67"/>
        <v>15</v>
      </c>
      <c r="CI20" s="571">
        <f t="shared" si="48"/>
        <v>-50</v>
      </c>
      <c r="CJ20">
        <f t="shared" si="49"/>
        <v>-50</v>
      </c>
    </row>
    <row r="21" spans="5:88" s="77" customFormat="1" x14ac:dyDescent="0.25">
      <c r="E21" s="193">
        <v>16</v>
      </c>
      <c r="F21" s="333">
        <f t="shared" si="68"/>
        <v>1.6E-2</v>
      </c>
      <c r="G21" s="221">
        <f t="shared" si="50"/>
        <v>0.08</v>
      </c>
      <c r="H21" s="221">
        <f t="shared" si="0"/>
        <v>0.24</v>
      </c>
      <c r="I21" s="221">
        <f t="shared" si="69"/>
        <v>0.64</v>
      </c>
      <c r="J21" s="551">
        <f t="shared" si="1"/>
        <v>24</v>
      </c>
      <c r="K21" s="451">
        <f t="shared" si="2"/>
        <v>695386.58000000007</v>
      </c>
      <c r="L21" s="545">
        <f t="shared" si="3"/>
        <v>695410.58000000007</v>
      </c>
      <c r="M21" s="545"/>
      <c r="N21" s="333">
        <f t="shared" si="4"/>
        <v>0.99996548801428931</v>
      </c>
      <c r="O21" s="176">
        <f t="shared" si="51"/>
        <v>2.2090146689770211</v>
      </c>
      <c r="P21" s="176">
        <f t="shared" si="5"/>
        <v>5.8907057839387225</v>
      </c>
      <c r="Q21" s="333">
        <f t="shared" si="6"/>
        <v>0.14726764459846808</v>
      </c>
      <c r="R21" s="221">
        <f t="shared" si="7"/>
        <v>0.27612683362212764</v>
      </c>
      <c r="S21" s="451">
        <f t="shared" si="8"/>
        <v>15</v>
      </c>
      <c r="T21" s="221">
        <f t="shared" si="9"/>
        <v>8.148429366626013E-2</v>
      </c>
      <c r="U21" s="333">
        <f t="shared" si="10"/>
        <v>0.10185536708282517</v>
      </c>
      <c r="V21" s="221">
        <f t="shared" si="11"/>
        <v>3.5153522951044058E-6</v>
      </c>
      <c r="W21" s="547">
        <f t="shared" si="12"/>
        <v>350</v>
      </c>
      <c r="X21" s="545">
        <f t="shared" si="52"/>
        <v>350</v>
      </c>
      <c r="Z21" s="333">
        <f t="shared" si="13"/>
        <v>2.2856354011755182</v>
      </c>
      <c r="AA21" s="177">
        <f t="shared" si="14"/>
        <v>9.8605673459021225E-5</v>
      </c>
      <c r="AB21" s="177">
        <f t="shared" si="15"/>
        <v>0.4914588143407696</v>
      </c>
      <c r="AC21" s="548"/>
      <c r="AD21" s="177">
        <f t="shared" si="16"/>
        <v>6.4712206554230591E-6</v>
      </c>
      <c r="AE21" s="555">
        <f t="shared" si="17"/>
        <v>2645.6493827160502</v>
      </c>
      <c r="AF21" s="538">
        <f t="shared" si="18"/>
        <v>2.1166825946720815E-3</v>
      </c>
      <c r="AG21"/>
      <c r="AH21" s="177">
        <f t="shared" si="19"/>
        <v>0.40941305257532717</v>
      </c>
      <c r="AI21" s="177">
        <f t="shared" si="20"/>
        <v>0.40941305257532717</v>
      </c>
      <c r="AJ21" s="177">
        <f t="shared" si="21"/>
        <v>1.3921578167224646</v>
      </c>
      <c r="AL21" s="555">
        <f t="shared" si="22"/>
        <v>16</v>
      </c>
      <c r="AM21" s="469">
        <f t="shared" si="23"/>
        <v>350</v>
      </c>
      <c r="AO21">
        <f t="shared" si="53"/>
        <v>16</v>
      </c>
      <c r="AP21" s="469">
        <f t="shared" si="24"/>
        <v>350</v>
      </c>
      <c r="AQ21" s="469"/>
      <c r="AR21" s="5">
        <f t="shared" si="54"/>
        <v>2.8571428571428572</v>
      </c>
      <c r="AS21" s="5">
        <f t="shared" si="25"/>
        <v>0.51176631571915909</v>
      </c>
      <c r="AT21" s="5">
        <f t="shared" si="55"/>
        <v>2.3453765414236982</v>
      </c>
      <c r="AU21" s="177">
        <f t="shared" si="56"/>
        <v>0.17911821050170568</v>
      </c>
      <c r="AW21" s="5">
        <f t="shared" si="26"/>
        <v>0.10724833101420155</v>
      </c>
      <c r="AX21" s="5">
        <f t="shared" si="27"/>
        <v>8.9183359109453381E-2</v>
      </c>
      <c r="AY21" s="5">
        <f t="shared" si="28"/>
        <v>2.7494601245163159</v>
      </c>
      <c r="AZ21" s="5">
        <f t="shared" si="29"/>
        <v>0.27980626244700885</v>
      </c>
      <c r="BA21" s="5">
        <f t="shared" si="30"/>
        <v>7.9626981344631712E-2</v>
      </c>
      <c r="BB21" s="469">
        <f t="shared" si="31"/>
        <v>9.6774599835780286</v>
      </c>
      <c r="BC21" s="5"/>
      <c r="BD21" s="177">
        <f t="shared" si="57"/>
        <v>0.1000393653443883</v>
      </c>
      <c r="BE21" s="177">
        <f t="shared" si="32"/>
        <v>2668.5883759604008</v>
      </c>
      <c r="BF21" s="177">
        <f t="shared" si="33"/>
        <v>13176.290375382745</v>
      </c>
      <c r="BG21" s="177"/>
      <c r="BH21" s="538">
        <f t="shared" si="34"/>
        <v>3.5027561164777993E-3</v>
      </c>
      <c r="BI21" s="538">
        <f t="shared" si="35"/>
        <v>498.24279461421287</v>
      </c>
      <c r="BJ21" s="538">
        <f t="shared" si="36"/>
        <v>4.3749999999999995E-3</v>
      </c>
      <c r="BK21" s="538">
        <f t="shared" si="37"/>
        <v>8462927.8085788898</v>
      </c>
      <c r="BL21">
        <f t="shared" si="38"/>
        <v>6.96E-3</v>
      </c>
      <c r="BM21">
        <f t="shared" si="39"/>
        <v>1.6625000000000001E-5</v>
      </c>
      <c r="BN21">
        <f t="shared" si="40"/>
        <v>8468899.1648012102</v>
      </c>
      <c r="BO21" s="469">
        <f t="shared" si="58"/>
        <v>8468899164.8012104</v>
      </c>
      <c r="BP21" s="177">
        <f t="shared" si="41"/>
        <v>5440722.0397015791</v>
      </c>
      <c r="BQ21" s="177">
        <f t="shared" si="42"/>
        <v>132641575.85801257</v>
      </c>
      <c r="BR21" s="538"/>
      <c r="BT21" s="469">
        <f t="shared" si="59"/>
        <v>138082297897.71414</v>
      </c>
      <c r="BU21" s="538">
        <f t="shared" si="43"/>
        <v>1.0007874618508E-3</v>
      </c>
      <c r="BV21" s="538">
        <f t="shared" si="60"/>
        <v>213640.91760932907</v>
      </c>
      <c r="BW21" s="538">
        <f t="shared" si="44"/>
        <v>8680731.4028201979</v>
      </c>
      <c r="BX21" s="538">
        <f t="shared" si="45"/>
        <v>0</v>
      </c>
      <c r="BY21" s="538">
        <f t="shared" si="46"/>
        <v>-14.000019675390194</v>
      </c>
      <c r="BZ21" s="538">
        <f t="shared" si="61"/>
        <v>8894372.3214303143</v>
      </c>
      <c r="CA21" s="641">
        <f t="shared" si="47"/>
        <v>2.9333333333333338E-3</v>
      </c>
      <c r="CB21" s="469">
        <f t="shared" si="62"/>
        <v>-13997.08634205686</v>
      </c>
      <c r="CC21" s="177">
        <f t="shared" si="63"/>
        <v>146551183.065429</v>
      </c>
      <c r="CD21" s="5">
        <f t="shared" si="64"/>
        <v>0.88</v>
      </c>
      <c r="CE21" s="177">
        <f t="shared" si="65"/>
        <v>6.004728015897054E-9</v>
      </c>
      <c r="CF21" s="5">
        <f t="shared" si="66"/>
        <v>6.0047280158970542E-7</v>
      </c>
      <c r="CG21">
        <f t="shared" si="67"/>
        <v>16</v>
      </c>
      <c r="CI21" s="571">
        <f t="shared" si="48"/>
        <v>-50</v>
      </c>
      <c r="CJ21">
        <f t="shared" si="49"/>
        <v>-50</v>
      </c>
    </row>
    <row r="22" spans="5:88" x14ac:dyDescent="0.25">
      <c r="E22" s="174">
        <v>17</v>
      </c>
      <c r="F22" s="221">
        <f t="shared" si="68"/>
        <v>1.7000000000000001E-2</v>
      </c>
      <c r="G22" s="221">
        <f t="shared" si="50"/>
        <v>8.5000000000000006E-2</v>
      </c>
      <c r="H22" s="221">
        <f t="shared" si="0"/>
        <v>0.255</v>
      </c>
      <c r="I22" s="221">
        <f t="shared" si="69"/>
        <v>0.68</v>
      </c>
      <c r="J22" s="551">
        <f t="shared" si="1"/>
        <v>24</v>
      </c>
      <c r="K22" s="451">
        <f t="shared" si="2"/>
        <v>695386.58000000007</v>
      </c>
      <c r="L22" s="451">
        <f t="shared" si="3"/>
        <v>695410.58000000007</v>
      </c>
      <c r="M22" s="451"/>
      <c r="N22" s="221">
        <f t="shared" si="4"/>
        <v>0.99996548801428931</v>
      </c>
      <c r="O22" s="176">
        <f t="shared" si="51"/>
        <v>2.2090146689770211</v>
      </c>
      <c r="P22" s="176">
        <f t="shared" si="5"/>
        <v>5.8907057839387225</v>
      </c>
      <c r="Q22" s="221">
        <f t="shared" si="6"/>
        <v>0.14726764459846808</v>
      </c>
      <c r="R22" s="221">
        <f t="shared" si="7"/>
        <v>0.27612683362212764</v>
      </c>
      <c r="S22" s="451">
        <f t="shared" si="8"/>
        <v>15</v>
      </c>
      <c r="T22" s="221">
        <f t="shared" si="9"/>
        <v>8.6577062020401399E-2</v>
      </c>
      <c r="U22" s="221">
        <f t="shared" si="10"/>
        <v>0.10822132752550176</v>
      </c>
      <c r="V22" s="221">
        <f t="shared" si="11"/>
        <v>3.7350618135484321E-6</v>
      </c>
      <c r="W22" s="201">
        <f t="shared" si="12"/>
        <v>350</v>
      </c>
      <c r="X22" s="451">
        <f t="shared" si="52"/>
        <v>350</v>
      </c>
      <c r="Z22" s="221">
        <f t="shared" si="13"/>
        <v>2.2856354011755182</v>
      </c>
      <c r="AA22" s="177">
        <f t="shared" si="14"/>
        <v>9.8605673459021225E-5</v>
      </c>
      <c r="AB22" s="177">
        <f t="shared" si="15"/>
        <v>0.4914588143407696</v>
      </c>
      <c r="AC22" s="177"/>
      <c r="AD22" s="177">
        <f t="shared" si="16"/>
        <v>6.4712206554230591E-6</v>
      </c>
      <c r="AE22" s="555">
        <f t="shared" si="17"/>
        <v>2811.0024691358035</v>
      </c>
      <c r="AF22" s="538">
        <f t="shared" si="18"/>
        <v>2.1166825946720815E-3</v>
      </c>
      <c r="AH22" s="177">
        <f t="shared" si="19"/>
        <v>0.42201331506865764</v>
      </c>
      <c r="AI22" s="177">
        <f t="shared" si="20"/>
        <v>0.42201331506865764</v>
      </c>
      <c r="AJ22" s="177">
        <f t="shared" si="21"/>
        <v>1.4014913444953019</v>
      </c>
      <c r="AL22" s="555">
        <f t="shared" si="22"/>
        <v>17</v>
      </c>
      <c r="AM22" s="469">
        <f t="shared" si="23"/>
        <v>350</v>
      </c>
      <c r="AO22">
        <f t="shared" si="53"/>
        <v>17</v>
      </c>
      <c r="AP22" s="469">
        <f t="shared" si="24"/>
        <v>350</v>
      </c>
      <c r="AQ22" s="469"/>
      <c r="AR22" s="5">
        <f t="shared" si="54"/>
        <v>2.8571428571428572</v>
      </c>
      <c r="AS22" s="5">
        <f t="shared" si="25"/>
        <v>0.52751664383582209</v>
      </c>
      <c r="AT22" s="5">
        <f t="shared" si="55"/>
        <v>2.3296262133070353</v>
      </c>
      <c r="AU22" s="177">
        <f t="shared" si="56"/>
        <v>0.18463082534253772</v>
      </c>
      <c r="AW22" s="5">
        <f t="shared" si="26"/>
        <v>0.10724833101420155</v>
      </c>
      <c r="AX22" s="5">
        <f t="shared" si="27"/>
        <v>9.7492151494656357E-2</v>
      </c>
      <c r="AY22" s="5">
        <f t="shared" si="28"/>
        <v>2.7494601245163159</v>
      </c>
      <c r="AZ22" s="5">
        <f t="shared" si="29"/>
        <v>0.30525003846556864</v>
      </c>
      <c r="BA22" s="5">
        <f t="shared" si="30"/>
        <v>8.4035513481561644E-2</v>
      </c>
      <c r="BB22" s="469">
        <f t="shared" si="31"/>
        <v>10.214122728898509</v>
      </c>
      <c r="BC22" s="5"/>
      <c r="BD22" s="177">
        <f t="shared" si="57"/>
        <v>0.10469299689902788</v>
      </c>
      <c r="BE22" s="177">
        <f t="shared" si="32"/>
        <v>2741.4661827143764</v>
      </c>
      <c r="BF22" s="177">
        <f t="shared" si="33"/>
        <v>13536.128240361011</v>
      </c>
      <c r="BG22" s="177"/>
      <c r="BH22" s="538">
        <f t="shared" si="34"/>
        <v>3.8362182598949508E-3</v>
      </c>
      <c r="BI22" s="538">
        <f t="shared" si="35"/>
        <v>513.57691734933144</v>
      </c>
      <c r="BJ22" s="538">
        <f t="shared" si="36"/>
        <v>4.3749999999999995E-3</v>
      </c>
      <c r="BK22" s="538">
        <f t="shared" si="37"/>
        <v>8462927.8085788898</v>
      </c>
      <c r="BL22">
        <f t="shared" si="38"/>
        <v>6.96E-3</v>
      </c>
      <c r="BM22">
        <f t="shared" si="39"/>
        <v>1.6625000000000001E-5</v>
      </c>
      <c r="BN22">
        <f t="shared" si="40"/>
        <v>8469435.9177725855</v>
      </c>
      <c r="BO22" s="469">
        <f t="shared" si="58"/>
        <v>8469435917.7725859</v>
      </c>
      <c r="BP22" s="177">
        <f t="shared" si="41"/>
        <v>5741946.5437289299</v>
      </c>
      <c r="BQ22" s="177">
        <f t="shared" si="42"/>
        <v>139985250.57732961</v>
      </c>
      <c r="BR22" s="538"/>
      <c r="BT22" s="469">
        <f t="shared" si="59"/>
        <v>145727197121.05853</v>
      </c>
      <c r="BU22" s="538">
        <f t="shared" si="43"/>
        <v>1.096062359969986E-3</v>
      </c>
      <c r="BV22" s="538">
        <f t="shared" si="60"/>
        <v>225469.10492899601</v>
      </c>
      <c r="BW22" s="538">
        <f t="shared" si="44"/>
        <v>9161338.3869749438</v>
      </c>
      <c r="BX22" s="538">
        <f t="shared" si="45"/>
        <v>0</v>
      </c>
      <c r="BY22" s="538">
        <f t="shared" si="46"/>
        <v>-14.000018643211039</v>
      </c>
      <c r="BZ22" s="538">
        <f t="shared" si="61"/>
        <v>9386807.4930000026</v>
      </c>
      <c r="CA22" s="641">
        <f t="shared" si="47"/>
        <v>3.1166666666666669E-3</v>
      </c>
      <c r="CB22" s="469">
        <f t="shared" si="62"/>
        <v>-13996.901976544372</v>
      </c>
      <c r="CC22" s="177">
        <f t="shared" si="63"/>
        <v>154196619.04192913</v>
      </c>
      <c r="CD22" s="5">
        <f t="shared" si="64"/>
        <v>0.93500000000000005</v>
      </c>
      <c r="CE22" s="177">
        <f t="shared" si="65"/>
        <v>6.0636867406036178E-9</v>
      </c>
      <c r="CF22" s="5">
        <f t="shared" si="66"/>
        <v>6.0636867406036179E-7</v>
      </c>
      <c r="CG22">
        <f t="shared" si="67"/>
        <v>17</v>
      </c>
      <c r="CI22" s="571">
        <f t="shared" si="48"/>
        <v>-50</v>
      </c>
      <c r="CJ22">
        <f t="shared" si="49"/>
        <v>-50</v>
      </c>
    </row>
    <row r="23" spans="5:88" x14ac:dyDescent="0.25">
      <c r="E23" s="174">
        <v>18</v>
      </c>
      <c r="F23" s="221">
        <f t="shared" si="68"/>
        <v>1.7999999999999999E-2</v>
      </c>
      <c r="G23" s="221">
        <f t="shared" si="50"/>
        <v>0.09</v>
      </c>
      <c r="H23" s="221">
        <f t="shared" si="0"/>
        <v>0.26999999999999996</v>
      </c>
      <c r="I23" s="221">
        <f t="shared" si="69"/>
        <v>0.72</v>
      </c>
      <c r="J23" s="551">
        <f t="shared" si="1"/>
        <v>24</v>
      </c>
      <c r="K23" s="451">
        <f t="shared" si="2"/>
        <v>695386.58000000007</v>
      </c>
      <c r="L23" s="451">
        <f t="shared" si="3"/>
        <v>695410.58000000007</v>
      </c>
      <c r="M23" s="451"/>
      <c r="N23" s="221">
        <f t="shared" si="4"/>
        <v>0.99996548801428931</v>
      </c>
      <c r="O23" s="176">
        <f t="shared" si="51"/>
        <v>2.2090146689770211</v>
      </c>
      <c r="P23" s="176">
        <f t="shared" si="5"/>
        <v>5.8907057839387225</v>
      </c>
      <c r="Q23" s="221">
        <f t="shared" si="6"/>
        <v>0.14726764459846808</v>
      </c>
      <c r="R23" s="221">
        <f t="shared" si="7"/>
        <v>0.27612683362212764</v>
      </c>
      <c r="S23" s="451">
        <f t="shared" si="8"/>
        <v>15</v>
      </c>
      <c r="T23" s="221">
        <f t="shared" si="9"/>
        <v>9.1669830374542655E-2</v>
      </c>
      <c r="U23" s="221">
        <f t="shared" si="10"/>
        <v>0.11458728796817833</v>
      </c>
      <c r="V23" s="221">
        <f t="shared" si="11"/>
        <v>3.9547713319924568E-6</v>
      </c>
      <c r="W23" s="201">
        <f t="shared" si="12"/>
        <v>350</v>
      </c>
      <c r="X23" s="451">
        <f t="shared" si="52"/>
        <v>350</v>
      </c>
      <c r="Z23" s="221">
        <f t="shared" si="13"/>
        <v>2.2856354011755182</v>
      </c>
      <c r="AA23" s="177">
        <f t="shared" si="14"/>
        <v>9.8605673459021225E-5</v>
      </c>
      <c r="AB23" s="177">
        <f t="shared" si="15"/>
        <v>0.4914588143407696</v>
      </c>
      <c r="AC23" s="177"/>
      <c r="AD23" s="177">
        <f t="shared" si="16"/>
        <v>6.4712206554230591E-6</v>
      </c>
      <c r="AE23" s="555">
        <f t="shared" si="17"/>
        <v>2976.3555555555558</v>
      </c>
      <c r="AF23" s="538">
        <f t="shared" si="18"/>
        <v>2.1166825946720815E-3</v>
      </c>
      <c r="AH23" s="177">
        <f t="shared" si="19"/>
        <v>0.43424811867344754</v>
      </c>
      <c r="AI23" s="177">
        <f t="shared" si="20"/>
        <v>0.43424811867344754</v>
      </c>
      <c r="AJ23" s="177">
        <f t="shared" si="21"/>
        <v>1.4105541619803315</v>
      </c>
      <c r="AL23" s="555">
        <f t="shared" si="22"/>
        <v>18</v>
      </c>
      <c r="AM23" s="469">
        <f t="shared" si="23"/>
        <v>350</v>
      </c>
      <c r="AO23">
        <f t="shared" si="53"/>
        <v>18</v>
      </c>
      <c r="AP23" s="469">
        <f t="shared" si="24"/>
        <v>350</v>
      </c>
      <c r="AQ23" s="469"/>
      <c r="AR23" s="5">
        <f t="shared" si="54"/>
        <v>2.8571428571428572</v>
      </c>
      <c r="AS23" s="5">
        <f t="shared" si="25"/>
        <v>0.54281014834180941</v>
      </c>
      <c r="AT23" s="5">
        <f t="shared" si="55"/>
        <v>2.3143327088010479</v>
      </c>
      <c r="AU23" s="177">
        <f t="shared" si="56"/>
        <v>0.18998355191963329</v>
      </c>
      <c r="AW23" s="5">
        <f t="shared" si="26"/>
        <v>0.10724833101420155</v>
      </c>
      <c r="AX23" s="5">
        <f t="shared" si="27"/>
        <v>0.10612268887290191</v>
      </c>
      <c r="AY23" s="5">
        <f t="shared" si="28"/>
        <v>2.7494601245163159</v>
      </c>
      <c r="AZ23" s="5">
        <f t="shared" si="29"/>
        <v>0.33162980090949556</v>
      </c>
      <c r="BA23" s="5">
        <f t="shared" si="30"/>
        <v>8.8394652072262228E-2</v>
      </c>
      <c r="BB23" s="469">
        <f t="shared" si="31"/>
        <v>10.744858248671472</v>
      </c>
      <c r="BC23" s="5"/>
      <c r="BD23" s="177">
        <f t="shared" si="57"/>
        <v>0.1092786496234274</v>
      </c>
      <c r="BE23" s="177">
        <f t="shared" si="32"/>
        <v>2811.6707268873733</v>
      </c>
      <c r="BF23" s="177">
        <f t="shared" si="33"/>
        <v>13882.766735839687</v>
      </c>
      <c r="BG23" s="177"/>
      <c r="BH23" s="538">
        <f t="shared" si="34"/>
        <v>4.1796381422319331E-3</v>
      </c>
      <c r="BI23" s="538">
        <f t="shared" si="35"/>
        <v>528.46628812356926</v>
      </c>
      <c r="BJ23" s="538">
        <f t="shared" si="36"/>
        <v>4.3749999999999995E-3</v>
      </c>
      <c r="BK23" s="538">
        <f t="shared" si="37"/>
        <v>8462927.8085788898</v>
      </c>
      <c r="BL23">
        <f t="shared" si="38"/>
        <v>6.96E-3</v>
      </c>
      <c r="BM23">
        <f t="shared" si="39"/>
        <v>1.6625000000000001E-5</v>
      </c>
      <c r="BN23">
        <f t="shared" si="40"/>
        <v>8469987.8648240063</v>
      </c>
      <c r="BO23" s="469">
        <f t="shared" si="58"/>
        <v>8469987864.8240061</v>
      </c>
      <c r="BP23" s="177">
        <f t="shared" si="41"/>
        <v>6039796.1043536216</v>
      </c>
      <c r="BQ23" s="177">
        <f t="shared" si="42"/>
        <v>147246646.17847198</v>
      </c>
      <c r="BR23" s="538"/>
      <c r="BT23" s="469">
        <f t="shared" si="59"/>
        <v>153286442282.82559</v>
      </c>
      <c r="BU23" s="538">
        <f t="shared" si="43"/>
        <v>1.194182326351981E-3</v>
      </c>
      <c r="BV23" s="538">
        <f t="shared" si="60"/>
        <v>237164.76829306112</v>
      </c>
      <c r="BW23" s="538">
        <f t="shared" si="44"/>
        <v>9636560.6120868456</v>
      </c>
      <c r="BX23" s="538">
        <f t="shared" si="45"/>
        <v>0</v>
      </c>
      <c r="BY23" s="538">
        <f t="shared" si="46"/>
        <v>-14.00001772382913</v>
      </c>
      <c r="BZ23" s="538">
        <f t="shared" si="61"/>
        <v>9873725.3815740887</v>
      </c>
      <c r="CA23" s="641">
        <f t="shared" si="47"/>
        <v>3.3000000000000004E-3</v>
      </c>
      <c r="CB23" s="469">
        <f t="shared" si="62"/>
        <v>-13996.71772382913</v>
      </c>
      <c r="CC23" s="177">
        <f t="shared" si="63"/>
        <v>161756416.15093189</v>
      </c>
      <c r="CD23" s="5">
        <f t="shared" si="64"/>
        <v>0.99</v>
      </c>
      <c r="CE23" s="177">
        <f t="shared" si="65"/>
        <v>6.1203136017624111E-9</v>
      </c>
      <c r="CF23" s="5">
        <f t="shared" si="66"/>
        <v>6.1203136017624116E-7</v>
      </c>
      <c r="CG23">
        <f t="shared" si="67"/>
        <v>17.999999999999996</v>
      </c>
      <c r="CI23" s="571">
        <f t="shared" si="48"/>
        <v>-50</v>
      </c>
      <c r="CJ23">
        <f t="shared" si="49"/>
        <v>-50</v>
      </c>
    </row>
    <row r="24" spans="5:88" x14ac:dyDescent="0.25">
      <c r="E24" s="174">
        <v>19</v>
      </c>
      <c r="F24" s="221">
        <f t="shared" si="68"/>
        <v>1.9000000000000003E-2</v>
      </c>
      <c r="G24" s="221">
        <f t="shared" si="50"/>
        <v>9.5000000000000001E-2</v>
      </c>
      <c r="H24" s="221">
        <f t="shared" si="0"/>
        <v>0.28500000000000003</v>
      </c>
      <c r="I24" s="221">
        <f t="shared" si="69"/>
        <v>0.76</v>
      </c>
      <c r="J24" s="551">
        <f t="shared" si="1"/>
        <v>24</v>
      </c>
      <c r="K24" s="451">
        <f t="shared" si="2"/>
        <v>695386.58000000007</v>
      </c>
      <c r="L24" s="451">
        <f t="shared" si="3"/>
        <v>695410.58000000007</v>
      </c>
      <c r="M24" s="451"/>
      <c r="N24" s="221">
        <f t="shared" si="4"/>
        <v>0.99996548801428931</v>
      </c>
      <c r="O24" s="176">
        <f t="shared" si="51"/>
        <v>2.2090146689770211</v>
      </c>
      <c r="P24" s="176">
        <f t="shared" si="5"/>
        <v>5.8907057839387225</v>
      </c>
      <c r="Q24" s="221">
        <f t="shared" si="6"/>
        <v>0.14726764459846808</v>
      </c>
      <c r="R24" s="221">
        <f t="shared" si="7"/>
        <v>0.27612683362212764</v>
      </c>
      <c r="S24" s="451">
        <f t="shared" si="8"/>
        <v>15</v>
      </c>
      <c r="T24" s="221">
        <f t="shared" si="9"/>
        <v>9.676259872868391E-2</v>
      </c>
      <c r="U24" s="221">
        <f t="shared" si="10"/>
        <v>0.1209532484108549</v>
      </c>
      <c r="V24" s="221">
        <f t="shared" si="11"/>
        <v>4.1744808504364831E-6</v>
      </c>
      <c r="W24" s="201">
        <f t="shared" si="12"/>
        <v>350</v>
      </c>
      <c r="X24" s="451">
        <f t="shared" si="52"/>
        <v>350</v>
      </c>
      <c r="Z24" s="221">
        <f t="shared" si="13"/>
        <v>2.2856354011755182</v>
      </c>
      <c r="AA24" s="177">
        <f t="shared" si="14"/>
        <v>9.8605673459021225E-5</v>
      </c>
      <c r="AB24" s="177">
        <f t="shared" si="15"/>
        <v>0.4914588143407696</v>
      </c>
      <c r="AC24" s="177"/>
      <c r="AD24" s="177">
        <f t="shared" si="16"/>
        <v>6.4712206554230591E-6</v>
      </c>
      <c r="AE24" s="555">
        <f t="shared" si="17"/>
        <v>3141.7086419753105</v>
      </c>
      <c r="AF24" s="538">
        <f t="shared" si="18"/>
        <v>2.1166825946720815E-3</v>
      </c>
      <c r="AH24" s="177">
        <f t="shared" si="19"/>
        <v>0.44614753058558893</v>
      </c>
      <c r="AI24" s="177">
        <f t="shared" si="20"/>
        <v>0.44614753058558893</v>
      </c>
      <c r="AJ24" s="177">
        <f t="shared" si="21"/>
        <v>1.4193685411745103</v>
      </c>
      <c r="AL24" s="555">
        <f t="shared" si="22"/>
        <v>19.000000000000004</v>
      </c>
      <c r="AM24" s="469">
        <f t="shared" si="23"/>
        <v>350</v>
      </c>
      <c r="AO24">
        <f t="shared" si="53"/>
        <v>19.000000000000004</v>
      </c>
      <c r="AP24" s="469">
        <f t="shared" si="24"/>
        <v>350</v>
      </c>
      <c r="AQ24" s="469"/>
      <c r="AR24" s="5">
        <f t="shared" si="54"/>
        <v>2.8571428571428572</v>
      </c>
      <c r="AS24" s="5">
        <f t="shared" si="25"/>
        <v>0.55768441323198625</v>
      </c>
      <c r="AT24" s="5">
        <f t="shared" si="55"/>
        <v>2.2994584439108712</v>
      </c>
      <c r="AU24" s="177">
        <f t="shared" si="56"/>
        <v>0.19518954463119517</v>
      </c>
      <c r="AW24" s="5">
        <f t="shared" si="26"/>
        <v>0.10724833101420155</v>
      </c>
      <c r="AX24" s="5">
        <f t="shared" si="27"/>
        <v>0.11507497124419014</v>
      </c>
      <c r="AY24" s="5">
        <f t="shared" si="28"/>
        <v>2.7494601245163159</v>
      </c>
      <c r="AZ24" s="5">
        <f t="shared" si="29"/>
        <v>0.35894554977878979</v>
      </c>
      <c r="BA24" s="5">
        <f t="shared" si="30"/>
        <v>9.2705789887610343E-2</v>
      </c>
      <c r="BB24" s="469">
        <f t="shared" si="31"/>
        <v>11.269833675402131</v>
      </c>
      <c r="BC24" s="5"/>
      <c r="BD24" s="177">
        <f t="shared" si="57"/>
        <v>0.1138010165769304</v>
      </c>
      <c r="BE24" s="177">
        <f t="shared" si="32"/>
        <v>2879.4191806449935</v>
      </c>
      <c r="BF24" s="177">
        <f t="shared" si="33"/>
        <v>14217.27816039475</v>
      </c>
      <c r="BG24" s="177"/>
      <c r="BH24" s="538">
        <f t="shared" si="34"/>
        <v>4.5327349808799754E-3</v>
      </c>
      <c r="BI24" s="538">
        <f t="shared" si="35"/>
        <v>542.94749776766128</v>
      </c>
      <c r="BJ24" s="538">
        <f t="shared" si="36"/>
        <v>4.3749999999999995E-3</v>
      </c>
      <c r="BK24" s="538">
        <f t="shared" si="37"/>
        <v>8462927.8085788898</v>
      </c>
      <c r="BL24">
        <f t="shared" si="38"/>
        <v>6.96E-3</v>
      </c>
      <c r="BM24">
        <f t="shared" si="39"/>
        <v>1.6625000000000001E-5</v>
      </c>
      <c r="BN24">
        <f t="shared" si="40"/>
        <v>8470554.6093326006</v>
      </c>
      <c r="BO24" s="469">
        <f t="shared" si="58"/>
        <v>8470554609.3326006</v>
      </c>
      <c r="BP24" s="177">
        <f t="shared" si="41"/>
        <v>6334365.8862933405</v>
      </c>
      <c r="BQ24" s="177">
        <f t="shared" si="42"/>
        <v>154428082.72080612</v>
      </c>
      <c r="BR24" s="538"/>
      <c r="BT24" s="469">
        <f t="shared" si="59"/>
        <v>160762448607.09949</v>
      </c>
      <c r="BU24" s="538">
        <f t="shared" si="43"/>
        <v>1.2950671373942787E-3</v>
      </c>
      <c r="BV24" s="538">
        <f t="shared" si="60"/>
        <v>248731.64453598854</v>
      </c>
      <c r="BW24" s="538">
        <f t="shared" si="44"/>
        <v>10106549.914501876</v>
      </c>
      <c r="BX24" s="538">
        <f t="shared" si="45"/>
        <v>0</v>
      </c>
      <c r="BY24" s="538">
        <f t="shared" si="46"/>
        <v>-14.000016899609175</v>
      </c>
      <c r="BZ24" s="538">
        <f t="shared" si="61"/>
        <v>10355281.560332932</v>
      </c>
      <c r="CA24" s="641">
        <f t="shared" si="47"/>
        <v>3.4833333333333326E-3</v>
      </c>
      <c r="CB24" s="469">
        <f t="shared" si="62"/>
        <v>-13996.533566275843</v>
      </c>
      <c r="CC24" s="177">
        <f t="shared" si="63"/>
        <v>169232989.21989849</v>
      </c>
      <c r="CD24" s="5">
        <f t="shared" si="64"/>
        <v>1.0449999999999999</v>
      </c>
      <c r="CE24" s="177">
        <f t="shared" si="65"/>
        <v>6.1749189585569176E-9</v>
      </c>
      <c r="CF24" s="5">
        <f t="shared" si="66"/>
        <v>6.1749189585569179E-7</v>
      </c>
      <c r="CG24">
        <f t="shared" si="67"/>
        <v>19.000000000000004</v>
      </c>
      <c r="CI24" s="571">
        <f t="shared" si="48"/>
        <v>-50</v>
      </c>
      <c r="CJ24">
        <f t="shared" si="49"/>
        <v>-50</v>
      </c>
    </row>
    <row r="25" spans="5:88" x14ac:dyDescent="0.25">
      <c r="E25" s="174">
        <v>20</v>
      </c>
      <c r="F25" s="221">
        <f t="shared" si="68"/>
        <v>2.0000000000000004E-2</v>
      </c>
      <c r="G25" s="221">
        <f t="shared" si="50"/>
        <v>0.1</v>
      </c>
      <c r="H25" s="221">
        <f t="shared" si="0"/>
        <v>0.30000000000000004</v>
      </c>
      <c r="I25" s="221">
        <f t="shared" si="69"/>
        <v>0.8</v>
      </c>
      <c r="J25" s="551">
        <f t="shared" si="1"/>
        <v>24</v>
      </c>
      <c r="K25" s="451">
        <f t="shared" si="2"/>
        <v>695386.58000000007</v>
      </c>
      <c r="L25" s="451">
        <f t="shared" si="3"/>
        <v>695410.58000000007</v>
      </c>
      <c r="M25" s="451"/>
      <c r="N25" s="221">
        <f t="shared" si="4"/>
        <v>0.99996548801428931</v>
      </c>
      <c r="O25" s="176">
        <f t="shared" si="51"/>
        <v>2.2090146689770211</v>
      </c>
      <c r="P25" s="176">
        <f t="shared" si="5"/>
        <v>5.8907057839387225</v>
      </c>
      <c r="Q25" s="221">
        <f t="shared" si="6"/>
        <v>0.14726764459846808</v>
      </c>
      <c r="R25" s="221">
        <f t="shared" si="7"/>
        <v>0.27612683362212764</v>
      </c>
      <c r="S25" s="451">
        <f t="shared" si="8"/>
        <v>15</v>
      </c>
      <c r="T25" s="221">
        <f t="shared" si="9"/>
        <v>0.10185536708282518</v>
      </c>
      <c r="U25" s="221">
        <f t="shared" si="10"/>
        <v>0.12731920885353148</v>
      </c>
      <c r="V25" s="221">
        <f t="shared" si="11"/>
        <v>4.3941903688805085E-6</v>
      </c>
      <c r="W25" s="201">
        <f t="shared" si="12"/>
        <v>350</v>
      </c>
      <c r="X25" s="451">
        <f t="shared" si="52"/>
        <v>350</v>
      </c>
      <c r="Z25" s="221">
        <f t="shared" si="13"/>
        <v>2.2856354011755182</v>
      </c>
      <c r="AA25" s="177">
        <f t="shared" si="14"/>
        <v>9.8605673459021225E-5</v>
      </c>
      <c r="AB25" s="177">
        <f t="shared" si="15"/>
        <v>0.4914588143407696</v>
      </c>
      <c r="AC25" s="177"/>
      <c r="AD25" s="177">
        <f t="shared" si="16"/>
        <v>6.4712206554230591E-6</v>
      </c>
      <c r="AE25" s="555">
        <f t="shared" si="17"/>
        <v>3307.0617283950633</v>
      </c>
      <c r="AF25" s="538">
        <f t="shared" si="18"/>
        <v>2.1166825946720815E-3</v>
      </c>
      <c r="AH25" s="177">
        <f t="shared" si="19"/>
        <v>0.45773770821706344</v>
      </c>
      <c r="AI25" s="177">
        <f t="shared" si="20"/>
        <v>0.45773770821706344</v>
      </c>
      <c r="AJ25" s="177">
        <f t="shared" si="21"/>
        <v>1.4279538579385656</v>
      </c>
      <c r="AL25" s="555">
        <f t="shared" si="22"/>
        <v>20.000000000000004</v>
      </c>
      <c r="AM25" s="469">
        <f t="shared" si="23"/>
        <v>350</v>
      </c>
      <c r="AO25">
        <f t="shared" si="53"/>
        <v>20.000000000000004</v>
      </c>
      <c r="AP25" s="469">
        <f t="shared" si="24"/>
        <v>350</v>
      </c>
      <c r="AQ25" s="469"/>
      <c r="AR25" s="5">
        <f t="shared" si="54"/>
        <v>2.8571428571428572</v>
      </c>
      <c r="AS25" s="5">
        <f t="shared" si="25"/>
        <v>0.57217213527132937</v>
      </c>
      <c r="AT25" s="5">
        <f t="shared" si="55"/>
        <v>2.2849707218715278</v>
      </c>
      <c r="AU25" s="177">
        <f t="shared" si="56"/>
        <v>0.20026024734496528</v>
      </c>
      <c r="AW25" s="5">
        <f t="shared" si="26"/>
        <v>0.10724833101420155</v>
      </c>
      <c r="AX25" s="5">
        <f t="shared" si="27"/>
        <v>0.12434899860852094</v>
      </c>
      <c r="AY25" s="5">
        <f t="shared" si="28"/>
        <v>2.7494601245163159</v>
      </c>
      <c r="AZ25" s="5">
        <f t="shared" si="29"/>
        <v>0.38719728507345136</v>
      </c>
      <c r="BA25" s="5">
        <f t="shared" si="30"/>
        <v>9.697020810411576E-2</v>
      </c>
      <c r="BB25" s="469">
        <f t="shared" si="31"/>
        <v>11.789202750271672</v>
      </c>
      <c r="BC25" s="5"/>
      <c r="BD25" s="177">
        <f t="shared" si="57"/>
        <v>0.11826423793057292</v>
      </c>
      <c r="BE25" s="177">
        <f t="shared" si="32"/>
        <v>2944.9005137816098</v>
      </c>
      <c r="BF25" s="177">
        <f t="shared" si="33"/>
        <v>14540.595561964674</v>
      </c>
      <c r="BG25" s="177"/>
      <c r="BH25" s="538">
        <f t="shared" si="34"/>
        <v>4.8952504906547064E-3</v>
      </c>
      <c r="BI25" s="538">
        <f t="shared" si="35"/>
        <v>557.05237902842305</v>
      </c>
      <c r="BJ25" s="538">
        <f t="shared" si="36"/>
        <v>4.3749999999999995E-3</v>
      </c>
      <c r="BK25" s="538">
        <f t="shared" si="37"/>
        <v>8462927.8085788898</v>
      </c>
      <c r="BL25">
        <f t="shared" si="38"/>
        <v>6.96E-3</v>
      </c>
      <c r="BM25">
        <f t="shared" si="39"/>
        <v>1.6625000000000001E-5</v>
      </c>
      <c r="BN25">
        <f t="shared" si="40"/>
        <v>8471135.785047356</v>
      </c>
      <c r="BO25" s="469">
        <f t="shared" si="58"/>
        <v>8471135785.0473557</v>
      </c>
      <c r="BP25" s="177">
        <f t="shared" si="41"/>
        <v>6625743.4292883864</v>
      </c>
      <c r="BQ25" s="177">
        <f t="shared" si="42"/>
        <v>161531694.37127283</v>
      </c>
      <c r="BR25" s="538"/>
      <c r="BT25" s="469">
        <f t="shared" si="59"/>
        <v>168157437800.56122</v>
      </c>
      <c r="BU25" s="538">
        <f t="shared" si="43"/>
        <v>1.3986429973299162E-3</v>
      </c>
      <c r="BV25" s="538">
        <f t="shared" si="60"/>
        <v>260173.17108213564</v>
      </c>
      <c r="BW25" s="538">
        <f t="shared" si="44"/>
        <v>10571445.964831339</v>
      </c>
      <c r="BX25" s="538">
        <f t="shared" si="45"/>
        <v>0</v>
      </c>
      <c r="BY25" s="538">
        <f t="shared" si="46"/>
        <v>-14.000016156421283</v>
      </c>
      <c r="BZ25" s="538">
        <f t="shared" si="61"/>
        <v>10831619.137312118</v>
      </c>
      <c r="CA25" s="641">
        <f t="shared" si="47"/>
        <v>3.6666666666666666E-3</v>
      </c>
      <c r="CB25" s="469">
        <f t="shared" si="62"/>
        <v>-13996.349489754617</v>
      </c>
      <c r="CC25" s="177">
        <f t="shared" si="63"/>
        <v>176628559.58925909</v>
      </c>
      <c r="CD25" s="5">
        <f t="shared" si="64"/>
        <v>1.1000000000000001</v>
      </c>
      <c r="CE25" s="177">
        <f t="shared" si="65"/>
        <v>6.2277583857755568E-9</v>
      </c>
      <c r="CF25" s="5">
        <f t="shared" si="66"/>
        <v>6.2277583857755567E-7</v>
      </c>
      <c r="CG25">
        <f t="shared" si="67"/>
        <v>20.000000000000004</v>
      </c>
      <c r="CI25" s="571">
        <f t="shared" si="48"/>
        <v>-50</v>
      </c>
      <c r="CJ25">
        <f t="shared" si="49"/>
        <v>-50</v>
      </c>
    </row>
    <row r="26" spans="5:88" x14ac:dyDescent="0.25">
      <c r="E26" s="174">
        <v>21</v>
      </c>
      <c r="F26" s="221">
        <f t="shared" si="68"/>
        <v>2.1000000000000001E-2</v>
      </c>
      <c r="G26" s="221">
        <f t="shared" si="50"/>
        <v>0.105</v>
      </c>
      <c r="H26" s="221">
        <f t="shared" si="0"/>
        <v>0.315</v>
      </c>
      <c r="I26" s="221">
        <f t="shared" si="69"/>
        <v>0.84</v>
      </c>
      <c r="J26" s="551">
        <f t="shared" si="1"/>
        <v>24</v>
      </c>
      <c r="K26" s="451">
        <f t="shared" si="2"/>
        <v>695386.58000000007</v>
      </c>
      <c r="L26" s="451">
        <f t="shared" si="3"/>
        <v>695410.58000000007</v>
      </c>
      <c r="M26" s="451"/>
      <c r="N26" s="221">
        <f t="shared" si="4"/>
        <v>0.99996548801428931</v>
      </c>
      <c r="O26" s="176">
        <f t="shared" si="51"/>
        <v>2.2090146689770211</v>
      </c>
      <c r="P26" s="176">
        <f t="shared" si="5"/>
        <v>5.8907057839387225</v>
      </c>
      <c r="Q26" s="221">
        <f t="shared" si="6"/>
        <v>0.14726764459846808</v>
      </c>
      <c r="R26" s="221">
        <f t="shared" si="7"/>
        <v>0.27612683362212764</v>
      </c>
      <c r="S26" s="451">
        <f t="shared" si="8"/>
        <v>15</v>
      </c>
      <c r="T26" s="221">
        <f t="shared" si="9"/>
        <v>0.10694813543696643</v>
      </c>
      <c r="U26" s="221">
        <f t="shared" si="10"/>
        <v>0.13368516929620805</v>
      </c>
      <c r="V26" s="221">
        <f t="shared" si="11"/>
        <v>4.613899887324534E-6</v>
      </c>
      <c r="W26" s="201">
        <f t="shared" si="12"/>
        <v>350</v>
      </c>
      <c r="X26" s="451">
        <f t="shared" si="52"/>
        <v>350</v>
      </c>
      <c r="Z26" s="221">
        <f t="shared" si="13"/>
        <v>2.2856354011755182</v>
      </c>
      <c r="AA26" s="177">
        <f t="shared" si="14"/>
        <v>9.8605673459021225E-5</v>
      </c>
      <c r="AB26" s="177">
        <f t="shared" si="15"/>
        <v>0.4914588143407696</v>
      </c>
      <c r="AC26" s="177"/>
      <c r="AD26" s="177">
        <f t="shared" si="16"/>
        <v>6.4712206554230591E-6</v>
      </c>
      <c r="AE26" s="555">
        <f t="shared" si="17"/>
        <v>3472.4148148148156</v>
      </c>
      <c r="AF26" s="538">
        <f t="shared" si="18"/>
        <v>2.1166825946720815E-3</v>
      </c>
      <c r="AH26" s="177">
        <f t="shared" si="19"/>
        <v>0.46904157598234297</v>
      </c>
      <c r="AI26" s="177">
        <f t="shared" si="20"/>
        <v>0.46904157598234297</v>
      </c>
      <c r="AJ26" s="177">
        <f t="shared" si="21"/>
        <v>1.4363270933202541</v>
      </c>
      <c r="AL26" s="555">
        <f t="shared" si="22"/>
        <v>21</v>
      </c>
      <c r="AM26" s="469">
        <f t="shared" si="23"/>
        <v>350</v>
      </c>
      <c r="AO26">
        <f t="shared" si="53"/>
        <v>21</v>
      </c>
      <c r="AP26" s="469">
        <f t="shared" si="24"/>
        <v>350</v>
      </c>
      <c r="AQ26" s="469"/>
      <c r="AR26" s="5">
        <f t="shared" si="54"/>
        <v>2.8571428571428572</v>
      </c>
      <c r="AS26" s="5">
        <f t="shared" si="25"/>
        <v>0.58630196997792872</v>
      </c>
      <c r="AT26" s="5">
        <f t="shared" si="55"/>
        <v>2.2708408871649284</v>
      </c>
      <c r="AU26" s="177">
        <f t="shared" si="56"/>
        <v>0.20520568949227505</v>
      </c>
      <c r="AW26" s="5">
        <f t="shared" si="26"/>
        <v>0.10724833101420155</v>
      </c>
      <c r="AX26" s="5">
        <f t="shared" si="27"/>
        <v>0.1339447709658943</v>
      </c>
      <c r="AY26" s="5">
        <f t="shared" si="28"/>
        <v>2.7494601245163159</v>
      </c>
      <c r="AZ26" s="5">
        <f t="shared" si="29"/>
        <v>0.41638500679348001</v>
      </c>
      <c r="BA26" s="5">
        <f t="shared" si="30"/>
        <v>0.10118909045815942</v>
      </c>
      <c r="BB26" s="469">
        <f t="shared" si="31"/>
        <v>12.303107521645797</v>
      </c>
      <c r="BC26" s="5"/>
      <c r="BD26" s="177">
        <f t="shared" si="57"/>
        <v>0.12267199040299911</v>
      </c>
      <c r="BE26" s="177">
        <f t="shared" si="32"/>
        <v>3008.2803721388782</v>
      </c>
      <c r="BF26" s="177">
        <f t="shared" si="33"/>
        <v>14853.536825289128</v>
      </c>
      <c r="BG26" s="177"/>
      <c r="BH26" s="538">
        <f t="shared" si="34"/>
        <v>5.2669460303017271E-3</v>
      </c>
      <c r="BI26" s="538">
        <f t="shared" si="35"/>
        <v>570.80883019649161</v>
      </c>
      <c r="BJ26" s="538">
        <f t="shared" si="36"/>
        <v>4.3749999999999995E-3</v>
      </c>
      <c r="BK26" s="538">
        <f t="shared" si="37"/>
        <v>8462927.8085788898</v>
      </c>
      <c r="BL26">
        <f t="shared" si="38"/>
        <v>6.96E-3</v>
      </c>
      <c r="BM26">
        <f t="shared" si="39"/>
        <v>1.6625000000000001E-5</v>
      </c>
      <c r="BN26">
        <f t="shared" si="40"/>
        <v>8471731.0524573326</v>
      </c>
      <c r="BO26" s="469">
        <f t="shared" si="58"/>
        <v>8471731052.4573326</v>
      </c>
      <c r="BP26" s="177">
        <f t="shared" si="41"/>
        <v>6914009.6152270613</v>
      </c>
      <c r="BQ26" s="177">
        <f t="shared" si="42"/>
        <v>168559452.98233068</v>
      </c>
      <c r="BR26" s="538"/>
      <c r="BT26" s="469">
        <f t="shared" si="59"/>
        <v>175473462597.55774</v>
      </c>
      <c r="BU26" s="538">
        <f t="shared" si="43"/>
        <v>1.5048417229433508E-3</v>
      </c>
      <c r="BV26" s="538">
        <f t="shared" si="60"/>
        <v>271492.52392188081</v>
      </c>
      <c r="BW26" s="538">
        <f t="shared" si="44"/>
        <v>11031377.811011011</v>
      </c>
      <c r="BX26" s="538">
        <f t="shared" si="45"/>
        <v>0</v>
      </c>
      <c r="BY26" s="538">
        <f t="shared" si="46"/>
        <v>-14.000015482809969</v>
      </c>
      <c r="BZ26" s="538">
        <f t="shared" si="61"/>
        <v>11302870.336437734</v>
      </c>
      <c r="CA26" s="641">
        <f t="shared" si="47"/>
        <v>3.8500000000000014E-3</v>
      </c>
      <c r="CB26" s="469">
        <f t="shared" si="62"/>
        <v>-13996.165482809969</v>
      </c>
      <c r="CC26" s="177">
        <f t="shared" si="63"/>
        <v>183945179.6538496</v>
      </c>
      <c r="CD26" s="5">
        <f t="shared" si="64"/>
        <v>1.155</v>
      </c>
      <c r="CE26" s="177">
        <f t="shared" si="65"/>
        <v>6.2790446312384879E-9</v>
      </c>
      <c r="CF26" s="5">
        <f t="shared" si="66"/>
        <v>6.2790446312384876E-7</v>
      </c>
      <c r="CG26">
        <f t="shared" si="67"/>
        <v>21</v>
      </c>
      <c r="CI26" s="571">
        <f t="shared" si="48"/>
        <v>-50</v>
      </c>
      <c r="CJ26">
        <f t="shared" si="49"/>
        <v>-50</v>
      </c>
    </row>
    <row r="27" spans="5:88" x14ac:dyDescent="0.25">
      <c r="E27" s="174">
        <v>22</v>
      </c>
      <c r="F27" s="221">
        <f t="shared" si="68"/>
        <v>2.2000000000000002E-2</v>
      </c>
      <c r="G27" s="221">
        <f t="shared" si="50"/>
        <v>0.11</v>
      </c>
      <c r="H27" s="221">
        <f t="shared" si="0"/>
        <v>0.33</v>
      </c>
      <c r="I27" s="221">
        <f t="shared" si="69"/>
        <v>0.88</v>
      </c>
      <c r="J27" s="551">
        <f t="shared" si="1"/>
        <v>24</v>
      </c>
      <c r="K27" s="451">
        <f t="shared" si="2"/>
        <v>695386.58000000007</v>
      </c>
      <c r="L27" s="451">
        <f t="shared" si="3"/>
        <v>695410.58000000007</v>
      </c>
      <c r="M27" s="451"/>
      <c r="N27" s="221">
        <f t="shared" si="4"/>
        <v>0.99996548801428931</v>
      </c>
      <c r="O27" s="176">
        <f t="shared" si="51"/>
        <v>2.2090146689770211</v>
      </c>
      <c r="P27" s="176">
        <f t="shared" si="5"/>
        <v>5.8907057839387225</v>
      </c>
      <c r="Q27" s="221">
        <f t="shared" si="6"/>
        <v>0.14726764459846808</v>
      </c>
      <c r="R27" s="221">
        <f t="shared" si="7"/>
        <v>0.27612683362212764</v>
      </c>
      <c r="S27" s="451">
        <f t="shared" si="8"/>
        <v>15</v>
      </c>
      <c r="T27" s="221">
        <f t="shared" si="9"/>
        <v>0.11204090379110768</v>
      </c>
      <c r="U27" s="221">
        <f t="shared" si="10"/>
        <v>0.14005112973888462</v>
      </c>
      <c r="V27" s="221">
        <f t="shared" si="11"/>
        <v>4.8336094057685586E-6</v>
      </c>
      <c r="W27" s="201">
        <f t="shared" si="12"/>
        <v>350</v>
      </c>
      <c r="X27" s="451">
        <f t="shared" si="52"/>
        <v>350</v>
      </c>
      <c r="Z27" s="221">
        <f t="shared" si="13"/>
        <v>2.2856354011755182</v>
      </c>
      <c r="AA27" s="177">
        <f t="shared" si="14"/>
        <v>9.8605673459021225E-5</v>
      </c>
      <c r="AB27" s="177">
        <f t="shared" si="15"/>
        <v>0.4914588143407696</v>
      </c>
      <c r="AC27" s="177"/>
      <c r="AD27" s="177">
        <f t="shared" si="16"/>
        <v>6.4712206554230591E-6</v>
      </c>
      <c r="AE27" s="555">
        <f t="shared" si="17"/>
        <v>3637.7679012345689</v>
      </c>
      <c r="AF27" s="538">
        <f t="shared" si="18"/>
        <v>2.1166825946720815E-3</v>
      </c>
      <c r="AH27" s="177">
        <f t="shared" si="19"/>
        <v>0.48007935851918326</v>
      </c>
      <c r="AI27" s="177">
        <f t="shared" si="20"/>
        <v>0.48007935851918326</v>
      </c>
      <c r="AJ27" s="177">
        <f t="shared" si="21"/>
        <v>1.4445032285327284</v>
      </c>
      <c r="AL27" s="555">
        <f t="shared" si="22"/>
        <v>22.000000000000004</v>
      </c>
      <c r="AM27" s="469">
        <f t="shared" si="23"/>
        <v>350</v>
      </c>
      <c r="AO27">
        <f t="shared" si="53"/>
        <v>22.000000000000004</v>
      </c>
      <c r="AP27" s="469">
        <f t="shared" si="24"/>
        <v>350</v>
      </c>
      <c r="AQ27" s="469"/>
      <c r="AR27" s="5">
        <f t="shared" si="54"/>
        <v>2.8571428571428572</v>
      </c>
      <c r="AS27" s="5">
        <f t="shared" si="25"/>
        <v>0.60009919814897905</v>
      </c>
      <c r="AT27" s="5">
        <f t="shared" si="55"/>
        <v>2.257043658993878</v>
      </c>
      <c r="AU27" s="177">
        <f t="shared" si="56"/>
        <v>0.21003471935214266</v>
      </c>
      <c r="AW27" s="5">
        <f t="shared" si="26"/>
        <v>0.10724833101420155</v>
      </c>
      <c r="AX27" s="5">
        <f t="shared" si="27"/>
        <v>0.14386228831631032</v>
      </c>
      <c r="AY27" s="5">
        <f t="shared" si="28"/>
        <v>2.7494601245163159</v>
      </c>
      <c r="AZ27" s="5">
        <f t="shared" si="29"/>
        <v>0.44650871493887606</v>
      </c>
      <c r="BA27" s="5">
        <f t="shared" si="30"/>
        <v>0.10536353500704444</v>
      </c>
      <c r="BB27" s="469">
        <f t="shared" si="31"/>
        <v>12.81167975640089</v>
      </c>
      <c r="BC27" s="5"/>
      <c r="BD27" s="177">
        <f t="shared" si="57"/>
        <v>0.12702755866873622</v>
      </c>
      <c r="BE27" s="177">
        <f t="shared" si="32"/>
        <v>3069.7049215778557</v>
      </c>
      <c r="BF27" s="177">
        <f t="shared" si="33"/>
        <v>15156.823651716129</v>
      </c>
      <c r="BG27" s="177"/>
      <c r="BH27" s="538">
        <f t="shared" si="34"/>
        <v>5.647600231468727E-3</v>
      </c>
      <c r="BI27" s="538">
        <f t="shared" si="35"/>
        <v>584.24146401924315</v>
      </c>
      <c r="BJ27" s="538">
        <f t="shared" si="36"/>
        <v>4.3749999999999995E-3</v>
      </c>
      <c r="BK27" s="538">
        <f t="shared" si="37"/>
        <v>8462927.8085788898</v>
      </c>
      <c r="BL27">
        <f t="shared" si="38"/>
        <v>6.96E-3</v>
      </c>
      <c r="BM27">
        <f t="shared" si="39"/>
        <v>1.6625000000000001E-5</v>
      </c>
      <c r="BN27">
        <f t="shared" si="40"/>
        <v>8472340.0957384855</v>
      </c>
      <c r="BO27" s="469">
        <f t="shared" si="58"/>
        <v>8472340095.7384853</v>
      </c>
      <c r="BP27" s="177">
        <f t="shared" si="41"/>
        <v>7199239.4717503106</v>
      </c>
      <c r="BQ27" s="177">
        <f t="shared" si="42"/>
        <v>175513187.68336013</v>
      </c>
      <c r="BR27" s="538"/>
      <c r="BT27" s="469">
        <f t="shared" si="59"/>
        <v>182712427155.11044</v>
      </c>
      <c r="BU27" s="538">
        <f t="shared" si="43"/>
        <v>1.6136000661339221E-3</v>
      </c>
      <c r="BV27" s="538">
        <f t="shared" si="60"/>
        <v>282692.64916677924</v>
      </c>
      <c r="BW27" s="538">
        <f t="shared" si="44"/>
        <v>11486465.160461074</v>
      </c>
      <c r="BX27" s="538">
        <f t="shared" si="45"/>
        <v>0</v>
      </c>
      <c r="BY27" s="538">
        <f t="shared" si="46"/>
        <v>-14.000014869389014</v>
      </c>
      <c r="BZ27" s="538">
        <f t="shared" si="61"/>
        <v>11769157.811241454</v>
      </c>
      <c r="CA27" s="641">
        <f t="shared" si="47"/>
        <v>4.0333333333333341E-3</v>
      </c>
      <c r="CB27" s="469">
        <f t="shared" si="62"/>
        <v>-13995.98153605568</v>
      </c>
      <c r="CC27" s="177">
        <f t="shared" si="63"/>
        <v>191184753.25486737</v>
      </c>
      <c r="CD27" s="5">
        <f t="shared" si="64"/>
        <v>1.21</v>
      </c>
      <c r="CE27" s="177">
        <f t="shared" si="65"/>
        <v>6.3289565289179622E-9</v>
      </c>
      <c r="CF27" s="5">
        <f t="shared" si="66"/>
        <v>6.3289565289179622E-7</v>
      </c>
      <c r="CG27">
        <f t="shared" si="67"/>
        <v>22</v>
      </c>
      <c r="CI27" s="571">
        <f t="shared" si="48"/>
        <v>-50</v>
      </c>
      <c r="CJ27">
        <f t="shared" si="49"/>
        <v>-50</v>
      </c>
    </row>
    <row r="28" spans="5:88" x14ac:dyDescent="0.25">
      <c r="E28" s="174">
        <v>23</v>
      </c>
      <c r="F28" s="221">
        <f t="shared" si="68"/>
        <v>2.3000000000000003E-2</v>
      </c>
      <c r="G28" s="221">
        <f t="shared" si="50"/>
        <v>0.115</v>
      </c>
      <c r="H28" s="221">
        <f t="shared" si="0"/>
        <v>0.34500000000000003</v>
      </c>
      <c r="I28" s="221">
        <f t="shared" si="69"/>
        <v>0.92</v>
      </c>
      <c r="J28" s="551">
        <f t="shared" si="1"/>
        <v>24</v>
      </c>
      <c r="K28" s="451">
        <f t="shared" si="2"/>
        <v>695386.58000000007</v>
      </c>
      <c r="L28" s="451">
        <f t="shared" si="3"/>
        <v>695410.58000000007</v>
      </c>
      <c r="M28" s="451"/>
      <c r="N28" s="221">
        <f t="shared" si="4"/>
        <v>0.99996548801428931</v>
      </c>
      <c r="O28" s="176">
        <f t="shared" si="51"/>
        <v>2.2090146689770211</v>
      </c>
      <c r="P28" s="176">
        <f t="shared" si="5"/>
        <v>5.8907057839387225</v>
      </c>
      <c r="Q28" s="221">
        <f t="shared" si="6"/>
        <v>0.14726764459846808</v>
      </c>
      <c r="R28" s="221">
        <f t="shared" si="7"/>
        <v>0.27612683362212764</v>
      </c>
      <c r="S28" s="451">
        <f t="shared" si="8"/>
        <v>15</v>
      </c>
      <c r="T28" s="221">
        <f t="shared" si="9"/>
        <v>0.11713367214524896</v>
      </c>
      <c r="U28" s="221">
        <f t="shared" si="10"/>
        <v>0.14641709018156121</v>
      </c>
      <c r="V28" s="221">
        <f t="shared" si="11"/>
        <v>5.0533189242125849E-6</v>
      </c>
      <c r="W28" s="201">
        <f t="shared" si="12"/>
        <v>350</v>
      </c>
      <c r="X28" s="451">
        <f t="shared" si="52"/>
        <v>350</v>
      </c>
      <c r="Z28" s="221">
        <f t="shared" si="13"/>
        <v>2.2856354011755182</v>
      </c>
      <c r="AA28" s="177">
        <f t="shared" si="14"/>
        <v>9.8605673459021225E-5</v>
      </c>
      <c r="AB28" s="177">
        <f t="shared" si="15"/>
        <v>0.4914588143407696</v>
      </c>
      <c r="AC28" s="177"/>
      <c r="AD28" s="177">
        <f t="shared" si="16"/>
        <v>6.4712206554230591E-6</v>
      </c>
      <c r="AE28" s="555">
        <f t="shared" si="17"/>
        <v>3803.1209876543221</v>
      </c>
      <c r="AF28" s="538">
        <f t="shared" si="18"/>
        <v>2.1166825946720815E-3</v>
      </c>
      <c r="AH28" s="177">
        <f t="shared" si="19"/>
        <v>0.49086900589911048</v>
      </c>
      <c r="AI28" s="177">
        <f t="shared" si="20"/>
        <v>0.49086900589911048</v>
      </c>
      <c r="AJ28" s="177">
        <f t="shared" si="21"/>
        <v>1.4524955599252669</v>
      </c>
      <c r="AL28" s="555">
        <f t="shared" si="22"/>
        <v>23.000000000000004</v>
      </c>
      <c r="AM28" s="469">
        <f t="shared" si="23"/>
        <v>350</v>
      </c>
      <c r="AO28">
        <f t="shared" si="53"/>
        <v>23.000000000000004</v>
      </c>
      <c r="AP28" s="469">
        <f t="shared" si="24"/>
        <v>350</v>
      </c>
      <c r="AQ28" s="469"/>
      <c r="AR28" s="5">
        <f t="shared" si="54"/>
        <v>2.8571428571428572</v>
      </c>
      <c r="AS28" s="5">
        <f t="shared" si="25"/>
        <v>0.61358625737388817</v>
      </c>
      <c r="AT28" s="5">
        <f t="shared" si="55"/>
        <v>2.243556599768969</v>
      </c>
      <c r="AU28" s="177">
        <f t="shared" si="56"/>
        <v>0.21475519008086086</v>
      </c>
      <c r="AW28" s="5">
        <f t="shared" si="26"/>
        <v>0.10724833101420155</v>
      </c>
      <c r="AX28" s="5">
        <f t="shared" si="27"/>
        <v>0.15410155065976894</v>
      </c>
      <c r="AY28" s="5">
        <f t="shared" si="28"/>
        <v>2.7494601245163159</v>
      </c>
      <c r="AZ28" s="5">
        <f t="shared" si="29"/>
        <v>0.47756840950963941</v>
      </c>
      <c r="BA28" s="5">
        <f t="shared" si="30"/>
        <v>0.10949456399335439</v>
      </c>
      <c r="BB28" s="469">
        <f t="shared" si="31"/>
        <v>13.315042123646974</v>
      </c>
      <c r="BC28" s="5"/>
      <c r="BD28" s="177">
        <f t="shared" si="57"/>
        <v>0.1313338930257083</v>
      </c>
      <c r="BE28" s="177">
        <f t="shared" si="32"/>
        <v>3129.3039136302564</v>
      </c>
      <c r="BF28" s="177">
        <f t="shared" si="33"/>
        <v>15451.096696010547</v>
      </c>
      <c r="BG28" s="177"/>
      <c r="BH28" s="538">
        <f t="shared" si="34"/>
        <v>6.037007010050866E-3</v>
      </c>
      <c r="BI28" s="538">
        <f t="shared" si="35"/>
        <v>597.37212516856687</v>
      </c>
      <c r="BJ28" s="538">
        <f t="shared" si="36"/>
        <v>4.3749999999999995E-3</v>
      </c>
      <c r="BK28" s="538">
        <f t="shared" si="37"/>
        <v>8462927.8085788898</v>
      </c>
      <c r="BL28">
        <f t="shared" si="38"/>
        <v>6.96E-3</v>
      </c>
      <c r="BM28">
        <f t="shared" si="39"/>
        <v>1.6625000000000001E-5</v>
      </c>
      <c r="BN28">
        <f t="shared" si="40"/>
        <v>8472962.6201660801</v>
      </c>
      <c r="BO28" s="469">
        <f t="shared" si="58"/>
        <v>8472962620.1660805</v>
      </c>
      <c r="BP28" s="177">
        <f t="shared" si="41"/>
        <v>7481502.8462597905</v>
      </c>
      <c r="BQ28" s="177">
        <f t="shared" si="42"/>
        <v>182394601.31258103</v>
      </c>
      <c r="BR28" s="538"/>
      <c r="BT28" s="469">
        <f t="shared" si="59"/>
        <v>189876104158.84082</v>
      </c>
      <c r="BU28" s="538">
        <f t="shared" si="43"/>
        <v>1.7248591457288192E-3</v>
      </c>
      <c r="BV28" s="538">
        <f t="shared" si="60"/>
        <v>293776.28951584914</v>
      </c>
      <c r="BW28" s="538">
        <f t="shared" si="44"/>
        <v>11936819.455473403</v>
      </c>
      <c r="BX28" s="538">
        <f t="shared" si="45"/>
        <v>0</v>
      </c>
      <c r="BY28" s="538">
        <f t="shared" si="46"/>
        <v>-14.000014308393679</v>
      </c>
      <c r="BZ28" s="538">
        <f t="shared" si="61"/>
        <v>12230595.746714111</v>
      </c>
      <c r="CA28" s="641">
        <f t="shared" si="47"/>
        <v>4.2166666666666672E-3</v>
      </c>
      <c r="CB28" s="469">
        <f t="shared" si="62"/>
        <v>-13995.797641727013</v>
      </c>
      <c r="CC28" s="177">
        <f t="shared" si="63"/>
        <v>198349052.78320926</v>
      </c>
      <c r="CD28" s="5">
        <f t="shared" si="64"/>
        <v>1.2650000000000001</v>
      </c>
      <c r="CE28" s="177">
        <f t="shared" si="65"/>
        <v>6.3776457420993727E-9</v>
      </c>
      <c r="CF28" s="5">
        <f t="shared" si="66"/>
        <v>6.3776457420993731E-7</v>
      </c>
      <c r="CG28">
        <f t="shared" si="67"/>
        <v>23</v>
      </c>
      <c r="CI28" s="571">
        <f t="shared" si="48"/>
        <v>-50</v>
      </c>
      <c r="CJ28">
        <f t="shared" si="49"/>
        <v>-50</v>
      </c>
    </row>
    <row r="29" spans="5:88" x14ac:dyDescent="0.25">
      <c r="E29" s="174">
        <v>24</v>
      </c>
      <c r="F29" s="221">
        <f t="shared" si="68"/>
        <v>2.4E-2</v>
      </c>
      <c r="G29" s="221">
        <f t="shared" si="50"/>
        <v>0.12</v>
      </c>
      <c r="H29" s="221">
        <f t="shared" si="0"/>
        <v>0.36</v>
      </c>
      <c r="I29" s="221">
        <f t="shared" si="69"/>
        <v>0.96</v>
      </c>
      <c r="J29" s="551">
        <f t="shared" si="1"/>
        <v>24</v>
      </c>
      <c r="K29" s="451">
        <f t="shared" si="2"/>
        <v>695386.58000000007</v>
      </c>
      <c r="L29" s="451">
        <f t="shared" si="3"/>
        <v>695410.58000000007</v>
      </c>
      <c r="M29" s="451"/>
      <c r="N29" s="221">
        <f t="shared" si="4"/>
        <v>0.99996548801428931</v>
      </c>
      <c r="O29" s="176">
        <f t="shared" si="51"/>
        <v>2.2090146689770211</v>
      </c>
      <c r="P29" s="176">
        <f t="shared" si="5"/>
        <v>5.8907057839387225</v>
      </c>
      <c r="Q29" s="221">
        <f t="shared" si="6"/>
        <v>0.14726764459846808</v>
      </c>
      <c r="R29" s="221">
        <f t="shared" si="7"/>
        <v>0.27612683362212764</v>
      </c>
      <c r="S29" s="451">
        <f t="shared" si="8"/>
        <v>15</v>
      </c>
      <c r="T29" s="221">
        <f t="shared" si="9"/>
        <v>0.12222644049939019</v>
      </c>
      <c r="U29" s="221">
        <f t="shared" si="10"/>
        <v>0.15278305062423772</v>
      </c>
      <c r="V29" s="221">
        <f t="shared" si="11"/>
        <v>5.2730284426566087E-6</v>
      </c>
      <c r="W29" s="201">
        <f t="shared" si="12"/>
        <v>350</v>
      </c>
      <c r="X29" s="451">
        <f t="shared" si="52"/>
        <v>350</v>
      </c>
      <c r="Z29" s="221">
        <f t="shared" si="13"/>
        <v>2.2856354011755182</v>
      </c>
      <c r="AA29" s="177">
        <f t="shared" si="14"/>
        <v>9.8605673459021225E-5</v>
      </c>
      <c r="AB29" s="177">
        <f t="shared" si="15"/>
        <v>0.4914588143407696</v>
      </c>
      <c r="AC29" s="177"/>
      <c r="AD29" s="177">
        <f t="shared" si="16"/>
        <v>6.4712206554230591E-6</v>
      </c>
      <c r="AE29" s="555">
        <f t="shared" si="17"/>
        <v>3968.4740740740758</v>
      </c>
      <c r="AF29" s="538">
        <f t="shared" si="18"/>
        <v>2.1166825946720815E-3</v>
      </c>
      <c r="AH29" s="177">
        <f t="shared" si="19"/>
        <v>0.50142653642240698</v>
      </c>
      <c r="AI29" s="177">
        <f t="shared" si="20"/>
        <v>0.50142653642240698</v>
      </c>
      <c r="AJ29" s="177">
        <f t="shared" si="21"/>
        <v>1.4603159529054865</v>
      </c>
      <c r="AL29" s="555">
        <f t="shared" si="22"/>
        <v>24</v>
      </c>
      <c r="AM29" s="469">
        <f t="shared" si="23"/>
        <v>350</v>
      </c>
      <c r="AO29">
        <f t="shared" si="53"/>
        <v>24</v>
      </c>
      <c r="AP29" s="469">
        <f t="shared" si="24"/>
        <v>350</v>
      </c>
      <c r="AQ29" s="469"/>
      <c r="AR29" s="5">
        <f t="shared" si="54"/>
        <v>2.8571428571428572</v>
      </c>
      <c r="AS29" s="5">
        <f t="shared" si="25"/>
        <v>0.62678317052800869</v>
      </c>
      <c r="AT29" s="5">
        <f t="shared" si="55"/>
        <v>2.2303596866148485</v>
      </c>
      <c r="AU29" s="177">
        <f t="shared" si="56"/>
        <v>0.21937410968480303</v>
      </c>
      <c r="AW29" s="5">
        <f t="shared" si="26"/>
        <v>0.10724833101420155</v>
      </c>
      <c r="AX29" s="5">
        <f t="shared" si="27"/>
        <v>0.16466255799627011</v>
      </c>
      <c r="AY29" s="5">
        <f t="shared" si="28"/>
        <v>2.7494601245163159</v>
      </c>
      <c r="AZ29" s="5">
        <f t="shared" si="29"/>
        <v>0.5095640905057699</v>
      </c>
      <c r="BA29" s="5">
        <f t="shared" si="30"/>
        <v>0.11358313218871911</v>
      </c>
      <c r="BB29" s="469">
        <f t="shared" si="31"/>
        <v>13.813309195979629</v>
      </c>
      <c r="BC29" s="5"/>
      <c r="BD29" s="177">
        <f t="shared" si="57"/>
        <v>0.13559365644756982</v>
      </c>
      <c r="BE29" s="177">
        <f t="shared" si="32"/>
        <v>3187.1931572156977</v>
      </c>
      <c r="BF29" s="177">
        <f t="shared" si="33"/>
        <v>15736.927770583272</v>
      </c>
      <c r="BG29" s="177"/>
      <c r="BH29" s="538">
        <f t="shared" si="34"/>
        <v>6.4349738840875576E-3</v>
      </c>
      <c r="BI29" s="538">
        <f t="shared" si="35"/>
        <v>610.22030741157016</v>
      </c>
      <c r="BJ29" s="538">
        <f t="shared" si="36"/>
        <v>4.3749999999999995E-3</v>
      </c>
      <c r="BK29" s="538">
        <f t="shared" si="37"/>
        <v>8462927.8085788898</v>
      </c>
      <c r="BL29">
        <f t="shared" si="38"/>
        <v>6.96E-3</v>
      </c>
      <c r="BM29">
        <f t="shared" si="39"/>
        <v>1.6625000000000001E-5</v>
      </c>
      <c r="BN29">
        <f t="shared" si="40"/>
        <v>8473598.3499054685</v>
      </c>
      <c r="BO29" s="469">
        <f t="shared" si="58"/>
        <v>8473598349.9054689</v>
      </c>
      <c r="BP29" s="177">
        <f t="shared" si="41"/>
        <v>7760864.9760275595</v>
      </c>
      <c r="BQ29" s="177">
        <f t="shared" si="42"/>
        <v>189205284.315988</v>
      </c>
      <c r="BR29" s="538"/>
      <c r="BT29" s="469">
        <f t="shared" si="59"/>
        <v>196966149292.01556</v>
      </c>
      <c r="BU29" s="538">
        <f t="shared" si="43"/>
        <v>1.8385639668821595E-3</v>
      </c>
      <c r="BV29" s="538">
        <f t="shared" si="60"/>
        <v>304746.006642077</v>
      </c>
      <c r="BW29" s="538">
        <f t="shared" si="44"/>
        <v>12382544.78282775</v>
      </c>
      <c r="BX29" s="538">
        <f t="shared" si="45"/>
        <v>0</v>
      </c>
      <c r="BY29" s="538">
        <f t="shared" si="46"/>
        <v>-14.000013793344481</v>
      </c>
      <c r="BZ29" s="538">
        <f t="shared" si="61"/>
        <v>12687290.79130839</v>
      </c>
      <c r="CA29" s="641">
        <f t="shared" si="47"/>
        <v>4.4000000000000003E-3</v>
      </c>
      <c r="CB29" s="469">
        <f t="shared" si="62"/>
        <v>-13995.613793344481</v>
      </c>
      <c r="CC29" s="177">
        <f t="shared" si="63"/>
        <v>205439733.64630726</v>
      </c>
      <c r="CD29" s="5">
        <f t="shared" si="64"/>
        <v>1.3199999999999998</v>
      </c>
      <c r="CE29" s="177">
        <f t="shared" si="65"/>
        <v>6.4252419339252162E-9</v>
      </c>
      <c r="CF29" s="5">
        <f t="shared" si="66"/>
        <v>6.4252419339252161E-7</v>
      </c>
      <c r="CG29">
        <f t="shared" si="67"/>
        <v>24</v>
      </c>
      <c r="CI29" s="571">
        <f t="shared" si="48"/>
        <v>-50</v>
      </c>
      <c r="CJ29">
        <f t="shared" si="49"/>
        <v>-50</v>
      </c>
    </row>
    <row r="30" spans="5:88" x14ac:dyDescent="0.25">
      <c r="E30" s="174">
        <v>25</v>
      </c>
      <c r="F30" s="221">
        <f t="shared" si="68"/>
        <v>2.5000000000000001E-2</v>
      </c>
      <c r="G30" s="221">
        <f t="shared" si="50"/>
        <v>0.125</v>
      </c>
      <c r="H30" s="221">
        <f t="shared" si="0"/>
        <v>0.375</v>
      </c>
      <c r="I30" s="221">
        <f t="shared" si="69"/>
        <v>1</v>
      </c>
      <c r="J30" s="551">
        <f t="shared" si="1"/>
        <v>24</v>
      </c>
      <c r="K30" s="451">
        <f t="shared" si="2"/>
        <v>695386.58000000007</v>
      </c>
      <c r="L30" s="451">
        <f t="shared" si="3"/>
        <v>695410.58000000007</v>
      </c>
      <c r="M30" s="451"/>
      <c r="N30" s="221">
        <f t="shared" si="4"/>
        <v>0.99996548801428931</v>
      </c>
      <c r="O30" s="176">
        <f t="shared" si="51"/>
        <v>2.2090146689770211</v>
      </c>
      <c r="P30" s="176">
        <f t="shared" si="5"/>
        <v>5.8907057839387225</v>
      </c>
      <c r="Q30" s="221">
        <f t="shared" si="6"/>
        <v>0.14726764459846808</v>
      </c>
      <c r="R30" s="221">
        <f t="shared" si="7"/>
        <v>0.27612683362212764</v>
      </c>
      <c r="S30" s="451">
        <f t="shared" si="8"/>
        <v>15</v>
      </c>
      <c r="T30" s="221">
        <f t="shared" si="9"/>
        <v>0.12731920885353146</v>
      </c>
      <c r="U30" s="221">
        <f t="shared" si="10"/>
        <v>0.15914901106691434</v>
      </c>
      <c r="V30" s="221">
        <f t="shared" si="11"/>
        <v>5.492737961100635E-6</v>
      </c>
      <c r="W30" s="201">
        <f t="shared" si="12"/>
        <v>350</v>
      </c>
      <c r="X30" s="451">
        <f t="shared" si="52"/>
        <v>350</v>
      </c>
      <c r="Z30" s="221">
        <f t="shared" si="13"/>
        <v>2.2856354011755182</v>
      </c>
      <c r="AA30" s="177">
        <f t="shared" si="14"/>
        <v>9.8605673459021225E-5</v>
      </c>
      <c r="AB30" s="177">
        <f t="shared" si="15"/>
        <v>0.4914588143407696</v>
      </c>
      <c r="AC30" s="177"/>
      <c r="AD30" s="177">
        <f t="shared" si="16"/>
        <v>6.4712206554230591E-6</v>
      </c>
      <c r="AE30" s="555">
        <f t="shared" si="17"/>
        <v>4133.8271604938282</v>
      </c>
      <c r="AF30" s="538">
        <f t="shared" si="18"/>
        <v>2.1166825946720815E-3</v>
      </c>
      <c r="AH30" s="177">
        <f t="shared" si="19"/>
        <v>0.51176631571915898</v>
      </c>
      <c r="AI30" s="177">
        <f t="shared" si="20"/>
        <v>0.51176631571915898</v>
      </c>
      <c r="AJ30" s="177">
        <f t="shared" si="21"/>
        <v>1.4679750486808585</v>
      </c>
      <c r="AL30" s="555">
        <f t="shared" si="22"/>
        <v>25</v>
      </c>
      <c r="AM30" s="469">
        <f t="shared" si="23"/>
        <v>350</v>
      </c>
      <c r="AO30">
        <f t="shared" si="53"/>
        <v>25</v>
      </c>
      <c r="AP30" s="469">
        <f t="shared" si="24"/>
        <v>350</v>
      </c>
      <c r="AQ30" s="469"/>
      <c r="AR30" s="5">
        <f t="shared" si="54"/>
        <v>2.8571428571428572</v>
      </c>
      <c r="AS30" s="5">
        <f t="shared" si="25"/>
        <v>0.63970789464894873</v>
      </c>
      <c r="AT30" s="5">
        <f t="shared" si="55"/>
        <v>2.2174349624939085</v>
      </c>
      <c r="AU30" s="177">
        <f t="shared" si="56"/>
        <v>0.22389776312713205</v>
      </c>
      <c r="AW30" s="5">
        <f t="shared" si="26"/>
        <v>0.10724833101420155</v>
      </c>
      <c r="AX30" s="5">
        <f t="shared" si="27"/>
        <v>0.17554531032581394</v>
      </c>
      <c r="AY30" s="5">
        <f t="shared" si="28"/>
        <v>2.7494601245163159</v>
      </c>
      <c r="AZ30" s="5">
        <f t="shared" si="29"/>
        <v>0.54249575792726767</v>
      </c>
      <c r="BA30" s="5">
        <f t="shared" si="30"/>
        <v>0.11763013400575321</v>
      </c>
      <c r="BB30" s="469">
        <f t="shared" si="31"/>
        <v>14.30658830291261</v>
      </c>
      <c r="BC30" s="5"/>
      <c r="BD30" s="177">
        <f t="shared" si="57"/>
        <v>0.13980926333499305</v>
      </c>
      <c r="BE30" s="177">
        <f t="shared" si="32"/>
        <v>3243.4765313055827</v>
      </c>
      <c r="BF30" s="177">
        <f t="shared" si="33"/>
        <v>16014.829783121158</v>
      </c>
      <c r="BG30" s="177"/>
      <c r="BH30" s="538">
        <f t="shared" si="34"/>
        <v>6.8413205399957015E-3</v>
      </c>
      <c r="BI30" s="538">
        <f t="shared" si="35"/>
        <v>622.80349326776616</v>
      </c>
      <c r="BJ30" s="538">
        <f t="shared" si="36"/>
        <v>4.3749999999999995E-3</v>
      </c>
      <c r="BK30" s="538">
        <f t="shared" si="37"/>
        <v>8462927.8085788898</v>
      </c>
      <c r="BL30">
        <f t="shared" si="38"/>
        <v>6.96E-3</v>
      </c>
      <c r="BM30">
        <f t="shared" si="39"/>
        <v>1.6625000000000001E-5</v>
      </c>
      <c r="BN30">
        <f t="shared" si="40"/>
        <v>8474247.0261130985</v>
      </c>
      <c r="BO30" s="469">
        <f t="shared" si="58"/>
        <v>8474247026.1130981</v>
      </c>
      <c r="BP30" s="177">
        <f t="shared" si="41"/>
        <v>8037386.9741378911</v>
      </c>
      <c r="BQ30" s="177">
        <f t="shared" si="42"/>
        <v>195946726.59432361</v>
      </c>
      <c r="BR30" s="538"/>
      <c r="BT30" s="469">
        <f t="shared" si="59"/>
        <v>203984113568.46152</v>
      </c>
      <c r="BU30" s="538">
        <f t="shared" si="43"/>
        <v>1.9546630114273436E-3</v>
      </c>
      <c r="BV30" s="538">
        <f t="shared" si="60"/>
        <v>315604.2002739028</v>
      </c>
      <c r="BW30" s="538">
        <f t="shared" si="44"/>
        <v>12823738.649117224</v>
      </c>
      <c r="BX30" s="538">
        <f t="shared" si="45"/>
        <v>0</v>
      </c>
      <c r="BY30" s="538">
        <f t="shared" si="46"/>
        <v>-14.000013318791394</v>
      </c>
      <c r="BZ30" s="538">
        <f t="shared" si="61"/>
        <v>13139342.851345791</v>
      </c>
      <c r="CA30" s="641">
        <f t="shared" si="47"/>
        <v>4.5833333333333342E-3</v>
      </c>
      <c r="CB30" s="469">
        <f t="shared" si="62"/>
        <v>-13995.429985458062</v>
      </c>
      <c r="CC30" s="177">
        <f t="shared" si="63"/>
        <v>212458346.59914461</v>
      </c>
      <c r="CD30" s="5">
        <f t="shared" si="64"/>
        <v>1.375</v>
      </c>
      <c r="CE30" s="177">
        <f t="shared" si="65"/>
        <v>6.471856780922218E-9</v>
      </c>
      <c r="CF30" s="5">
        <f t="shared" si="66"/>
        <v>6.4718567809222183E-7</v>
      </c>
      <c r="CG30">
        <f t="shared" si="67"/>
        <v>25</v>
      </c>
      <c r="CI30" s="571">
        <f t="shared" si="48"/>
        <v>-50</v>
      </c>
      <c r="CJ30">
        <f t="shared" si="49"/>
        <v>-50</v>
      </c>
    </row>
    <row r="31" spans="5:88" x14ac:dyDescent="0.25">
      <c r="E31" s="174">
        <v>26</v>
      </c>
      <c r="F31" s="221">
        <f t="shared" si="68"/>
        <v>2.6000000000000002E-2</v>
      </c>
      <c r="G31" s="221">
        <f t="shared" si="50"/>
        <v>0.13</v>
      </c>
      <c r="H31" s="221">
        <f t="shared" si="0"/>
        <v>0.39</v>
      </c>
      <c r="I31" s="221">
        <f t="shared" si="69"/>
        <v>1.04</v>
      </c>
      <c r="J31" s="551">
        <f t="shared" si="1"/>
        <v>24</v>
      </c>
      <c r="K31" s="451">
        <f t="shared" si="2"/>
        <v>695386.58000000007</v>
      </c>
      <c r="L31" s="451">
        <f t="shared" si="3"/>
        <v>695410.58000000007</v>
      </c>
      <c r="M31" s="451"/>
      <c r="N31" s="221">
        <f t="shared" si="4"/>
        <v>0.99996548801428931</v>
      </c>
      <c r="O31" s="176">
        <f t="shared" si="51"/>
        <v>2.2090146689770211</v>
      </c>
      <c r="P31" s="176">
        <f t="shared" si="5"/>
        <v>5.8907057839387225</v>
      </c>
      <c r="Q31" s="221">
        <f t="shared" si="6"/>
        <v>0.14726764459846808</v>
      </c>
      <c r="R31" s="221">
        <f t="shared" si="7"/>
        <v>0.27612683362212764</v>
      </c>
      <c r="S31" s="451">
        <f t="shared" si="8"/>
        <v>15</v>
      </c>
      <c r="T31" s="221">
        <f t="shared" si="9"/>
        <v>0.13241197720767273</v>
      </c>
      <c r="U31" s="221">
        <f t="shared" si="10"/>
        <v>0.16551497150959091</v>
      </c>
      <c r="V31" s="221">
        <f t="shared" si="11"/>
        <v>5.7124474795446597E-6</v>
      </c>
      <c r="W31" s="201">
        <f t="shared" si="12"/>
        <v>350</v>
      </c>
      <c r="X31" s="451">
        <f t="shared" si="52"/>
        <v>350</v>
      </c>
      <c r="Z31" s="221">
        <f t="shared" si="13"/>
        <v>2.2856354011755182</v>
      </c>
      <c r="AA31" s="177">
        <f t="shared" si="14"/>
        <v>9.8605673459021225E-5</v>
      </c>
      <c r="AB31" s="177">
        <f t="shared" si="15"/>
        <v>0.4914588143407696</v>
      </c>
      <c r="AC31" s="177"/>
      <c r="AD31" s="177">
        <f t="shared" si="16"/>
        <v>6.4712206554230591E-6</v>
      </c>
      <c r="AE31" s="555">
        <f t="shared" si="17"/>
        <v>4299.1802469135819</v>
      </c>
      <c r="AF31" s="538">
        <f t="shared" si="18"/>
        <v>2.1166825946720815E-3</v>
      </c>
      <c r="AH31" s="177">
        <f t="shared" si="19"/>
        <v>0.52190128605029551</v>
      </c>
      <c r="AI31" s="177">
        <f t="shared" si="20"/>
        <v>0.52190128605029551</v>
      </c>
      <c r="AJ31" s="177">
        <f t="shared" si="21"/>
        <v>1.47548243411133</v>
      </c>
      <c r="AL31" s="555">
        <f t="shared" si="22"/>
        <v>26.000000000000004</v>
      </c>
      <c r="AM31" s="469">
        <f t="shared" si="23"/>
        <v>350</v>
      </c>
      <c r="AO31">
        <f t="shared" si="53"/>
        <v>26.000000000000004</v>
      </c>
      <c r="AP31" s="469">
        <f t="shared" si="24"/>
        <v>350</v>
      </c>
      <c r="AQ31" s="469"/>
      <c r="AR31" s="5">
        <f t="shared" si="54"/>
        <v>2.8571428571428572</v>
      </c>
      <c r="AS31" s="5">
        <f t="shared" si="25"/>
        <v>0.65237660756286941</v>
      </c>
      <c r="AT31" s="5">
        <f t="shared" si="55"/>
        <v>2.204766249579988</v>
      </c>
      <c r="AU31" s="177">
        <f t="shared" si="56"/>
        <v>0.22833181264700428</v>
      </c>
      <c r="AW31" s="5">
        <f t="shared" si="26"/>
        <v>0.10724833101420155</v>
      </c>
      <c r="AX31" s="5">
        <f t="shared" si="27"/>
        <v>0.18674980764840038</v>
      </c>
      <c r="AY31" s="5">
        <f t="shared" si="28"/>
        <v>2.7494601245163159</v>
      </c>
      <c r="AZ31" s="5">
        <f t="shared" si="29"/>
        <v>0.57636341177413275</v>
      </c>
      <c r="BA31" s="5">
        <f t="shared" si="30"/>
        <v>0.12163640960259964</v>
      </c>
      <c r="BB31" s="469">
        <f t="shared" si="31"/>
        <v>14.794980263423069</v>
      </c>
      <c r="BC31" s="5"/>
      <c r="BD31" s="177">
        <f t="shared" si="57"/>
        <v>0.14398291170327612</v>
      </c>
      <c r="BE31" s="177">
        <f t="shared" si="32"/>
        <v>3298.2476386400608</v>
      </c>
      <c r="BF31" s="177">
        <f t="shared" si="33"/>
        <v>16285.26490189837</v>
      </c>
      <c r="BG31" s="177"/>
      <c r="BH31" s="538">
        <f t="shared" si="34"/>
        <v>7.255877601893692E-3</v>
      </c>
      <c r="BI31" s="538">
        <f t="shared" si="35"/>
        <v>635.13743306121842</v>
      </c>
      <c r="BJ31" s="538">
        <f t="shared" si="36"/>
        <v>4.3749999999999995E-3</v>
      </c>
      <c r="BK31" s="538">
        <f t="shared" si="37"/>
        <v>8462927.8085788898</v>
      </c>
      <c r="BL31">
        <f t="shared" si="38"/>
        <v>6.96E-3</v>
      </c>
      <c r="BM31">
        <f t="shared" si="39"/>
        <v>1.6625000000000001E-5</v>
      </c>
      <c r="BN31">
        <f t="shared" si="40"/>
        <v>8474908.4052940328</v>
      </c>
      <c r="BO31" s="469">
        <f t="shared" si="58"/>
        <v>8474908405.2940331</v>
      </c>
      <c r="BP31" s="177">
        <f t="shared" si="41"/>
        <v>8311126.2465961771</v>
      </c>
      <c r="BQ31" s="177">
        <f t="shared" si="42"/>
        <v>202620327.67194718</v>
      </c>
      <c r="BR31" s="538"/>
      <c r="BT31" s="469">
        <f t="shared" si="59"/>
        <v>210931453918.54337</v>
      </c>
      <c r="BU31" s="538">
        <f t="shared" si="43"/>
        <v>2.0731078862553406E-3</v>
      </c>
      <c r="BV31" s="538">
        <f t="shared" si="60"/>
        <v>326353.1245738421</v>
      </c>
      <c r="BW31" s="538">
        <f t="shared" si="44"/>
        <v>13260492.646250147</v>
      </c>
      <c r="BX31" s="538">
        <f t="shared" si="45"/>
        <v>0</v>
      </c>
      <c r="BY31" s="538">
        <f t="shared" si="46"/>
        <v>-14.000012880116836</v>
      </c>
      <c r="BZ31" s="538">
        <f t="shared" si="61"/>
        <v>13586845.772897098</v>
      </c>
      <c r="CA31" s="641">
        <f t="shared" si="47"/>
        <v>4.7666666666666673E-3</v>
      </c>
      <c r="CB31" s="469">
        <f t="shared" si="62"/>
        <v>-13995.246213450169</v>
      </c>
      <c r="CC31" s="177">
        <f t="shared" si="63"/>
        <v>219406348.3285912</v>
      </c>
      <c r="CD31" s="5">
        <f t="shared" si="64"/>
        <v>1.4300000000000002</v>
      </c>
      <c r="CE31" s="177">
        <f t="shared" si="65"/>
        <v>6.5175871234966674E-9</v>
      </c>
      <c r="CF31" s="5">
        <f t="shared" si="66"/>
        <v>6.5175871234966674E-7</v>
      </c>
      <c r="CG31">
        <f t="shared" si="67"/>
        <v>26</v>
      </c>
      <c r="CI31" s="571">
        <f t="shared" si="48"/>
        <v>-50</v>
      </c>
      <c r="CJ31">
        <f t="shared" si="49"/>
        <v>-50</v>
      </c>
    </row>
    <row r="32" spans="5:88" x14ac:dyDescent="0.25">
      <c r="E32" s="174">
        <v>27</v>
      </c>
      <c r="F32" s="221">
        <f t="shared" si="68"/>
        <v>2.7000000000000003E-2</v>
      </c>
      <c r="G32" s="221">
        <f t="shared" si="50"/>
        <v>0.13500000000000001</v>
      </c>
      <c r="H32" s="221">
        <f t="shared" si="0"/>
        <v>0.40500000000000003</v>
      </c>
      <c r="I32" s="221">
        <f t="shared" si="69"/>
        <v>1.08</v>
      </c>
      <c r="J32" s="551">
        <f t="shared" si="1"/>
        <v>24</v>
      </c>
      <c r="K32" s="451">
        <f t="shared" si="2"/>
        <v>695386.58000000007</v>
      </c>
      <c r="L32" s="451">
        <f t="shared" si="3"/>
        <v>695410.58000000007</v>
      </c>
      <c r="M32" s="451"/>
      <c r="N32" s="221">
        <f t="shared" si="4"/>
        <v>0.99996548801428931</v>
      </c>
      <c r="O32" s="176">
        <f t="shared" si="51"/>
        <v>2.2090146689770211</v>
      </c>
      <c r="P32" s="176">
        <f t="shared" si="5"/>
        <v>5.8907057839387225</v>
      </c>
      <c r="Q32" s="221">
        <f t="shared" si="6"/>
        <v>0.14726764459846808</v>
      </c>
      <c r="R32" s="221">
        <f t="shared" si="7"/>
        <v>0.27612683362212764</v>
      </c>
      <c r="S32" s="451">
        <f t="shared" si="8"/>
        <v>15</v>
      </c>
      <c r="T32" s="221">
        <f t="shared" si="9"/>
        <v>0.137504745561814</v>
      </c>
      <c r="U32" s="221">
        <f t="shared" si="10"/>
        <v>0.17188093195226753</v>
      </c>
      <c r="V32" s="221">
        <f t="shared" si="11"/>
        <v>5.9321569979886868E-6</v>
      </c>
      <c r="W32" s="201">
        <f t="shared" si="12"/>
        <v>350</v>
      </c>
      <c r="X32" s="451">
        <f t="shared" si="52"/>
        <v>350</v>
      </c>
      <c r="Z32" s="221">
        <f t="shared" si="13"/>
        <v>2.2856354011755182</v>
      </c>
      <c r="AA32" s="177">
        <f t="shared" si="14"/>
        <v>9.8605673459021225E-5</v>
      </c>
      <c r="AB32" s="177">
        <f t="shared" si="15"/>
        <v>0.4914588143407696</v>
      </c>
      <c r="AC32" s="177"/>
      <c r="AD32" s="177">
        <f t="shared" si="16"/>
        <v>6.4712206554230591E-6</v>
      </c>
      <c r="AE32" s="555">
        <f t="shared" si="17"/>
        <v>4464.5333333333347</v>
      </c>
      <c r="AF32" s="538">
        <f t="shared" si="18"/>
        <v>2.1166825946720815E-3</v>
      </c>
      <c r="AH32" s="177">
        <f t="shared" si="19"/>
        <v>0.53184315625675105</v>
      </c>
      <c r="AI32" s="177">
        <f t="shared" si="20"/>
        <v>0.53184315625675105</v>
      </c>
      <c r="AJ32" s="177">
        <f t="shared" si="21"/>
        <v>1.4828467824124081</v>
      </c>
      <c r="AL32" s="555">
        <f t="shared" si="22"/>
        <v>27.000000000000004</v>
      </c>
      <c r="AM32" s="469">
        <f t="shared" si="23"/>
        <v>350</v>
      </c>
      <c r="AO32">
        <f t="shared" si="53"/>
        <v>27.000000000000004</v>
      </c>
      <c r="AP32" s="469">
        <f t="shared" si="24"/>
        <v>350</v>
      </c>
      <c r="AQ32" s="469"/>
      <c r="AR32" s="5">
        <f t="shared" si="54"/>
        <v>2.8571428571428572</v>
      </c>
      <c r="AS32" s="5">
        <f t="shared" si="25"/>
        <v>0.66480394532093889</v>
      </c>
      <c r="AT32" s="5">
        <f t="shared" si="55"/>
        <v>2.1923389118219183</v>
      </c>
      <c r="AU32" s="177">
        <f t="shared" si="56"/>
        <v>0.23268138086232862</v>
      </c>
      <c r="AW32" s="5">
        <f t="shared" si="26"/>
        <v>0.10724833101420155</v>
      </c>
      <c r="AX32" s="5">
        <f t="shared" si="27"/>
        <v>0.19827604996402939</v>
      </c>
      <c r="AY32" s="5">
        <f t="shared" si="28"/>
        <v>2.7494601245163159</v>
      </c>
      <c r="AZ32" s="5">
        <f t="shared" si="29"/>
        <v>0.61116705204636501</v>
      </c>
      <c r="BA32" s="5">
        <f t="shared" si="30"/>
        <v>0.12560275015646405</v>
      </c>
      <c r="BB32" s="469">
        <f t="shared" si="31"/>
        <v>15.278580018775688</v>
      </c>
      <c r="BC32" s="5"/>
      <c r="BD32" s="177">
        <f t="shared" si="57"/>
        <v>0.14811661012726085</v>
      </c>
      <c r="BE32" s="177">
        <f t="shared" si="32"/>
        <v>3351.5911757825029</v>
      </c>
      <c r="BF32" s="177">
        <f t="shared" si="33"/>
        <v>16548.651320489764</v>
      </c>
      <c r="BG32" s="177"/>
      <c r="BH32" s="538">
        <f t="shared" si="34"/>
        <v>7.6784855684568472E-3</v>
      </c>
      <c r="BI32" s="538">
        <f t="shared" si="35"/>
        <v>647.23637608269132</v>
      </c>
      <c r="BJ32" s="538">
        <f t="shared" si="36"/>
        <v>4.3749999999999995E-3</v>
      </c>
      <c r="BK32" s="538">
        <f t="shared" si="37"/>
        <v>8462927.8085788898</v>
      </c>
      <c r="BL32">
        <f t="shared" si="38"/>
        <v>6.96E-3</v>
      </c>
      <c r="BM32">
        <f t="shared" si="39"/>
        <v>1.6625000000000001E-5</v>
      </c>
      <c r="BN32">
        <f t="shared" si="40"/>
        <v>8475582.2578731533</v>
      </c>
      <c r="BO32" s="469">
        <f t="shared" si="58"/>
        <v>8475582257.8731537</v>
      </c>
      <c r="BP32" s="177">
        <f t="shared" si="41"/>
        <v>8582136.8526570164</v>
      </c>
      <c r="BQ32" s="177">
        <f t="shared" si="42"/>
        <v>209227405.48141819</v>
      </c>
      <c r="BR32" s="538"/>
      <c r="BT32" s="469">
        <f t="shared" si="59"/>
        <v>217809542334.07523</v>
      </c>
      <c r="BU32" s="538">
        <f t="shared" si="43"/>
        <v>2.1938530195590995E-3</v>
      </c>
      <c r="BV32" s="538">
        <f t="shared" si="60"/>
        <v>336994.90228749422</v>
      </c>
      <c r="BW32" s="538">
        <f t="shared" si="44"/>
        <v>13692893.026357381</v>
      </c>
      <c r="BX32" s="538">
        <f t="shared" si="45"/>
        <v>0</v>
      </c>
      <c r="BY32" s="538">
        <f t="shared" si="46"/>
        <v>-14.000012473382311</v>
      </c>
      <c r="BZ32" s="538">
        <f t="shared" si="61"/>
        <v>14029887.930838728</v>
      </c>
      <c r="CA32" s="641">
        <f t="shared" si="47"/>
        <v>4.9500000000000021E-3</v>
      </c>
      <c r="CB32" s="469">
        <f t="shared" si="62"/>
        <v>-13995.062473382312</v>
      </c>
      <c r="CC32" s="177">
        <f t="shared" si="63"/>
        <v>226285110.59688586</v>
      </c>
      <c r="CD32" s="5">
        <f t="shared" si="64"/>
        <v>1.4850000000000001</v>
      </c>
      <c r="CE32" s="177">
        <f t="shared" si="65"/>
        <v>6.5625174645277704E-9</v>
      </c>
      <c r="CF32" s="5">
        <f t="shared" si="66"/>
        <v>6.5625174645277707E-7</v>
      </c>
      <c r="CG32">
        <f t="shared" si="67"/>
        <v>27</v>
      </c>
      <c r="CI32" s="571">
        <f t="shared" si="48"/>
        <v>-50</v>
      </c>
      <c r="CJ32">
        <f t="shared" si="49"/>
        <v>-50</v>
      </c>
    </row>
    <row r="33" spans="5:88" x14ac:dyDescent="0.25">
      <c r="E33" s="174">
        <v>28</v>
      </c>
      <c r="F33" s="221">
        <f t="shared" si="68"/>
        <v>2.8000000000000004E-2</v>
      </c>
      <c r="G33" s="221">
        <f t="shared" si="50"/>
        <v>0.14000000000000001</v>
      </c>
      <c r="H33" s="221">
        <f t="shared" si="0"/>
        <v>0.42000000000000004</v>
      </c>
      <c r="I33" s="221">
        <f t="shared" si="69"/>
        <v>1.1200000000000001</v>
      </c>
      <c r="J33" s="551">
        <f t="shared" si="1"/>
        <v>24</v>
      </c>
      <c r="K33" s="451">
        <f t="shared" si="2"/>
        <v>695386.58000000007</v>
      </c>
      <c r="L33" s="451">
        <f t="shared" si="3"/>
        <v>695410.58000000007</v>
      </c>
      <c r="M33" s="451"/>
      <c r="N33" s="221">
        <f t="shared" si="4"/>
        <v>0.99996548801428931</v>
      </c>
      <c r="O33" s="176">
        <f t="shared" si="51"/>
        <v>2.2090146689770211</v>
      </c>
      <c r="P33" s="176">
        <f t="shared" si="5"/>
        <v>5.8907057839387225</v>
      </c>
      <c r="Q33" s="221">
        <f t="shared" si="6"/>
        <v>0.14726764459846808</v>
      </c>
      <c r="R33" s="221">
        <f t="shared" si="7"/>
        <v>0.27612683362212764</v>
      </c>
      <c r="S33" s="451">
        <f t="shared" si="8"/>
        <v>15</v>
      </c>
      <c r="T33" s="221">
        <f t="shared" si="9"/>
        <v>0.14259751391595524</v>
      </c>
      <c r="U33" s="221">
        <f t="shared" si="10"/>
        <v>0.17824689239494404</v>
      </c>
      <c r="V33" s="221">
        <f t="shared" si="11"/>
        <v>6.1518665164327106E-6</v>
      </c>
      <c r="W33" s="201">
        <f t="shared" si="12"/>
        <v>350</v>
      </c>
      <c r="X33" s="451">
        <f t="shared" si="52"/>
        <v>350</v>
      </c>
      <c r="Z33" s="221">
        <f t="shared" si="13"/>
        <v>2.2856354011755182</v>
      </c>
      <c r="AA33" s="177">
        <f t="shared" si="14"/>
        <v>9.8605673459021225E-5</v>
      </c>
      <c r="AB33" s="177">
        <f t="shared" si="15"/>
        <v>0.4914588143407696</v>
      </c>
      <c r="AC33" s="177"/>
      <c r="AD33" s="177">
        <f t="shared" si="16"/>
        <v>6.4712206554230591E-6</v>
      </c>
      <c r="AE33" s="555">
        <f t="shared" si="17"/>
        <v>4629.8864197530884</v>
      </c>
      <c r="AF33" s="538">
        <f t="shared" si="18"/>
        <v>2.1166825946720815E-3</v>
      </c>
      <c r="AH33" s="177">
        <f t="shared" si="19"/>
        <v>0.54160256030906406</v>
      </c>
      <c r="AI33" s="177">
        <f t="shared" si="20"/>
        <v>0.54160256030906406</v>
      </c>
      <c r="AJ33" s="177">
        <f t="shared" si="21"/>
        <v>1.4900759705993067</v>
      </c>
      <c r="AL33" s="555">
        <f t="shared" si="22"/>
        <v>28.000000000000004</v>
      </c>
      <c r="AM33" s="469">
        <f t="shared" si="23"/>
        <v>350</v>
      </c>
      <c r="AO33">
        <f t="shared" si="53"/>
        <v>28.000000000000004</v>
      </c>
      <c r="AP33" s="469">
        <f t="shared" si="24"/>
        <v>350</v>
      </c>
      <c r="AQ33" s="469"/>
      <c r="AR33" s="5">
        <f t="shared" si="54"/>
        <v>2.8571428571428572</v>
      </c>
      <c r="AS33" s="5">
        <f t="shared" si="25"/>
        <v>0.67700320038633011</v>
      </c>
      <c r="AT33" s="5">
        <f t="shared" si="55"/>
        <v>2.180139656756527</v>
      </c>
      <c r="AU33" s="177">
        <f t="shared" si="56"/>
        <v>0.23695112013521552</v>
      </c>
      <c r="AW33" s="5">
        <f t="shared" si="26"/>
        <v>0.10724833101420155</v>
      </c>
      <c r="AX33" s="5">
        <f t="shared" si="27"/>
        <v>0.21012403727270101</v>
      </c>
      <c r="AY33" s="5">
        <f t="shared" si="28"/>
        <v>2.7494601245163159</v>
      </c>
      <c r="AZ33" s="5">
        <f t="shared" si="29"/>
        <v>0.64690667874396468</v>
      </c>
      <c r="BA33" s="5">
        <f t="shared" si="30"/>
        <v>0.12952990244618251</v>
      </c>
      <c r="BB33" s="469">
        <f t="shared" si="31"/>
        <v>15.757477182430796</v>
      </c>
      <c r="BC33" s="5"/>
      <c r="BD33" s="177">
        <f t="shared" si="57"/>
        <v>0.15221220045967615</v>
      </c>
      <c r="BE33" s="177">
        <f t="shared" si="32"/>
        <v>3403.5840768160338</v>
      </c>
      <c r="BF33" s="177">
        <f t="shared" si="33"/>
        <v>16805.368904830506</v>
      </c>
      <c r="BG33" s="177"/>
      <c r="BH33" s="538">
        <f t="shared" si="34"/>
        <v>8.1089938890718232E-3</v>
      </c>
      <c r="BI33" s="538">
        <f t="shared" si="35"/>
        <v>659.11326353951972</v>
      </c>
      <c r="BJ33" s="538">
        <f t="shared" si="36"/>
        <v>4.3749999999999995E-3</v>
      </c>
      <c r="BK33" s="538">
        <f t="shared" si="37"/>
        <v>8462927.8085788898</v>
      </c>
      <c r="BL33">
        <f t="shared" si="38"/>
        <v>6.96E-3</v>
      </c>
      <c r="BM33">
        <f t="shared" si="39"/>
        <v>1.6625000000000001E-5</v>
      </c>
      <c r="BN33">
        <f t="shared" si="40"/>
        <v>8476268.3669456616</v>
      </c>
      <c r="BO33" s="469">
        <f t="shared" si="58"/>
        <v>8476268366.9456615</v>
      </c>
      <c r="BP33" s="177">
        <f t="shared" si="41"/>
        <v>8850469.8179401159</v>
      </c>
      <c r="BQ33" s="177">
        <f t="shared" si="42"/>
        <v>215769203.99707723</v>
      </c>
      <c r="BR33" s="538"/>
      <c r="BT33" s="469">
        <f t="shared" si="59"/>
        <v>224619673815.01733</v>
      </c>
      <c r="BU33" s="538">
        <f t="shared" si="43"/>
        <v>2.3168553968776636E-3</v>
      </c>
      <c r="BV33" s="538">
        <f t="shared" si="60"/>
        <v>347531.53703866957</v>
      </c>
      <c r="BW33" s="538">
        <f t="shared" si="44"/>
        <v>14121021.201372204</v>
      </c>
      <c r="BX33" s="538">
        <f t="shared" si="45"/>
        <v>0</v>
      </c>
      <c r="BY33" s="538">
        <f t="shared" si="46"/>
        <v>-14.000012095207749</v>
      </c>
      <c r="BZ33" s="538">
        <f t="shared" si="61"/>
        <v>14468552.74072773</v>
      </c>
      <c r="CA33" s="641">
        <f t="shared" si="47"/>
        <v>5.1333333333333344E-3</v>
      </c>
      <c r="CB33" s="469">
        <f t="shared" si="62"/>
        <v>-13994.878761874415</v>
      </c>
      <c r="CC33" s="177">
        <f t="shared" si="63"/>
        <v>233095928.18708423</v>
      </c>
      <c r="CD33" s="5">
        <f t="shared" si="64"/>
        <v>1.54</v>
      </c>
      <c r="CE33" s="177">
        <f t="shared" si="65"/>
        <v>6.6067219698047866E-9</v>
      </c>
      <c r="CF33" s="5">
        <f t="shared" si="66"/>
        <v>6.6067219698047867E-7</v>
      </c>
      <c r="CG33">
        <f t="shared" si="67"/>
        <v>28.000000000000004</v>
      </c>
      <c r="CI33" s="571">
        <f t="shared" si="48"/>
        <v>-50</v>
      </c>
      <c r="CJ33">
        <f t="shared" si="49"/>
        <v>-50</v>
      </c>
    </row>
    <row r="34" spans="5:88" x14ac:dyDescent="0.25">
      <c r="E34" s="174">
        <v>29</v>
      </c>
      <c r="F34" s="221">
        <f t="shared" si="68"/>
        <v>2.8999999999999998E-2</v>
      </c>
      <c r="G34" s="221">
        <f t="shared" si="50"/>
        <v>0.14499999999999999</v>
      </c>
      <c r="H34" s="221">
        <f t="shared" si="0"/>
        <v>0.43499999999999994</v>
      </c>
      <c r="I34" s="221">
        <f t="shared" si="69"/>
        <v>1.1599999999999999</v>
      </c>
      <c r="J34" s="551">
        <f t="shared" si="1"/>
        <v>24</v>
      </c>
      <c r="K34" s="451">
        <f t="shared" si="2"/>
        <v>695386.58000000007</v>
      </c>
      <c r="L34" s="451">
        <f t="shared" si="3"/>
        <v>695410.58000000007</v>
      </c>
      <c r="M34" s="451"/>
      <c r="N34" s="221">
        <f t="shared" si="4"/>
        <v>0.99996548801428931</v>
      </c>
      <c r="O34" s="176">
        <f t="shared" si="51"/>
        <v>2.2090146689770211</v>
      </c>
      <c r="P34" s="176">
        <f t="shared" si="5"/>
        <v>5.8907057839387225</v>
      </c>
      <c r="Q34" s="221">
        <f t="shared" si="6"/>
        <v>0.14726764459846808</v>
      </c>
      <c r="R34" s="221">
        <f t="shared" si="7"/>
        <v>0.27612683362212764</v>
      </c>
      <c r="S34" s="451">
        <f t="shared" si="8"/>
        <v>15</v>
      </c>
      <c r="T34" s="221">
        <f t="shared" si="9"/>
        <v>0.14769028227009648</v>
      </c>
      <c r="U34" s="221">
        <f t="shared" si="10"/>
        <v>0.18461285283762061</v>
      </c>
      <c r="V34" s="221">
        <f t="shared" si="11"/>
        <v>6.3715760348767361E-6</v>
      </c>
      <c r="W34" s="201">
        <f t="shared" si="12"/>
        <v>350</v>
      </c>
      <c r="X34" s="451">
        <f t="shared" si="52"/>
        <v>350</v>
      </c>
      <c r="Z34" s="221">
        <f t="shared" si="13"/>
        <v>2.2856354011755182</v>
      </c>
      <c r="AA34" s="177">
        <f t="shared" si="14"/>
        <v>9.8605673459021225E-5</v>
      </c>
      <c r="AB34" s="177">
        <f t="shared" si="15"/>
        <v>0.4914588143407696</v>
      </c>
      <c r="AC34" s="177"/>
      <c r="AD34" s="177">
        <f t="shared" si="16"/>
        <v>6.4712206554230591E-6</v>
      </c>
      <c r="AE34" s="555">
        <f t="shared" si="17"/>
        <v>4795.2395061728412</v>
      </c>
      <c r="AF34" s="538">
        <f t="shared" si="18"/>
        <v>2.1166825946720815E-3</v>
      </c>
      <c r="AH34" s="177">
        <f t="shared" si="19"/>
        <v>0.55118919057754001</v>
      </c>
      <c r="AI34" s="177">
        <f t="shared" si="20"/>
        <v>0.55118919057754001</v>
      </c>
      <c r="AJ34" s="177">
        <f t="shared" si="21"/>
        <v>1.4971771782055852</v>
      </c>
      <c r="AL34" s="555">
        <f t="shared" si="22"/>
        <v>28.999999999999996</v>
      </c>
      <c r="AM34" s="469">
        <f t="shared" si="23"/>
        <v>350</v>
      </c>
      <c r="AO34">
        <f t="shared" si="53"/>
        <v>28.999999999999996</v>
      </c>
      <c r="AP34" s="469">
        <f t="shared" si="24"/>
        <v>350</v>
      </c>
      <c r="AQ34" s="469"/>
      <c r="AR34" s="5">
        <f t="shared" si="54"/>
        <v>2.8571428571428572</v>
      </c>
      <c r="AS34" s="5">
        <f t="shared" si="25"/>
        <v>0.6889864882219251</v>
      </c>
      <c r="AT34" s="5">
        <f t="shared" si="55"/>
        <v>2.1681563689209322</v>
      </c>
      <c r="AU34" s="177">
        <f t="shared" si="56"/>
        <v>0.24114527087767379</v>
      </c>
      <c r="AW34" s="5">
        <f t="shared" si="26"/>
        <v>0.10724833101420155</v>
      </c>
      <c r="AX34" s="5">
        <f t="shared" si="27"/>
        <v>0.22229376957441516</v>
      </c>
      <c r="AY34" s="5">
        <f t="shared" si="28"/>
        <v>2.7494601245163159</v>
      </c>
      <c r="AZ34" s="5">
        <f t="shared" si="29"/>
        <v>0.6835822918669312</v>
      </c>
      <c r="BA34" s="5">
        <f t="shared" si="30"/>
        <v>0.13341857285605269</v>
      </c>
      <c r="BB34" s="469">
        <f t="shared" si="31"/>
        <v>16.231756520504106</v>
      </c>
      <c r="BC34" s="5"/>
      <c r="BD34" s="177">
        <f t="shared" si="57"/>
        <v>0.15627137711287661</v>
      </c>
      <c r="BE34" s="177">
        <f t="shared" si="32"/>
        <v>3454.2964747868996</v>
      </c>
      <c r="BF34" s="177">
        <f t="shared" si="33"/>
        <v>17055.76394039144</v>
      </c>
      <c r="BG34" s="177"/>
      <c r="BH34" s="538">
        <f t="shared" si="34"/>
        <v>8.5472601566642138E-3</v>
      </c>
      <c r="BI34" s="538">
        <f t="shared" si="35"/>
        <v>670.77989074120092</v>
      </c>
      <c r="BJ34" s="538">
        <f t="shared" si="36"/>
        <v>4.3749999999999995E-3</v>
      </c>
      <c r="BK34" s="538">
        <f t="shared" si="37"/>
        <v>8462927.8085788898</v>
      </c>
      <c r="BL34">
        <f t="shared" si="38"/>
        <v>6.96E-3</v>
      </c>
      <c r="BM34">
        <f t="shared" si="39"/>
        <v>1.6625000000000001E-5</v>
      </c>
      <c r="BN34">
        <f t="shared" si="40"/>
        <v>8476966.5271789916</v>
      </c>
      <c r="BO34" s="469">
        <f t="shared" si="58"/>
        <v>8476966527.1789913</v>
      </c>
      <c r="BP34" s="177">
        <f t="shared" si="41"/>
        <v>9116173.4080025535</v>
      </c>
      <c r="BQ34" s="177">
        <f t="shared" si="42"/>
        <v>222246899.90457517</v>
      </c>
      <c r="BR34" s="538"/>
      <c r="BT34" s="469">
        <f t="shared" si="59"/>
        <v>231363073312.57773</v>
      </c>
      <c r="BU34" s="538">
        <f t="shared" si="43"/>
        <v>2.4420743304754897E-3</v>
      </c>
      <c r="BV34" s="538">
        <f t="shared" si="60"/>
        <v>357964.92407175608</v>
      </c>
      <c r="BW34" s="538">
        <f t="shared" si="44"/>
        <v>14544954.179517848</v>
      </c>
      <c r="BX34" s="538">
        <f t="shared" si="45"/>
        <v>0</v>
      </c>
      <c r="BY34" s="538">
        <f t="shared" si="46"/>
        <v>-14.000011742675751</v>
      </c>
      <c r="BZ34" s="538">
        <f t="shared" si="61"/>
        <v>14902919.106031679</v>
      </c>
      <c r="CA34" s="641">
        <f t="shared" si="47"/>
        <v>5.3166666666666649E-3</v>
      </c>
      <c r="CB34" s="469">
        <f t="shared" si="62"/>
        <v>-13994.695076009084</v>
      </c>
      <c r="CC34" s="177">
        <f t="shared" si="63"/>
        <v>239840025.84506166</v>
      </c>
      <c r="CD34" s="5">
        <f t="shared" si="64"/>
        <v>1.5949999999999998</v>
      </c>
      <c r="CE34" s="177">
        <f t="shared" si="65"/>
        <v>6.6502660837070065E-9</v>
      </c>
      <c r="CF34" s="5">
        <f t="shared" si="66"/>
        <v>6.6502660837070063E-7</v>
      </c>
      <c r="CG34">
        <f t="shared" si="67"/>
        <v>28.999999999999996</v>
      </c>
      <c r="CI34" s="571">
        <f t="shared" si="48"/>
        <v>-50</v>
      </c>
      <c r="CJ34">
        <f t="shared" si="49"/>
        <v>-50</v>
      </c>
    </row>
    <row r="35" spans="5:88" x14ac:dyDescent="0.25">
      <c r="E35" s="174">
        <v>30</v>
      </c>
      <c r="F35" s="221">
        <f t="shared" si="68"/>
        <v>0.03</v>
      </c>
      <c r="G35" s="221">
        <f t="shared" si="50"/>
        <v>0.15</v>
      </c>
      <c r="H35" s="221">
        <f t="shared" si="0"/>
        <v>0.44999999999999996</v>
      </c>
      <c r="I35" s="221">
        <f t="shared" si="69"/>
        <v>1.2</v>
      </c>
      <c r="J35" s="551">
        <f t="shared" si="1"/>
        <v>24</v>
      </c>
      <c r="K35" s="451">
        <f t="shared" si="2"/>
        <v>695386.58000000007</v>
      </c>
      <c r="L35" s="451">
        <f t="shared" si="3"/>
        <v>695410.58000000007</v>
      </c>
      <c r="M35" s="451"/>
      <c r="N35" s="221">
        <f t="shared" si="4"/>
        <v>0.99996548801428931</v>
      </c>
      <c r="O35" s="176">
        <f t="shared" si="51"/>
        <v>2.2090146689770211</v>
      </c>
      <c r="P35" s="176">
        <f t="shared" si="5"/>
        <v>5.8907057839387225</v>
      </c>
      <c r="Q35" s="221">
        <f t="shared" si="6"/>
        <v>0.14726764459846808</v>
      </c>
      <c r="R35" s="221">
        <f t="shared" si="7"/>
        <v>0.27612683362212764</v>
      </c>
      <c r="S35" s="451">
        <f t="shared" si="8"/>
        <v>15</v>
      </c>
      <c r="T35" s="221">
        <f t="shared" si="9"/>
        <v>0.15278305062423775</v>
      </c>
      <c r="U35" s="221">
        <f t="shared" si="10"/>
        <v>0.19097881328029717</v>
      </c>
      <c r="V35" s="221">
        <f t="shared" si="11"/>
        <v>6.5912855533207615E-6</v>
      </c>
      <c r="W35" s="201">
        <f t="shared" si="12"/>
        <v>350</v>
      </c>
      <c r="X35" s="451">
        <f t="shared" si="52"/>
        <v>350</v>
      </c>
      <c r="Z35" s="221">
        <f t="shared" si="13"/>
        <v>2.2856354011755182</v>
      </c>
      <c r="AA35" s="177">
        <f t="shared" si="14"/>
        <v>9.8605673459021225E-5</v>
      </c>
      <c r="AB35" s="177">
        <f t="shared" si="15"/>
        <v>0.4914588143407696</v>
      </c>
      <c r="AC35" s="177"/>
      <c r="AD35" s="177">
        <f t="shared" si="16"/>
        <v>6.4712206554230591E-6</v>
      </c>
      <c r="AE35" s="555">
        <f t="shared" si="17"/>
        <v>4960.592592592594</v>
      </c>
      <c r="AF35" s="538">
        <f t="shared" si="18"/>
        <v>2.1166825946720815E-3</v>
      </c>
      <c r="AH35" s="177">
        <f t="shared" si="19"/>
        <v>0.56061191058138804</v>
      </c>
      <c r="AI35" s="177">
        <f t="shared" si="20"/>
        <v>0.56061191058138804</v>
      </c>
      <c r="AJ35" s="177">
        <f t="shared" si="21"/>
        <v>1.5041569708010281</v>
      </c>
      <c r="AL35" s="555">
        <f t="shared" si="22"/>
        <v>30</v>
      </c>
      <c r="AM35" s="469">
        <f t="shared" si="23"/>
        <v>350</v>
      </c>
      <c r="AO35">
        <f t="shared" si="53"/>
        <v>30</v>
      </c>
      <c r="AP35" s="469">
        <f t="shared" si="24"/>
        <v>350</v>
      </c>
      <c r="AQ35" s="469"/>
      <c r="AR35" s="5">
        <f t="shared" si="54"/>
        <v>2.8571428571428572</v>
      </c>
      <c r="AS35" s="5">
        <f t="shared" si="25"/>
        <v>0.70076488822673499</v>
      </c>
      <c r="AT35" s="5">
        <f t="shared" si="55"/>
        <v>2.1563779689161224</v>
      </c>
      <c r="AU35" s="177">
        <f t="shared" si="56"/>
        <v>0.24526771087935725</v>
      </c>
      <c r="AW35" s="5">
        <f t="shared" si="26"/>
        <v>0.10724833101420155</v>
      </c>
      <c r="AX35" s="5">
        <f t="shared" si="27"/>
        <v>0.23478524686917204</v>
      </c>
      <c r="AY35" s="5">
        <f t="shared" si="28"/>
        <v>2.7494601245163159</v>
      </c>
      <c r="AZ35" s="5">
        <f t="shared" si="29"/>
        <v>0.72119389141526546</v>
      </c>
      <c r="BA35" s="5">
        <f t="shared" si="30"/>
        <v>0.13726943089165128</v>
      </c>
      <c r="BB35" s="469">
        <f t="shared" si="31"/>
        <v>16.701498373664819</v>
      </c>
      <c r="BC35" s="5"/>
      <c r="BD35" s="177">
        <f t="shared" si="57"/>
        <v>0.1602957035241856</v>
      </c>
      <c r="BE35" s="177">
        <f t="shared" si="32"/>
        <v>3503.7925151885252</v>
      </c>
      <c r="BF35" s="177">
        <f t="shared" si="33"/>
        <v>17300.153148797846</v>
      </c>
      <c r="BG35" s="177"/>
      <c r="BH35" s="538">
        <f t="shared" si="34"/>
        <v>8.9931493989097618E-3</v>
      </c>
      <c r="BI35" s="538">
        <f t="shared" si="35"/>
        <v>682.24704431154476</v>
      </c>
      <c r="BJ35" s="538">
        <f t="shared" si="36"/>
        <v>4.3749999999999995E-3</v>
      </c>
      <c r="BK35" s="538">
        <f t="shared" si="37"/>
        <v>8462927.8085788898</v>
      </c>
      <c r="BL35">
        <f t="shared" si="38"/>
        <v>6.96E-3</v>
      </c>
      <c r="BM35">
        <f t="shared" si="39"/>
        <v>1.6625000000000001E-5</v>
      </c>
      <c r="BN35">
        <f t="shared" si="40"/>
        <v>8477676.5438433606</v>
      </c>
      <c r="BO35" s="469">
        <f t="shared" si="58"/>
        <v>8477676543.8433609</v>
      </c>
      <c r="BP35" s="177">
        <f t="shared" si="41"/>
        <v>9379293.3685662206</v>
      </c>
      <c r="BQ35" s="177">
        <f t="shared" si="42"/>
        <v>228661608.45747602</v>
      </c>
      <c r="BR35" s="538"/>
      <c r="BT35" s="469">
        <f t="shared" si="59"/>
        <v>238040901826.04224</v>
      </c>
      <c r="BU35" s="538">
        <f t="shared" si="43"/>
        <v>2.5694712568313607E-3</v>
      </c>
      <c r="BV35" s="538">
        <f t="shared" si="60"/>
        <v>368296.85968473391</v>
      </c>
      <c r="BW35" s="538">
        <f t="shared" si="44"/>
        <v>14964764.948593004</v>
      </c>
      <c r="BX35" s="538">
        <f t="shared" si="45"/>
        <v>0</v>
      </c>
      <c r="BY35" s="538">
        <f t="shared" si="46"/>
        <v>-14.000011413254889</v>
      </c>
      <c r="BZ35" s="538">
        <f t="shared" si="61"/>
        <v>15333061.810847208</v>
      </c>
      <c r="CA35" s="641">
        <f t="shared" si="47"/>
        <v>5.4999999999999988E-3</v>
      </c>
      <c r="CB35" s="469">
        <f t="shared" si="62"/>
        <v>-13994.51141325489</v>
      </c>
      <c r="CC35" s="177">
        <f t="shared" si="63"/>
        <v>246518564.37537417</v>
      </c>
      <c r="CD35" s="5">
        <f t="shared" si="64"/>
        <v>1.65</v>
      </c>
      <c r="CE35" s="177">
        <f t="shared" si="65"/>
        <v>6.6932078447599167E-9</v>
      </c>
      <c r="CF35" s="5">
        <f t="shared" si="66"/>
        <v>6.6932078447599165E-7</v>
      </c>
      <c r="CG35">
        <f t="shared" si="67"/>
        <v>30</v>
      </c>
      <c r="CI35" s="571">
        <f t="shared" si="48"/>
        <v>-50</v>
      </c>
      <c r="CJ35">
        <f t="shared" si="49"/>
        <v>-50</v>
      </c>
    </row>
    <row r="36" spans="5:88" x14ac:dyDescent="0.25">
      <c r="E36" s="174">
        <v>31</v>
      </c>
      <c r="F36" s="221">
        <f t="shared" si="68"/>
        <v>3.1E-2</v>
      </c>
      <c r="G36" s="221">
        <f t="shared" si="50"/>
        <v>0.155</v>
      </c>
      <c r="H36" s="221">
        <f t="shared" si="0"/>
        <v>0.46499999999999997</v>
      </c>
      <c r="I36" s="221">
        <f t="shared" si="69"/>
        <v>1.24</v>
      </c>
      <c r="J36" s="551">
        <f t="shared" si="1"/>
        <v>24</v>
      </c>
      <c r="K36" s="451">
        <f t="shared" si="2"/>
        <v>695386.58000000007</v>
      </c>
      <c r="L36" s="451">
        <f t="shared" si="3"/>
        <v>695410.58000000007</v>
      </c>
      <c r="M36" s="451"/>
      <c r="N36" s="221">
        <f t="shared" si="4"/>
        <v>0.99996548801428931</v>
      </c>
      <c r="O36" s="176">
        <f t="shared" si="51"/>
        <v>2.2090146689770211</v>
      </c>
      <c r="P36" s="176">
        <f t="shared" si="5"/>
        <v>5.8907057839387225</v>
      </c>
      <c r="Q36" s="221">
        <f t="shared" si="6"/>
        <v>0.14726764459846808</v>
      </c>
      <c r="R36" s="221">
        <f t="shared" si="7"/>
        <v>0.27612683362212764</v>
      </c>
      <c r="S36" s="451">
        <f t="shared" si="8"/>
        <v>15</v>
      </c>
      <c r="T36" s="221">
        <f t="shared" si="9"/>
        <v>0.15787581897837902</v>
      </c>
      <c r="U36" s="221">
        <f t="shared" si="10"/>
        <v>0.19734477372297377</v>
      </c>
      <c r="V36" s="221">
        <f t="shared" si="11"/>
        <v>6.8109950717647879E-6</v>
      </c>
      <c r="W36" s="201">
        <f t="shared" si="12"/>
        <v>350</v>
      </c>
      <c r="X36" s="451">
        <f t="shared" si="52"/>
        <v>350</v>
      </c>
      <c r="Z36" s="221">
        <f t="shared" si="13"/>
        <v>2.2856354011755182</v>
      </c>
      <c r="AA36" s="177">
        <f t="shared" si="14"/>
        <v>9.8605673459021225E-5</v>
      </c>
      <c r="AB36" s="177">
        <f t="shared" si="15"/>
        <v>0.4914588143407696</v>
      </c>
      <c r="AC36" s="177"/>
      <c r="AD36" s="177">
        <f t="shared" si="16"/>
        <v>6.4712206554230591E-6</v>
      </c>
      <c r="AE36" s="555">
        <f t="shared" si="17"/>
        <v>5125.9456790123468</v>
      </c>
      <c r="AF36" s="538">
        <f t="shared" si="18"/>
        <v>2.1166825946720815E-3</v>
      </c>
      <c r="AH36" s="177">
        <f t="shared" si="19"/>
        <v>0.56987885095159019</v>
      </c>
      <c r="AI36" s="177">
        <f t="shared" si="20"/>
        <v>0.56987885095159019</v>
      </c>
      <c r="AJ36" s="177">
        <f t="shared" si="21"/>
        <v>1.5110213710752518</v>
      </c>
      <c r="AL36" s="555">
        <f t="shared" si="22"/>
        <v>31</v>
      </c>
      <c r="AM36" s="469">
        <f t="shared" si="23"/>
        <v>350</v>
      </c>
      <c r="AO36">
        <f t="shared" si="53"/>
        <v>31</v>
      </c>
      <c r="AP36" s="469">
        <f t="shared" si="24"/>
        <v>350</v>
      </c>
      <c r="AQ36" s="469"/>
      <c r="AR36" s="5">
        <f t="shared" si="54"/>
        <v>2.8571428571428572</v>
      </c>
      <c r="AS36" s="5">
        <f t="shared" si="25"/>
        <v>0.71234856368948785</v>
      </c>
      <c r="AT36" s="5">
        <f t="shared" si="55"/>
        <v>2.1447942934533692</v>
      </c>
      <c r="AU36" s="177">
        <f t="shared" si="56"/>
        <v>0.24932199729132073</v>
      </c>
      <c r="AW36" s="5">
        <f t="shared" si="26"/>
        <v>0.10724833101420155</v>
      </c>
      <c r="AX36" s="5">
        <f t="shared" si="27"/>
        <v>0.24759846915697142</v>
      </c>
      <c r="AY36" s="5">
        <f t="shared" si="28"/>
        <v>2.7494601245163159</v>
      </c>
      <c r="AZ36" s="5">
        <f t="shared" si="29"/>
        <v>0.75974147738896669</v>
      </c>
      <c r="BA36" s="5">
        <f t="shared" si="30"/>
        <v>0.1410831122815584</v>
      </c>
      <c r="BB36" s="469">
        <f t="shared" si="31"/>
        <v>17.166779029342571</v>
      </c>
      <c r="BC36" s="5"/>
      <c r="BD36" s="177">
        <f t="shared" si="57"/>
        <v>0.1642866262962101</v>
      </c>
      <c r="BE36" s="177">
        <f t="shared" si="32"/>
        <v>3552.1310484044625</v>
      </c>
      <c r="BF36" s="177">
        <f t="shared" si="33"/>
        <v>17538.8271068016</v>
      </c>
      <c r="BG36" s="177"/>
      <c r="BH36" s="538">
        <f t="shared" si="34"/>
        <v>9.4465334529267066E-3</v>
      </c>
      <c r="BI36" s="538">
        <f t="shared" si="35"/>
        <v>693.52461897246326</v>
      </c>
      <c r="BJ36" s="538">
        <f t="shared" si="36"/>
        <v>4.3749999999999995E-3</v>
      </c>
      <c r="BK36" s="538">
        <f t="shared" si="37"/>
        <v>8462927.8085788898</v>
      </c>
      <c r="BL36">
        <f t="shared" si="38"/>
        <v>6.96E-3</v>
      </c>
      <c r="BM36">
        <f t="shared" si="39"/>
        <v>1.6625000000000001E-5</v>
      </c>
      <c r="BN36">
        <f t="shared" si="40"/>
        <v>8478398.2319522332</v>
      </c>
      <c r="BO36" s="469">
        <f t="shared" si="58"/>
        <v>8478398231.9522333</v>
      </c>
      <c r="BP36" s="177">
        <f t="shared" si="41"/>
        <v>9639873.1374512818</v>
      </c>
      <c r="BQ36" s="177">
        <f t="shared" si="42"/>
        <v>235014388.64406827</v>
      </c>
      <c r="BR36" s="538"/>
      <c r="BT36" s="469">
        <f t="shared" si="59"/>
        <v>244654261781.51956</v>
      </c>
      <c r="BU36" s="538">
        <f t="shared" si="43"/>
        <v>2.6990095579790593E-3</v>
      </c>
      <c r="BV36" s="538">
        <f t="shared" si="60"/>
        <v>378529.04955116956</v>
      </c>
      <c r="BW36" s="538">
        <f t="shared" si="44"/>
        <v>15380522.81411393</v>
      </c>
      <c r="BX36" s="538">
        <f t="shared" si="45"/>
        <v>0</v>
      </c>
      <c r="BY36" s="538">
        <f t="shared" si="46"/>
        <v>-14.000011104737791</v>
      </c>
      <c r="BZ36" s="538">
        <f t="shared" si="61"/>
        <v>15759051.866364108</v>
      </c>
      <c r="CA36" s="641">
        <f t="shared" si="47"/>
        <v>5.6833333333333328E-3</v>
      </c>
      <c r="CB36" s="469">
        <f t="shared" si="62"/>
        <v>-13994.327771404456</v>
      </c>
      <c r="CC36" s="177">
        <f t="shared" si="63"/>
        <v>253132646.019144</v>
      </c>
      <c r="CD36" s="5">
        <f t="shared" si="64"/>
        <v>1.7050000000000001</v>
      </c>
      <c r="CE36" s="177">
        <f t="shared" si="65"/>
        <v>6.7355989649270981E-9</v>
      </c>
      <c r="CF36" s="5">
        <f t="shared" si="66"/>
        <v>6.7355989649270985E-7</v>
      </c>
      <c r="CG36">
        <f t="shared" si="67"/>
        <v>31</v>
      </c>
      <c r="CI36" s="571">
        <f t="shared" si="48"/>
        <v>-50</v>
      </c>
      <c r="CJ36">
        <f t="shared" si="49"/>
        <v>-50</v>
      </c>
    </row>
    <row r="37" spans="5:88" x14ac:dyDescent="0.25">
      <c r="E37" s="174">
        <v>32</v>
      </c>
      <c r="F37" s="221">
        <f t="shared" si="68"/>
        <v>3.2000000000000001E-2</v>
      </c>
      <c r="G37" s="221">
        <f t="shared" si="50"/>
        <v>0.16</v>
      </c>
      <c r="H37" s="221">
        <f t="shared" ref="H37:H68" si="70">F37*Vout</f>
        <v>0.48</v>
      </c>
      <c r="I37" s="221">
        <f t="shared" si="69"/>
        <v>1.28</v>
      </c>
      <c r="J37" s="551">
        <f t="shared" si="1"/>
        <v>24</v>
      </c>
      <c r="K37" s="451">
        <f t="shared" si="2"/>
        <v>695386.58000000007</v>
      </c>
      <c r="L37" s="451">
        <f t="shared" si="3"/>
        <v>695410.58000000007</v>
      </c>
      <c r="M37" s="451"/>
      <c r="N37" s="221">
        <f t="shared" si="4"/>
        <v>0.99996548801428931</v>
      </c>
      <c r="O37" s="176">
        <f t="shared" si="51"/>
        <v>2.2090146689770211</v>
      </c>
      <c r="P37" s="176">
        <f t="shared" ref="P37:P68" si="71">N37*J37*Isw_max*0.5*Efficiency*(Pout2/Pout_total)</f>
        <v>5.8907057839387225</v>
      </c>
      <c r="Q37" s="221">
        <f t="shared" si="6"/>
        <v>0.14726764459846808</v>
      </c>
      <c r="R37" s="221">
        <f t="shared" ref="R37:R68" si="72">O37/Vout2</f>
        <v>0.27612683362212764</v>
      </c>
      <c r="S37" s="451">
        <f t="shared" ref="S37:S68" si="73">MIN(Vout,O37/F37)</f>
        <v>15</v>
      </c>
      <c r="T37" s="221">
        <f t="shared" ref="T37:T68" si="74">MIN(2*(Vout*F37+Vout2*G37)/(Efficiency*J37*N37), Isw_max)</f>
        <v>0.16296858733252026</v>
      </c>
      <c r="U37" s="221">
        <f t="shared" si="10"/>
        <v>0.20371073416565033</v>
      </c>
      <c r="V37" s="221">
        <f t="shared" si="11"/>
        <v>7.0307045902088116E-6</v>
      </c>
      <c r="W37" s="201">
        <f t="shared" si="12"/>
        <v>350</v>
      </c>
      <c r="X37" s="451">
        <f t="shared" si="52"/>
        <v>350</v>
      </c>
      <c r="Z37" s="221">
        <f t="shared" si="13"/>
        <v>2.2856354011755182</v>
      </c>
      <c r="AA37" s="177">
        <f t="shared" si="14"/>
        <v>9.8605673459021225E-5</v>
      </c>
      <c r="AB37" s="177">
        <f t="shared" ref="AB37:AB68" si="75">0.5*AA37*Z37*Nps*W37/1000*(Pout/Pout_total)</f>
        <v>0.4914588143407696</v>
      </c>
      <c r="AC37" s="177"/>
      <c r="AD37" s="177">
        <f t="shared" si="16"/>
        <v>6.4712206554230591E-6</v>
      </c>
      <c r="AE37" s="555">
        <f t="shared" ref="AE37:AE68" si="76">MAX(10, F37/(0.5*AD37/1000000*Isw_min*Nps)/1000*Pout_total/Pout)</f>
        <v>5291.2987654321005</v>
      </c>
      <c r="AF37" s="538">
        <f t="shared" ref="AF37:AF68" si="77">0.5*AD37/1000000*Isw_min*Nps*W37*1000*(Pout/Pout_total)</f>
        <v>2.1166825946720815E-3</v>
      </c>
      <c r="AH37" s="177">
        <f t="shared" ref="AH37:AH68" si="78">SQRT((H37+I37)/(0.5*L*Fsw_DCM))</f>
        <v>0.57899749156459668</v>
      </c>
      <c r="AI37" s="177">
        <f t="shared" ref="AI37:AI68" si="79">MAX(IF(F37&gt;AB37,T37,AH37),Isw_min)</f>
        <v>0.57899749156459668</v>
      </c>
      <c r="AJ37" s="177">
        <f t="shared" ref="AJ37:AJ68" si="80">IF(F37&gt;AF37, (AI37-Isw_min)/1.08*0.8+1.2, AE37*0.2/350+1)</f>
        <v>1.5177759196774789</v>
      </c>
      <c r="AL37" s="555">
        <f t="shared" ref="AL37:AL68" si="81">F37*1000</f>
        <v>32</v>
      </c>
      <c r="AM37" s="469">
        <f t="shared" ref="AM37:AM68" si="82">IF(F37&gt;AF37, X37, AE37)</f>
        <v>350</v>
      </c>
      <c r="AO37">
        <f t="shared" si="53"/>
        <v>32</v>
      </c>
      <c r="AP37" s="469">
        <f t="shared" si="24"/>
        <v>350</v>
      </c>
      <c r="AQ37" s="469"/>
      <c r="AR37" s="5">
        <f t="shared" si="54"/>
        <v>2.8571428571428572</v>
      </c>
      <c r="AS37" s="5">
        <f t="shared" si="25"/>
        <v>0.72374686445574588</v>
      </c>
      <c r="AT37" s="5">
        <f t="shared" si="55"/>
        <v>2.1333959926871113</v>
      </c>
      <c r="AU37" s="177">
        <f t="shared" si="56"/>
        <v>0.25331140255951107</v>
      </c>
      <c r="AW37" s="5">
        <f t="shared" ref="AW37:AW68" si="83">L*Iout^2/(2*Vripple1_spec*Vout*Npri_sec1^2)*1000000000*((1+N37)/(1-N37))^2</f>
        <v>0.10724833101420155</v>
      </c>
      <c r="AX37" s="5">
        <f t="shared" ref="AX37:AX68" si="84">L*F37^2/(2*Cout*Vout*Nps^2)*1000000000*((1+N37)/(1-N37))^2+F37*RCoutEsr</f>
        <v>0.26073343643781355</v>
      </c>
      <c r="AY37" s="5">
        <f t="shared" ref="AY37:AY68" si="85">L*Iout2^2/(2*Vripple2_spec*Vout2*Npri_sec2^2)*1000000000*((1+N37)/(1-N37))^2</f>
        <v>2.7494601245163159</v>
      </c>
      <c r="AZ37" s="5">
        <f t="shared" ref="AZ37:AZ68" si="86">L*G37^2/(2*Cout2*Vout2*Npri_sec2^2)*1000000000*((1+N37)/(1-N37))^2+G37*CoutEsr2</f>
        <v>0.79922504978803544</v>
      </c>
      <c r="BA37" s="5">
        <f t="shared" ref="BA37:BA68" si="87">(H37+I37)/Efficiency/J37*AT37/Vinripple1</f>
        <v>0.14486022172566804</v>
      </c>
      <c r="BB37" s="469">
        <f t="shared" ref="BB37:BB68" si="88">((CD37/J37/Efficiency)*AT37/Cin+(CD37/J37/Efficiency)*RCinEsr)*1000</f>
        <v>17.627671051524608</v>
      </c>
      <c r="BC37" s="5"/>
      <c r="BD37" s="177">
        <f t="shared" si="57"/>
        <v>0.1682454874047056</v>
      </c>
      <c r="BE37" s="177">
        <f t="shared" ref="BE37:BE68" si="89">AI37*Npri_sec1*SQRT((1-AU37)/3)*(Pout/Pout_total)</f>
        <v>3599.3662224248601</v>
      </c>
      <c r="BF37" s="177">
        <f t="shared" ref="BF37:BF68" si="90">AI37*Npri_sec2*SQRT((1-AU37)/3)*(Pout2/Pout_total)</f>
        <v>17772.053172848784</v>
      </c>
      <c r="BG37" s="177"/>
      <c r="BH37" s="538">
        <f t="shared" si="34"/>
        <v>9.9072904112164316E-3</v>
      </c>
      <c r="BI37" s="538">
        <f t="shared" si="35"/>
        <v>704.62171749809238</v>
      </c>
      <c r="BJ37" s="538">
        <f t="shared" si="36"/>
        <v>4.3749999999999995E-3</v>
      </c>
      <c r="BK37" s="538">
        <f t="shared" si="37"/>
        <v>8462927.8085788898</v>
      </c>
      <c r="BL37">
        <f t="shared" si="38"/>
        <v>6.96E-3</v>
      </c>
      <c r="BM37">
        <f t="shared" ref="BM37:BM68" si="91">(J37-Vdd)*Qg*AM37</f>
        <v>1.6625000000000001E-5</v>
      </c>
      <c r="BN37">
        <f t="shared" ref="BN37:BN68" si="92">(BI37+BJ37+BK37+BL37+BM37+BH37*(1+RdsonTC*(Ta-25)))/(1-BH37*RdsonTC*ThetaJA)</f>
        <v>8479131.4154972192</v>
      </c>
      <c r="BO37" s="469">
        <f t="shared" si="58"/>
        <v>8479131415.4972191</v>
      </c>
      <c r="BP37" s="177">
        <f t="shared" ref="BP37:BP68" si="93">(Vfwd2*F37+BE37^2*Rdiode)*(1+Diode_TC/1000*(Ta-25))</f>
        <v>9897954.0323616154</v>
      </c>
      <c r="BQ37" s="177">
        <f t="shared" ref="BQ37:BQ68" si="94">(Vfwd2*G37+BF37^2*Rdiode)*(1+Diode_TC/1000*(Ta-25))</f>
        <v>241306247.76546326</v>
      </c>
      <c r="BR37" s="538"/>
      <c r="BT37" s="469">
        <f t="shared" si="59"/>
        <v>251204201797.82489</v>
      </c>
      <c r="BU37" s="538">
        <f t="shared" si="43"/>
        <v>2.8306544032046955E-3</v>
      </c>
      <c r="BV37" s="538">
        <f t="shared" si="60"/>
        <v>388663.11609399022</v>
      </c>
      <c r="BW37" s="538">
        <f t="shared" ref="BW37:BW68" si="95">Rdcr_sec2*BF37^2</f>
        <v>15792293.69892823</v>
      </c>
      <c r="BX37" s="538">
        <f t="shared" si="45"/>
        <v>0</v>
      </c>
      <c r="BY37" s="538">
        <f t="shared" ref="BY37:BY68" si="96">(BX37+(BU37+BV37+BW37)*(1+Ltc*(Ta-25)))/(1-(BU37+BV37+BW37)*Ltc*ThetaCa)</f>
        <v>-14.000010815190793</v>
      </c>
      <c r="BZ37" s="538">
        <f t="shared" si="61"/>
        <v>16180956.817852873</v>
      </c>
      <c r="CA37" s="641">
        <f t="shared" ref="CA37:CA68" si="97">0.5*Lleak*0.000000001*AI37^2*AM37*1000</f>
        <v>5.8666666666666676E-3</v>
      </c>
      <c r="CB37" s="469">
        <f t="shared" si="62"/>
        <v>-13994.144148524127</v>
      </c>
      <c r="CC37" s="177">
        <f t="shared" si="63"/>
        <v>259683319.21917796</v>
      </c>
      <c r="CD37" s="5">
        <f t="shared" si="64"/>
        <v>1.76</v>
      </c>
      <c r="CE37" s="177">
        <f t="shared" si="65"/>
        <v>6.7774857213148514E-9</v>
      </c>
      <c r="CF37" s="5">
        <f t="shared" si="66"/>
        <v>6.7774857213148513E-7</v>
      </c>
      <c r="CG37">
        <f t="shared" si="67"/>
        <v>32</v>
      </c>
      <c r="CI37" s="571">
        <f t="shared" ref="CI37:CI68" si="98">IF(ABS(F37-Ioutmax_Vinnom)&lt;Iout/200, AM37, -50)</f>
        <v>-50</v>
      </c>
      <c r="CJ37">
        <f t="shared" ref="CJ37:CJ68" si="99">IF(ABS(F37-Ioutmax_Vinnom)&lt;Iout/200, (O37+P37)*CE37, -50)</f>
        <v>-50</v>
      </c>
    </row>
    <row r="38" spans="5:88" x14ac:dyDescent="0.25">
      <c r="E38" s="174">
        <v>33</v>
      </c>
      <c r="F38" s="221">
        <f t="shared" si="68"/>
        <v>3.3000000000000002E-2</v>
      </c>
      <c r="G38" s="221">
        <f t="shared" ref="G38:G69" si="100">IF(PLOT_TYPE=1, E38/100*Iout2, min_I*EXP(Q38*rr/100))</f>
        <v>0.16500000000000001</v>
      </c>
      <c r="H38" s="221">
        <f t="shared" si="70"/>
        <v>0.495</v>
      </c>
      <c r="I38" s="221">
        <f t="shared" si="69"/>
        <v>1.32</v>
      </c>
      <c r="J38" s="551">
        <f t="shared" si="1"/>
        <v>24</v>
      </c>
      <c r="K38" s="451">
        <f t="shared" si="2"/>
        <v>695386.58000000007</v>
      </c>
      <c r="L38" s="451">
        <f t="shared" si="3"/>
        <v>695410.58000000007</v>
      </c>
      <c r="M38" s="451"/>
      <c r="N38" s="221">
        <f t="shared" si="4"/>
        <v>0.99996548801428931</v>
      </c>
      <c r="O38" s="176">
        <f t="shared" ref="O38:O69" si="101">N38*J38*Isw_max*0.5*Efficiency*Pout/(Pout+Pout2)</f>
        <v>2.2090146689770211</v>
      </c>
      <c r="P38" s="176">
        <f t="shared" si="71"/>
        <v>5.8907057839387225</v>
      </c>
      <c r="Q38" s="221">
        <f t="shared" si="6"/>
        <v>0.14726764459846808</v>
      </c>
      <c r="R38" s="221">
        <f t="shared" si="72"/>
        <v>0.27612683362212764</v>
      </c>
      <c r="S38" s="451">
        <f t="shared" si="73"/>
        <v>15</v>
      </c>
      <c r="T38" s="221">
        <f t="shared" si="74"/>
        <v>0.16806135568666153</v>
      </c>
      <c r="U38" s="221">
        <f t="shared" si="10"/>
        <v>0.21007669460832692</v>
      </c>
      <c r="V38" s="221">
        <f t="shared" si="11"/>
        <v>7.2504141086528379E-6</v>
      </c>
      <c r="W38" s="201">
        <f t="shared" si="12"/>
        <v>350</v>
      </c>
      <c r="X38" s="451">
        <f t="shared" si="52"/>
        <v>350</v>
      </c>
      <c r="Z38" s="221">
        <f t="shared" si="13"/>
        <v>2.2856354011755182</v>
      </c>
      <c r="AA38" s="177">
        <f t="shared" si="14"/>
        <v>9.8605673459021225E-5</v>
      </c>
      <c r="AB38" s="177">
        <f t="shared" si="75"/>
        <v>0.4914588143407696</v>
      </c>
      <c r="AC38" s="177"/>
      <c r="AD38" s="177">
        <f t="shared" si="16"/>
        <v>6.4712206554230591E-6</v>
      </c>
      <c r="AE38" s="555">
        <f t="shared" si="76"/>
        <v>5456.6518518518533</v>
      </c>
      <c r="AF38" s="538">
        <f t="shared" si="77"/>
        <v>2.1166825946720815E-3</v>
      </c>
      <c r="AH38" s="177">
        <f t="shared" si="78"/>
        <v>0.58797473220733365</v>
      </c>
      <c r="AI38" s="177">
        <f t="shared" si="79"/>
        <v>0.58797473220733365</v>
      </c>
      <c r="AJ38" s="177">
        <f t="shared" si="80"/>
        <v>1.5244257275609878</v>
      </c>
      <c r="AL38" s="555">
        <f t="shared" si="81"/>
        <v>33</v>
      </c>
      <c r="AM38" s="469">
        <f t="shared" si="82"/>
        <v>350</v>
      </c>
      <c r="AO38">
        <f t="shared" si="53"/>
        <v>33</v>
      </c>
      <c r="AP38" s="469">
        <f t="shared" si="24"/>
        <v>350</v>
      </c>
      <c r="AQ38" s="469"/>
      <c r="AR38" s="5">
        <f t="shared" si="54"/>
        <v>2.8571428571428572</v>
      </c>
      <c r="AS38" s="5">
        <f t="shared" si="25"/>
        <v>0.73496841525916712</v>
      </c>
      <c r="AT38" s="5">
        <f t="shared" si="55"/>
        <v>2.1221744418836899</v>
      </c>
      <c r="AU38" s="177">
        <f t="shared" si="56"/>
        <v>0.25723894534070846</v>
      </c>
      <c r="AW38" s="5">
        <f t="shared" si="83"/>
        <v>0.10724833101420155</v>
      </c>
      <c r="AX38" s="5">
        <f t="shared" si="84"/>
        <v>0.27419014871169822</v>
      </c>
      <c r="AY38" s="5">
        <f t="shared" si="85"/>
        <v>2.7494601245163159</v>
      </c>
      <c r="AZ38" s="5">
        <f t="shared" si="86"/>
        <v>0.83964460861247114</v>
      </c>
      <c r="BA38" s="5">
        <f t="shared" si="87"/>
        <v>0.1486013353402352</v>
      </c>
      <c r="BB38" s="469">
        <f t="shared" si="88"/>
        <v>18.084243574161558</v>
      </c>
      <c r="BC38" s="5"/>
      <c r="BD38" s="177">
        <f t="shared" si="57"/>
        <v>0.17217353479010572</v>
      </c>
      <c r="BE38" s="177">
        <f t="shared" si="89"/>
        <v>3645.5479928519271</v>
      </c>
      <c r="BF38" s="177">
        <f t="shared" si="90"/>
        <v>18000.078005257532</v>
      </c>
      <c r="BG38" s="177"/>
      <c r="BH38" s="538">
        <f t="shared" si="34"/>
        <v>1.037530412874191E-2</v>
      </c>
      <c r="BI38" s="538">
        <f t="shared" si="35"/>
        <v>715.54673671188152</v>
      </c>
      <c r="BJ38" s="538">
        <f t="shared" si="36"/>
        <v>4.3749999999999995E-3</v>
      </c>
      <c r="BK38" s="538">
        <f t="shared" si="37"/>
        <v>8462927.8085788898</v>
      </c>
      <c r="BL38">
        <f t="shared" si="38"/>
        <v>6.96E-3</v>
      </c>
      <c r="BM38">
        <f t="shared" si="91"/>
        <v>1.6625000000000001E-5</v>
      </c>
      <c r="BN38">
        <f t="shared" si="92"/>
        <v>8479875.9267644621</v>
      </c>
      <c r="BO38" s="469">
        <f t="shared" si="58"/>
        <v>8479875926.7644625</v>
      </c>
      <c r="BP38" s="177">
        <f t="shared" si="93"/>
        <v>10153575.417949148</v>
      </c>
      <c r="BQ38" s="177">
        <f t="shared" si="94"/>
        <v>247538145.50852436</v>
      </c>
      <c r="BR38" s="538"/>
      <c r="BT38" s="469">
        <f t="shared" si="59"/>
        <v>257691720926.47351</v>
      </c>
      <c r="BU38" s="538">
        <f t="shared" si="43"/>
        <v>2.9643726082119745E-3</v>
      </c>
      <c r="BV38" s="538">
        <f t="shared" si="60"/>
        <v>398700.60504560143</v>
      </c>
      <c r="BW38" s="538">
        <f t="shared" si="95"/>
        <v>16200140.409767799</v>
      </c>
      <c r="BX38" s="538">
        <f t="shared" si="45"/>
        <v>0</v>
      </c>
      <c r="BY38" s="538">
        <f t="shared" si="96"/>
        <v>-14.000010542912703</v>
      </c>
      <c r="BZ38" s="538">
        <f t="shared" si="61"/>
        <v>16598841.017777773</v>
      </c>
      <c r="CA38" s="641">
        <f t="shared" si="97"/>
        <v>6.0500000000000007E-3</v>
      </c>
      <c r="CB38" s="469">
        <f t="shared" si="62"/>
        <v>-13993.960542912702</v>
      </c>
      <c r="CC38" s="177">
        <f t="shared" si="63"/>
        <v>266171582.8592774</v>
      </c>
      <c r="CD38" s="5">
        <f t="shared" si="64"/>
        <v>1.8149999999999999</v>
      </c>
      <c r="CE38" s="177">
        <f t="shared" si="65"/>
        <v>6.8189096977465605E-9</v>
      </c>
      <c r="CF38" s="5">
        <f t="shared" si="66"/>
        <v>6.8189096977465604E-7</v>
      </c>
      <c r="CG38">
        <f t="shared" ref="CG38:CG69" si="102">F38/Iout*100</f>
        <v>33</v>
      </c>
      <c r="CI38" s="571">
        <f t="shared" si="98"/>
        <v>-50</v>
      </c>
      <c r="CJ38">
        <f t="shared" si="99"/>
        <v>-50</v>
      </c>
    </row>
    <row r="39" spans="5:88" x14ac:dyDescent="0.25">
      <c r="E39" s="174">
        <v>34</v>
      </c>
      <c r="F39" s="221">
        <f t="shared" si="68"/>
        <v>3.4000000000000002E-2</v>
      </c>
      <c r="G39" s="221">
        <f t="shared" si="100"/>
        <v>0.17</v>
      </c>
      <c r="H39" s="221">
        <f t="shared" si="70"/>
        <v>0.51</v>
      </c>
      <c r="I39" s="221">
        <f t="shared" si="69"/>
        <v>1.36</v>
      </c>
      <c r="J39" s="551">
        <f t="shared" si="1"/>
        <v>24</v>
      </c>
      <c r="K39" s="451">
        <f t="shared" si="2"/>
        <v>695386.58000000007</v>
      </c>
      <c r="L39" s="451">
        <f t="shared" si="3"/>
        <v>695410.58000000007</v>
      </c>
      <c r="M39" s="451"/>
      <c r="N39" s="221">
        <f t="shared" si="4"/>
        <v>0.99996548801428931</v>
      </c>
      <c r="O39" s="176">
        <f t="shared" si="101"/>
        <v>2.2090146689770211</v>
      </c>
      <c r="P39" s="176">
        <f t="shared" si="71"/>
        <v>5.8907057839387225</v>
      </c>
      <c r="Q39" s="221">
        <f t="shared" si="6"/>
        <v>0.14726764459846808</v>
      </c>
      <c r="R39" s="221">
        <f t="shared" si="72"/>
        <v>0.27612683362212764</v>
      </c>
      <c r="S39" s="451">
        <f t="shared" si="73"/>
        <v>15</v>
      </c>
      <c r="T39" s="221">
        <f t="shared" si="74"/>
        <v>0.1731541240408028</v>
      </c>
      <c r="U39" s="221">
        <f t="shared" si="10"/>
        <v>0.21644265505100352</v>
      </c>
      <c r="V39" s="221">
        <f t="shared" si="11"/>
        <v>7.4701236270968643E-6</v>
      </c>
      <c r="W39" s="201">
        <f t="shared" si="12"/>
        <v>350</v>
      </c>
      <c r="X39" s="451">
        <f t="shared" si="52"/>
        <v>350</v>
      </c>
      <c r="Z39" s="221">
        <f t="shared" si="13"/>
        <v>2.2856354011755182</v>
      </c>
      <c r="AA39" s="177">
        <f t="shared" si="14"/>
        <v>9.8605673459021225E-5</v>
      </c>
      <c r="AB39" s="177">
        <f t="shared" si="75"/>
        <v>0.4914588143407696</v>
      </c>
      <c r="AC39" s="177"/>
      <c r="AD39" s="177">
        <f t="shared" si="16"/>
        <v>6.4712206554230591E-6</v>
      </c>
      <c r="AE39" s="555">
        <f t="shared" si="76"/>
        <v>5622.004938271607</v>
      </c>
      <c r="AF39" s="538">
        <f t="shared" si="77"/>
        <v>2.1166825946720815E-3</v>
      </c>
      <c r="AH39" s="177">
        <f t="shared" si="78"/>
        <v>0.59681695367212573</v>
      </c>
      <c r="AI39" s="177">
        <f t="shared" si="79"/>
        <v>0.59681695367212573</v>
      </c>
      <c r="AJ39" s="177">
        <f t="shared" si="80"/>
        <v>1.5309755212386116</v>
      </c>
      <c r="AL39" s="555">
        <f t="shared" si="81"/>
        <v>34</v>
      </c>
      <c r="AM39" s="469">
        <f t="shared" si="82"/>
        <v>350</v>
      </c>
      <c r="AO39">
        <f t="shared" si="53"/>
        <v>34</v>
      </c>
      <c r="AP39" s="469">
        <f t="shared" si="24"/>
        <v>350</v>
      </c>
      <c r="AQ39" s="469"/>
      <c r="AR39" s="5">
        <f t="shared" si="54"/>
        <v>2.8571428571428572</v>
      </c>
      <c r="AS39" s="5">
        <f t="shared" si="25"/>
        <v>0.74602119209015716</v>
      </c>
      <c r="AT39" s="5">
        <f t="shared" si="55"/>
        <v>2.1111216650526998</v>
      </c>
      <c r="AU39" s="177">
        <f t="shared" si="56"/>
        <v>0.26110741723155501</v>
      </c>
      <c r="AW39" s="5">
        <f t="shared" si="83"/>
        <v>0.10724833101420155</v>
      </c>
      <c r="AX39" s="5">
        <f t="shared" si="84"/>
        <v>0.28796860597862539</v>
      </c>
      <c r="AY39" s="5">
        <f t="shared" si="85"/>
        <v>2.7494601245163159</v>
      </c>
      <c r="AZ39" s="5">
        <f t="shared" si="86"/>
        <v>0.88100015386227448</v>
      </c>
      <c r="BA39" s="5">
        <f t="shared" si="87"/>
        <v>0.15230700284137919</v>
      </c>
      <c r="BB39" s="469">
        <f t="shared" si="88"/>
        <v>18.536562563187729</v>
      </c>
      <c r="BC39" s="5"/>
      <c r="BD39" s="177">
        <f t="shared" si="57"/>
        <v>0.1760719315891216</v>
      </c>
      <c r="BE39" s="177">
        <f t="shared" si="89"/>
        <v>3690.7225638812747</v>
      </c>
      <c r="BF39" s="177">
        <f t="shared" si="90"/>
        <v>18223.129739585729</v>
      </c>
      <c r="BG39" s="177"/>
      <c r="BH39" s="538">
        <f t="shared" si="34"/>
        <v>1.0850463782733509E-2</v>
      </c>
      <c r="BI39" s="538">
        <f t="shared" si="35"/>
        <v>726.30744183719071</v>
      </c>
      <c r="BJ39" s="538">
        <f t="shared" si="36"/>
        <v>4.3749999999999995E-3</v>
      </c>
      <c r="BK39" s="538">
        <f t="shared" si="37"/>
        <v>8462927.8085788898</v>
      </c>
      <c r="BL39">
        <f t="shared" si="38"/>
        <v>6.96E-3</v>
      </c>
      <c r="BM39">
        <f t="shared" si="91"/>
        <v>1.6625000000000001E-5</v>
      </c>
      <c r="BN39">
        <f t="shared" si="92"/>
        <v>8480631.6057217121</v>
      </c>
      <c r="BO39" s="469">
        <f t="shared" si="58"/>
        <v>8480631605.7217121</v>
      </c>
      <c r="BP39" s="177">
        <f t="shared" si="93"/>
        <v>10406774.855007367</v>
      </c>
      <c r="BQ39" s="177">
        <f t="shared" si="94"/>
        <v>253710997.58311614</v>
      </c>
      <c r="BR39" s="538"/>
      <c r="BT39" s="469">
        <f t="shared" si="59"/>
        <v>264117772438.12354</v>
      </c>
      <c r="BU39" s="538">
        <f t="shared" si="43"/>
        <v>3.100132509352432E-3</v>
      </c>
      <c r="BV39" s="538">
        <f t="shared" si="60"/>
        <v>408642.99130627111</v>
      </c>
      <c r="BW39" s="538">
        <f t="shared" si="95"/>
        <v>16604122.875288693</v>
      </c>
      <c r="BX39" s="538">
        <f t="shared" si="45"/>
        <v>0</v>
      </c>
      <c r="BY39" s="538">
        <f t="shared" si="96"/>
        <v>-14.000010286400808</v>
      </c>
      <c r="BZ39" s="538">
        <f t="shared" si="61"/>
        <v>17012765.869695097</v>
      </c>
      <c r="CA39" s="641">
        <f t="shared" si="97"/>
        <v>6.2333333333333355E-3</v>
      </c>
      <c r="CB39" s="469">
        <f t="shared" si="62"/>
        <v>-13993.776953067474</v>
      </c>
      <c r="CC39" s="177">
        <f t="shared" si="63"/>
        <v>272598390.05006826</v>
      </c>
      <c r="CD39" s="5">
        <f t="shared" si="64"/>
        <v>1.87</v>
      </c>
      <c r="CE39" s="177">
        <f t="shared" si="65"/>
        <v>6.859908405286281E-9</v>
      </c>
      <c r="CF39" s="5">
        <f t="shared" si="66"/>
        <v>6.8599084052862807E-7</v>
      </c>
      <c r="CG39">
        <f t="shared" si="102"/>
        <v>34</v>
      </c>
      <c r="CI39" s="571">
        <f t="shared" si="98"/>
        <v>-50</v>
      </c>
      <c r="CJ39">
        <f t="shared" si="99"/>
        <v>-50</v>
      </c>
    </row>
    <row r="40" spans="5:88" x14ac:dyDescent="0.25">
      <c r="E40" s="174">
        <v>35</v>
      </c>
      <c r="F40" s="221">
        <f t="shared" ref="F40:F71" si="103">IF(PLOT_TYPE=1, E40/100*Iout_max, min_I*EXP(O40*rr/100))</f>
        <v>3.4999999999999996E-2</v>
      </c>
      <c r="G40" s="221">
        <f t="shared" si="100"/>
        <v>0.17499999999999999</v>
      </c>
      <c r="H40" s="221">
        <f t="shared" si="70"/>
        <v>0.52499999999999991</v>
      </c>
      <c r="I40" s="221">
        <f t="shared" ref="I40:I71" si="104">Vout2*G40</f>
        <v>1.4</v>
      </c>
      <c r="J40" s="551">
        <f t="shared" si="1"/>
        <v>24</v>
      </c>
      <c r="K40" s="451">
        <f t="shared" si="2"/>
        <v>695386.58000000007</v>
      </c>
      <c r="L40" s="451">
        <f t="shared" si="3"/>
        <v>695410.58000000007</v>
      </c>
      <c r="M40" s="451"/>
      <c r="N40" s="221">
        <f t="shared" si="4"/>
        <v>0.99996548801428931</v>
      </c>
      <c r="O40" s="176">
        <f t="shared" si="101"/>
        <v>2.2090146689770211</v>
      </c>
      <c r="P40" s="176">
        <f t="shared" si="71"/>
        <v>5.8907057839387225</v>
      </c>
      <c r="Q40" s="221">
        <f t="shared" si="6"/>
        <v>0.14726764459846808</v>
      </c>
      <c r="R40" s="221">
        <f t="shared" si="72"/>
        <v>0.27612683362212764</v>
      </c>
      <c r="S40" s="451">
        <f t="shared" si="73"/>
        <v>15</v>
      </c>
      <c r="T40" s="221">
        <f t="shared" si="74"/>
        <v>0.17824689239494404</v>
      </c>
      <c r="U40" s="221">
        <f t="shared" si="10"/>
        <v>0.22280861549368006</v>
      </c>
      <c r="V40" s="221">
        <f t="shared" si="11"/>
        <v>7.689833145540888E-6</v>
      </c>
      <c r="W40" s="201">
        <f t="shared" si="12"/>
        <v>350</v>
      </c>
      <c r="X40" s="451">
        <f t="shared" si="52"/>
        <v>350</v>
      </c>
      <c r="Z40" s="221">
        <f t="shared" si="13"/>
        <v>2.2856354011755182</v>
      </c>
      <c r="AA40" s="177">
        <f t="shared" si="14"/>
        <v>9.8605673459021225E-5</v>
      </c>
      <c r="AB40" s="177">
        <f t="shared" si="75"/>
        <v>0.4914588143407696</v>
      </c>
      <c r="AC40" s="177"/>
      <c r="AD40" s="177">
        <f t="shared" si="16"/>
        <v>6.4712206554230591E-6</v>
      </c>
      <c r="AE40" s="555">
        <f t="shared" si="76"/>
        <v>5787.3580246913589</v>
      </c>
      <c r="AF40" s="538">
        <f t="shared" si="77"/>
        <v>2.1166825946720815E-3</v>
      </c>
      <c r="AH40" s="177">
        <f t="shared" si="78"/>
        <v>0.60553007081949828</v>
      </c>
      <c r="AI40" s="177">
        <f t="shared" si="79"/>
        <v>0.60553007081949828</v>
      </c>
      <c r="AJ40" s="177">
        <f t="shared" si="80"/>
        <v>1.5374296820885172</v>
      </c>
      <c r="AL40" s="555">
        <f t="shared" si="81"/>
        <v>34.999999999999993</v>
      </c>
      <c r="AM40" s="469">
        <f t="shared" si="82"/>
        <v>350</v>
      </c>
      <c r="AO40">
        <f t="shared" si="53"/>
        <v>34.999999999999993</v>
      </c>
      <c r="AP40" s="469">
        <f t="shared" si="24"/>
        <v>350</v>
      </c>
      <c r="AQ40" s="469"/>
      <c r="AR40" s="5">
        <f t="shared" si="54"/>
        <v>2.8571428571428572</v>
      </c>
      <c r="AS40" s="5">
        <f t="shared" si="25"/>
        <v>0.75691258852437293</v>
      </c>
      <c r="AT40" s="5">
        <f t="shared" si="55"/>
        <v>2.1002302686184842</v>
      </c>
      <c r="AU40" s="177">
        <f t="shared" si="56"/>
        <v>0.26491940598353053</v>
      </c>
      <c r="AW40" s="5">
        <f t="shared" si="83"/>
        <v>0.10724833101420155</v>
      </c>
      <c r="AX40" s="5">
        <f t="shared" si="84"/>
        <v>0.30206880823859517</v>
      </c>
      <c r="AY40" s="5">
        <f t="shared" si="85"/>
        <v>2.7494601245163159</v>
      </c>
      <c r="AZ40" s="5">
        <f t="shared" si="86"/>
        <v>0.92329168553744456</v>
      </c>
      <c r="BA40" s="5">
        <f t="shared" si="87"/>
        <v>0.15597774950195145</v>
      </c>
      <c r="BB40" s="469">
        <f t="shared" si="88"/>
        <v>18.984691051345287</v>
      </c>
      <c r="BC40" s="5"/>
      <c r="BD40" s="177">
        <f t="shared" si="57"/>
        <v>0.17994176421581004</v>
      </c>
      <c r="BE40" s="177">
        <f t="shared" si="89"/>
        <v>3734.9327713469847</v>
      </c>
      <c r="BF40" s="177">
        <f t="shared" si="90"/>
        <v>18441.419879935482</v>
      </c>
      <c r="BG40" s="177"/>
      <c r="BH40" s="538">
        <f t="shared" si="34"/>
        <v>1.133266347818436E-2</v>
      </c>
      <c r="BI40" s="538">
        <f t="shared" si="35"/>
        <v>736.9110310730498</v>
      </c>
      <c r="BJ40" s="538">
        <f t="shared" si="36"/>
        <v>4.3749999999999995E-3</v>
      </c>
      <c r="BK40" s="538">
        <f t="shared" si="37"/>
        <v>8462927.8085788898</v>
      </c>
      <c r="BL40">
        <f t="shared" si="38"/>
        <v>6.96E-3</v>
      </c>
      <c r="BM40">
        <f t="shared" si="91"/>
        <v>1.6625000000000001E-5</v>
      </c>
      <c r="BN40">
        <f t="shared" si="92"/>
        <v>8481398.2994669601</v>
      </c>
      <c r="BO40" s="469">
        <f t="shared" si="58"/>
        <v>8481398299.46696</v>
      </c>
      <c r="BP40" s="177">
        <f t="shared" si="93"/>
        <v>10657588.234179491</v>
      </c>
      <c r="BQ40" s="177">
        <f t="shared" si="94"/>
        <v>259825678.98183024</v>
      </c>
      <c r="BR40" s="538"/>
      <c r="BT40" s="469">
        <f t="shared" si="59"/>
        <v>270483267216.00974</v>
      </c>
      <c r="BU40" s="538">
        <f t="shared" si="43"/>
        <v>3.2379038509098173E-3</v>
      </c>
      <c r="BV40" s="538">
        <f t="shared" si="60"/>
        <v>418491.68419444998</v>
      </c>
      <c r="BW40" s="538">
        <f t="shared" si="95"/>
        <v>17004298.359403979</v>
      </c>
      <c r="BX40" s="538">
        <f t="shared" si="45"/>
        <v>0</v>
      </c>
      <c r="BY40" s="538">
        <f t="shared" si="96"/>
        <v>-14.000010044322698</v>
      </c>
      <c r="BZ40" s="538">
        <f t="shared" si="61"/>
        <v>17422790.046836331</v>
      </c>
      <c r="CA40" s="641">
        <f t="shared" si="97"/>
        <v>6.4166666666666669E-3</v>
      </c>
      <c r="CB40" s="469">
        <f t="shared" si="62"/>
        <v>-13993.593377656032</v>
      </c>
      <c r="CC40" s="177">
        <f t="shared" si="63"/>
        <v>278964651.52188331</v>
      </c>
      <c r="CD40" s="5">
        <f t="shared" si="64"/>
        <v>1.9249999999999998</v>
      </c>
      <c r="CE40" s="177">
        <f t="shared" si="65"/>
        <v>6.9005158044746066E-9</v>
      </c>
      <c r="CF40" s="5">
        <f t="shared" si="66"/>
        <v>6.9005158044746069E-7</v>
      </c>
      <c r="CG40">
        <f t="shared" si="102"/>
        <v>34.999999999999993</v>
      </c>
      <c r="CI40" s="571">
        <f t="shared" si="98"/>
        <v>-50</v>
      </c>
      <c r="CJ40">
        <f t="shared" si="99"/>
        <v>-50</v>
      </c>
    </row>
    <row r="41" spans="5:88" x14ac:dyDescent="0.25">
      <c r="E41" s="174">
        <v>36</v>
      </c>
      <c r="F41" s="221">
        <f t="shared" si="103"/>
        <v>3.5999999999999997E-2</v>
      </c>
      <c r="G41" s="221">
        <f t="shared" si="100"/>
        <v>0.18</v>
      </c>
      <c r="H41" s="221">
        <f t="shared" si="70"/>
        <v>0.53999999999999992</v>
      </c>
      <c r="I41" s="221">
        <f t="shared" si="104"/>
        <v>1.44</v>
      </c>
      <c r="J41" s="551">
        <f t="shared" si="1"/>
        <v>24</v>
      </c>
      <c r="K41" s="451">
        <f t="shared" si="2"/>
        <v>695386.58000000007</v>
      </c>
      <c r="L41" s="451">
        <f t="shared" si="3"/>
        <v>695410.58000000007</v>
      </c>
      <c r="M41" s="451"/>
      <c r="N41" s="221">
        <f t="shared" si="4"/>
        <v>0.99996548801428931</v>
      </c>
      <c r="O41" s="176">
        <f t="shared" si="101"/>
        <v>2.2090146689770211</v>
      </c>
      <c r="P41" s="176">
        <f t="shared" si="71"/>
        <v>5.8907057839387225</v>
      </c>
      <c r="Q41" s="221">
        <f t="shared" si="6"/>
        <v>0.14726764459846808</v>
      </c>
      <c r="R41" s="221">
        <f t="shared" si="72"/>
        <v>0.27612683362212764</v>
      </c>
      <c r="S41" s="451">
        <f t="shared" si="73"/>
        <v>15</v>
      </c>
      <c r="T41" s="221">
        <f t="shared" si="74"/>
        <v>0.18333966074908531</v>
      </c>
      <c r="U41" s="221">
        <f t="shared" si="10"/>
        <v>0.22917457593635665</v>
      </c>
      <c r="V41" s="221">
        <f t="shared" si="11"/>
        <v>7.9095426639849135E-6</v>
      </c>
      <c r="W41" s="201">
        <f t="shared" si="12"/>
        <v>350</v>
      </c>
      <c r="X41" s="451">
        <f t="shared" si="52"/>
        <v>350</v>
      </c>
      <c r="Z41" s="221">
        <f t="shared" si="13"/>
        <v>2.2856354011755182</v>
      </c>
      <c r="AA41" s="177">
        <f t="shared" si="14"/>
        <v>9.8605673459021225E-5</v>
      </c>
      <c r="AB41" s="177">
        <f t="shared" si="75"/>
        <v>0.4914588143407696</v>
      </c>
      <c r="AC41" s="177"/>
      <c r="AD41" s="177">
        <f t="shared" si="16"/>
        <v>6.4712206554230591E-6</v>
      </c>
      <c r="AE41" s="555">
        <f t="shared" si="76"/>
        <v>5952.7111111111117</v>
      </c>
      <c r="AF41" s="538">
        <f t="shared" si="77"/>
        <v>2.1166825946720815E-3</v>
      </c>
      <c r="AH41" s="177">
        <f t="shared" si="78"/>
        <v>0.61411957886299073</v>
      </c>
      <c r="AI41" s="177">
        <f t="shared" si="79"/>
        <v>0.61411957886299073</v>
      </c>
      <c r="AJ41" s="177">
        <f t="shared" si="80"/>
        <v>1.5437922806392523</v>
      </c>
      <c r="AL41" s="555">
        <f t="shared" si="81"/>
        <v>36</v>
      </c>
      <c r="AM41" s="469">
        <f t="shared" si="82"/>
        <v>350</v>
      </c>
      <c r="AO41">
        <f t="shared" si="53"/>
        <v>36</v>
      </c>
      <c r="AP41" s="469">
        <f t="shared" si="24"/>
        <v>350</v>
      </c>
      <c r="AQ41" s="469"/>
      <c r="AR41" s="5">
        <f t="shared" si="54"/>
        <v>2.8571428571428572</v>
      </c>
      <c r="AS41" s="5">
        <f t="shared" si="25"/>
        <v>0.76764947357873847</v>
      </c>
      <c r="AT41" s="5">
        <f t="shared" si="55"/>
        <v>2.0894933835641187</v>
      </c>
      <c r="AU41" s="177">
        <f t="shared" si="56"/>
        <v>0.26867731575255843</v>
      </c>
      <c r="AW41" s="5">
        <f t="shared" si="83"/>
        <v>0.10724833101420155</v>
      </c>
      <c r="AX41" s="5">
        <f t="shared" si="84"/>
        <v>0.31649075549160766</v>
      </c>
      <c r="AY41" s="5">
        <f t="shared" si="85"/>
        <v>2.7494601245163159</v>
      </c>
      <c r="AZ41" s="5">
        <f t="shared" si="86"/>
        <v>0.96651920363798216</v>
      </c>
      <c r="BA41" s="5">
        <f t="shared" si="87"/>
        <v>0.15961407791114793</v>
      </c>
      <c r="BB41" s="469">
        <f t="shared" si="88"/>
        <v>19.428689349337759</v>
      </c>
      <c r="BC41" s="5"/>
      <c r="BD41" s="177">
        <f t="shared" si="57"/>
        <v>0.18378404946421351</v>
      </c>
      <c r="BE41" s="177">
        <f t="shared" si="89"/>
        <v>3778.2184168725585</v>
      </c>
      <c r="BF41" s="177">
        <f t="shared" si="90"/>
        <v>18655.144948840341</v>
      </c>
      <c r="BG41" s="177"/>
      <c r="BH41" s="538">
        <f t="shared" si="34"/>
        <v>1.1821801893112566E-2</v>
      </c>
      <c r="BI41" s="538">
        <f t="shared" si="35"/>
        <v>747.36419192131939</v>
      </c>
      <c r="BJ41" s="538">
        <f t="shared" si="36"/>
        <v>4.3749999999999995E-3</v>
      </c>
      <c r="BK41" s="538">
        <f t="shared" si="37"/>
        <v>8462927.8085788898</v>
      </c>
      <c r="BL41">
        <f t="shared" si="38"/>
        <v>6.96E-3</v>
      </c>
      <c r="BM41">
        <f t="shared" si="91"/>
        <v>1.6625000000000001E-5</v>
      </c>
      <c r="BN41">
        <f t="shared" si="92"/>
        <v>8482175.8617309369</v>
      </c>
      <c r="BO41" s="469">
        <f t="shared" si="58"/>
        <v>8482175861.730937</v>
      </c>
      <c r="BP41" s="177">
        <f t="shared" si="93"/>
        <v>10906049.896188563</v>
      </c>
      <c r="BQ41" s="177">
        <f t="shared" si="94"/>
        <v>265883026.91112384</v>
      </c>
      <c r="BR41" s="538"/>
      <c r="BT41" s="469">
        <f t="shared" si="59"/>
        <v>276789076807.31244</v>
      </c>
      <c r="BU41" s="538">
        <f t="shared" si="43"/>
        <v>3.3776576837464475E-3</v>
      </c>
      <c r="BV41" s="538">
        <f t="shared" si="60"/>
        <v>428248.03216784942</v>
      </c>
      <c r="BW41" s="538">
        <f t="shared" si="95"/>
        <v>17400721.653112166</v>
      </c>
      <c r="BX41" s="538">
        <f t="shared" si="45"/>
        <v>0</v>
      </c>
      <c r="BY41" s="538">
        <f t="shared" si="96"/>
        <v>-14.000009815492751</v>
      </c>
      <c r="BZ41" s="538">
        <f t="shared" si="61"/>
        <v>17828969.688657671</v>
      </c>
      <c r="CA41" s="641">
        <f t="shared" si="97"/>
        <v>6.6E-3</v>
      </c>
      <c r="CB41" s="469">
        <f t="shared" si="62"/>
        <v>-13993.409815492751</v>
      </c>
      <c r="CC41" s="177">
        <f t="shared" si="63"/>
        <v>285271238.67563355</v>
      </c>
      <c r="CD41" s="5">
        <f t="shared" si="64"/>
        <v>1.98</v>
      </c>
      <c r="CE41" s="177">
        <f t="shared" si="65"/>
        <v>6.9407627472345371E-9</v>
      </c>
      <c r="CF41" s="5">
        <f t="shared" si="66"/>
        <v>6.9407627472345366E-7</v>
      </c>
      <c r="CG41">
        <f t="shared" si="102"/>
        <v>35.999999999999993</v>
      </c>
      <c r="CI41" s="571">
        <f t="shared" si="98"/>
        <v>-50</v>
      </c>
      <c r="CJ41">
        <f t="shared" si="99"/>
        <v>-50</v>
      </c>
    </row>
    <row r="42" spans="5:88" x14ac:dyDescent="0.25">
      <c r="E42" s="174">
        <v>37</v>
      </c>
      <c r="F42" s="221">
        <f t="shared" si="103"/>
        <v>3.6999999999999998E-2</v>
      </c>
      <c r="G42" s="221">
        <f t="shared" si="100"/>
        <v>0.185</v>
      </c>
      <c r="H42" s="221">
        <f t="shared" si="70"/>
        <v>0.55499999999999994</v>
      </c>
      <c r="I42" s="221">
        <f t="shared" si="104"/>
        <v>1.48</v>
      </c>
      <c r="J42" s="551">
        <f t="shared" si="1"/>
        <v>24</v>
      </c>
      <c r="K42" s="451">
        <f t="shared" si="2"/>
        <v>695386.58000000007</v>
      </c>
      <c r="L42" s="451">
        <f t="shared" si="3"/>
        <v>695410.58000000007</v>
      </c>
      <c r="M42" s="451"/>
      <c r="N42" s="221">
        <f t="shared" si="4"/>
        <v>0.99996548801428931</v>
      </c>
      <c r="O42" s="176">
        <f t="shared" si="101"/>
        <v>2.2090146689770211</v>
      </c>
      <c r="P42" s="176">
        <f t="shared" si="71"/>
        <v>5.8907057839387225</v>
      </c>
      <c r="Q42" s="221">
        <f t="shared" si="6"/>
        <v>0.14726764459846808</v>
      </c>
      <c r="R42" s="221">
        <f t="shared" si="72"/>
        <v>0.27612683362212764</v>
      </c>
      <c r="S42" s="451">
        <f t="shared" si="73"/>
        <v>15</v>
      </c>
      <c r="T42" s="221">
        <f t="shared" si="74"/>
        <v>0.18843242910322658</v>
      </c>
      <c r="U42" s="221">
        <f t="shared" si="10"/>
        <v>0.23554053637903324</v>
      </c>
      <c r="V42" s="221">
        <f t="shared" si="11"/>
        <v>8.1292521824289407E-6</v>
      </c>
      <c r="W42" s="201">
        <f t="shared" si="12"/>
        <v>350</v>
      </c>
      <c r="X42" s="451">
        <f t="shared" si="52"/>
        <v>350</v>
      </c>
      <c r="Z42" s="221">
        <f t="shared" si="13"/>
        <v>2.2856354011755182</v>
      </c>
      <c r="AA42" s="177">
        <f t="shared" si="14"/>
        <v>9.8605673459021225E-5</v>
      </c>
      <c r="AB42" s="177">
        <f t="shared" si="75"/>
        <v>0.4914588143407696</v>
      </c>
      <c r="AC42" s="177"/>
      <c r="AD42" s="177">
        <f t="shared" si="16"/>
        <v>6.4712206554230591E-6</v>
      </c>
      <c r="AE42" s="555">
        <f t="shared" si="76"/>
        <v>6118.0641975308654</v>
      </c>
      <c r="AF42" s="538">
        <f t="shared" si="77"/>
        <v>2.1166825946720815E-3</v>
      </c>
      <c r="AH42" s="177">
        <f t="shared" si="78"/>
        <v>0.62259059390505378</v>
      </c>
      <c r="AI42" s="177">
        <f t="shared" si="79"/>
        <v>0.62259059390505378</v>
      </c>
      <c r="AJ42" s="177">
        <f t="shared" si="80"/>
        <v>1.5500671065963361</v>
      </c>
      <c r="AL42" s="555">
        <f t="shared" si="81"/>
        <v>37</v>
      </c>
      <c r="AM42" s="469">
        <f t="shared" si="82"/>
        <v>350</v>
      </c>
      <c r="AO42">
        <f t="shared" si="53"/>
        <v>37</v>
      </c>
      <c r="AP42" s="469">
        <f t="shared" si="24"/>
        <v>350</v>
      </c>
      <c r="AQ42" s="469"/>
      <c r="AR42" s="5">
        <f t="shared" si="54"/>
        <v>2.8571428571428572</v>
      </c>
      <c r="AS42" s="5">
        <f t="shared" si="25"/>
        <v>0.77823824238131722</v>
      </c>
      <c r="AT42" s="5">
        <f t="shared" si="55"/>
        <v>2.07890461476154</v>
      </c>
      <c r="AU42" s="177">
        <f t="shared" si="56"/>
        <v>0.27238338483346103</v>
      </c>
      <c r="AW42" s="5">
        <f t="shared" si="83"/>
        <v>0.10724833101420155</v>
      </c>
      <c r="AX42" s="5">
        <f t="shared" si="84"/>
        <v>0.33123444773766275</v>
      </c>
      <c r="AY42" s="5">
        <f t="shared" si="85"/>
        <v>2.7494601245163159</v>
      </c>
      <c r="AZ42" s="5">
        <f t="shared" si="86"/>
        <v>1.0106827081638872</v>
      </c>
      <c r="BA42" s="5">
        <f t="shared" si="87"/>
        <v>0.16321646956171809</v>
      </c>
      <c r="BB42" s="469">
        <f t="shared" si="88"/>
        <v>19.86861523629506</v>
      </c>
      <c r="BC42" s="5"/>
      <c r="BD42" s="177">
        <f t="shared" si="57"/>
        <v>0.18759974077487304</v>
      </c>
      <c r="BE42" s="177">
        <f t="shared" si="89"/>
        <v>3820.6165605477736</v>
      </c>
      <c r="BF42" s="177">
        <f t="shared" si="90"/>
        <v>18864.48793237214</v>
      </c>
      <c r="BG42" s="177"/>
      <c r="BH42" s="538">
        <f t="shared" si="34"/>
        <v>1.2317781958579847E-2</v>
      </c>
      <c r="BI42" s="538">
        <f t="shared" si="35"/>
        <v>757.67315051760136</v>
      </c>
      <c r="BJ42" s="538">
        <f t="shared" si="36"/>
        <v>4.3749999999999995E-3</v>
      </c>
      <c r="BK42" s="538">
        <f t="shared" si="37"/>
        <v>8462927.8085788898</v>
      </c>
      <c r="BL42">
        <f t="shared" si="38"/>
        <v>6.96E-3</v>
      </c>
      <c r="BM42">
        <f t="shared" si="91"/>
        <v>1.6625000000000001E-5</v>
      </c>
      <c r="BN42">
        <f t="shared" si="92"/>
        <v>8482964.1524268482</v>
      </c>
      <c r="BO42" s="469">
        <f t="shared" si="58"/>
        <v>8482964152.4268484</v>
      </c>
      <c r="BP42" s="177">
        <f t="shared" si="93"/>
        <v>11152192.740287667</v>
      </c>
      <c r="BQ42" s="177">
        <f t="shared" si="94"/>
        <v>271883843.43527162</v>
      </c>
      <c r="BR42" s="538"/>
      <c r="BT42" s="469">
        <f t="shared" si="59"/>
        <v>283036036175.55927</v>
      </c>
      <c r="BU42" s="538">
        <f t="shared" si="43"/>
        <v>3.5193662738799564E-3</v>
      </c>
      <c r="BV42" s="538">
        <f t="shared" si="60"/>
        <v>437913.32708195696</v>
      </c>
      <c r="BW42" s="538">
        <f t="shared" si="95"/>
        <v>17793445.247530706</v>
      </c>
      <c r="BX42" s="538">
        <f t="shared" si="45"/>
        <v>0</v>
      </c>
      <c r="BY42" s="538">
        <f t="shared" si="96"/>
        <v>-14.000009598852397</v>
      </c>
      <c r="BZ42" s="538">
        <f t="shared" si="61"/>
        <v>18231358.57813203</v>
      </c>
      <c r="CA42" s="641">
        <f t="shared" si="97"/>
        <v>6.7833333333333331E-3</v>
      </c>
      <c r="CB42" s="469">
        <f t="shared" si="62"/>
        <v>-13993.226265519064</v>
      </c>
      <c r="CC42" s="177">
        <f t="shared" si="63"/>
        <v>291518986.33475983</v>
      </c>
      <c r="CD42" s="5">
        <f t="shared" si="64"/>
        <v>2.0350000000000001</v>
      </c>
      <c r="CE42" s="177">
        <f t="shared" si="65"/>
        <v>6.980677352717847E-9</v>
      </c>
      <c r="CF42" s="5">
        <f t="shared" si="66"/>
        <v>6.980677352717847E-7</v>
      </c>
      <c r="CG42">
        <f t="shared" si="102"/>
        <v>36.999999999999993</v>
      </c>
      <c r="CI42" s="571">
        <f t="shared" si="98"/>
        <v>-50</v>
      </c>
      <c r="CJ42">
        <f t="shared" si="99"/>
        <v>-50</v>
      </c>
    </row>
    <row r="43" spans="5:88" x14ac:dyDescent="0.25">
      <c r="E43" s="174">
        <v>38</v>
      </c>
      <c r="F43" s="221">
        <f t="shared" si="103"/>
        <v>3.8000000000000006E-2</v>
      </c>
      <c r="G43" s="221">
        <f t="shared" si="100"/>
        <v>0.19</v>
      </c>
      <c r="H43" s="221">
        <f t="shared" si="70"/>
        <v>0.57000000000000006</v>
      </c>
      <c r="I43" s="221">
        <f t="shared" si="104"/>
        <v>1.52</v>
      </c>
      <c r="J43" s="551">
        <f t="shared" si="1"/>
        <v>24</v>
      </c>
      <c r="K43" s="451">
        <f t="shared" si="2"/>
        <v>695386.58000000007</v>
      </c>
      <c r="L43" s="451">
        <f t="shared" si="3"/>
        <v>695410.58000000007</v>
      </c>
      <c r="M43" s="451"/>
      <c r="N43" s="221">
        <f t="shared" si="4"/>
        <v>0.99996548801428931</v>
      </c>
      <c r="O43" s="176">
        <f t="shared" si="101"/>
        <v>2.2090146689770211</v>
      </c>
      <c r="P43" s="176">
        <f t="shared" si="71"/>
        <v>5.8907057839387225</v>
      </c>
      <c r="Q43" s="221">
        <f t="shared" si="6"/>
        <v>0.14726764459846808</v>
      </c>
      <c r="R43" s="221">
        <f t="shared" si="72"/>
        <v>0.27612683362212764</v>
      </c>
      <c r="S43" s="451">
        <f t="shared" si="73"/>
        <v>15</v>
      </c>
      <c r="T43" s="221">
        <f t="shared" si="74"/>
        <v>0.19352519745736782</v>
      </c>
      <c r="U43" s="221">
        <f t="shared" si="10"/>
        <v>0.24190649682170981</v>
      </c>
      <c r="V43" s="221">
        <f t="shared" si="11"/>
        <v>8.3489617008729661E-6</v>
      </c>
      <c r="W43" s="201">
        <f t="shared" si="12"/>
        <v>350</v>
      </c>
      <c r="X43" s="451">
        <f t="shared" si="52"/>
        <v>350</v>
      </c>
      <c r="Z43" s="221">
        <f t="shared" si="13"/>
        <v>2.2856354011755182</v>
      </c>
      <c r="AA43" s="177">
        <f t="shared" si="14"/>
        <v>9.8605673459021225E-5</v>
      </c>
      <c r="AB43" s="177">
        <f t="shared" si="75"/>
        <v>0.4914588143407696</v>
      </c>
      <c r="AC43" s="177"/>
      <c r="AD43" s="177">
        <f t="shared" si="16"/>
        <v>6.4712206554230591E-6</v>
      </c>
      <c r="AE43" s="555">
        <f t="shared" si="76"/>
        <v>6283.4172839506209</v>
      </c>
      <c r="AF43" s="538">
        <f t="shared" si="77"/>
        <v>2.1166825946720815E-3</v>
      </c>
      <c r="AH43" s="177">
        <f t="shared" si="78"/>
        <v>0.63094788857340511</v>
      </c>
      <c r="AI43" s="177">
        <f t="shared" si="79"/>
        <v>0.63094788857340511</v>
      </c>
      <c r="AJ43" s="177">
        <f t="shared" si="80"/>
        <v>1.5562576952395593</v>
      </c>
      <c r="AL43" s="555">
        <f t="shared" si="81"/>
        <v>38.000000000000007</v>
      </c>
      <c r="AM43" s="469">
        <f t="shared" si="82"/>
        <v>350</v>
      </c>
      <c r="AO43">
        <f t="shared" si="53"/>
        <v>38.000000000000007</v>
      </c>
      <c r="AP43" s="469">
        <f t="shared" si="24"/>
        <v>350</v>
      </c>
      <c r="AQ43" s="469"/>
      <c r="AR43" s="5">
        <f t="shared" si="54"/>
        <v>2.8571428571428572</v>
      </c>
      <c r="AS43" s="5">
        <f t="shared" si="25"/>
        <v>0.78868486071675625</v>
      </c>
      <c r="AT43" s="5">
        <f t="shared" si="55"/>
        <v>2.0684579964261012</v>
      </c>
      <c r="AU43" s="177">
        <f t="shared" si="56"/>
        <v>0.27603970125086469</v>
      </c>
      <c r="AW43" s="5">
        <f t="shared" si="83"/>
        <v>0.10724833101420155</v>
      </c>
      <c r="AX43" s="5">
        <f t="shared" si="84"/>
        <v>0.34629988497676051</v>
      </c>
      <c r="AY43" s="5">
        <f t="shared" si="85"/>
        <v>2.7494601245163159</v>
      </c>
      <c r="AZ43" s="5">
        <f t="shared" si="86"/>
        <v>1.0557821991151592</v>
      </c>
      <c r="BA43" s="5">
        <f t="shared" si="87"/>
        <v>0.16678538628590087</v>
      </c>
      <c r="BB43" s="469">
        <f t="shared" si="88"/>
        <v>20.304524132085884</v>
      </c>
      <c r="BC43" s="5"/>
      <c r="BD43" s="177">
        <f t="shared" si="57"/>
        <v>0.19138973378353863</v>
      </c>
      <c r="BE43" s="177">
        <f t="shared" si="89"/>
        <v>3862.1617782561621</v>
      </c>
      <c r="BF43" s="177">
        <f t="shared" si="90"/>
        <v>19069.619550708449</v>
      </c>
      <c r="BG43" s="177"/>
      <c r="BH43" s="538">
        <f t="shared" si="34"/>
        <v>1.2820510569206826E-2</v>
      </c>
      <c r="BI43" s="538">
        <f t="shared" si="35"/>
        <v>767.84371499956239</v>
      </c>
      <c r="BJ43" s="538">
        <f t="shared" si="36"/>
        <v>4.3749999999999995E-3</v>
      </c>
      <c r="BK43" s="538">
        <f t="shared" si="37"/>
        <v>8462927.8085788898</v>
      </c>
      <c r="BL43">
        <f t="shared" si="38"/>
        <v>6.96E-3</v>
      </c>
      <c r="BM43">
        <f t="shared" si="91"/>
        <v>1.6625000000000001E-5</v>
      </c>
      <c r="BN43">
        <f t="shared" si="92"/>
        <v>8483763.0372417886</v>
      </c>
      <c r="BO43" s="469">
        <f t="shared" si="58"/>
        <v>8483763037.2417889</v>
      </c>
      <c r="BP43" s="177">
        <f t="shared" si="93"/>
        <v>11396048.322374016</v>
      </c>
      <c r="BQ43" s="177">
        <f t="shared" si="94"/>
        <v>277828897.86832905</v>
      </c>
      <c r="BR43" s="538"/>
      <c r="BT43" s="469">
        <f t="shared" si="59"/>
        <v>289224946190.70306</v>
      </c>
      <c r="BU43" s="538">
        <f t="shared" si="43"/>
        <v>3.6630030197733789E-3</v>
      </c>
      <c r="BV43" s="538">
        <f t="shared" si="60"/>
        <v>447488.80804268399</v>
      </c>
      <c r="BW43" s="538">
        <f t="shared" si="95"/>
        <v>18182519.490438096</v>
      </c>
      <c r="BX43" s="538">
        <f t="shared" si="45"/>
        <v>0</v>
      </c>
      <c r="BY43" s="538">
        <f t="shared" si="96"/>
        <v>-14.000009393453542</v>
      </c>
      <c r="BZ43" s="538">
        <f t="shared" si="61"/>
        <v>18630008.302143782</v>
      </c>
      <c r="CA43" s="641">
        <f t="shared" si="97"/>
        <v>6.9666666666666661E-3</v>
      </c>
      <c r="CB43" s="469">
        <f t="shared" si="62"/>
        <v>-13993.042726786874</v>
      </c>
      <c r="CC43" s="177">
        <f t="shared" si="63"/>
        <v>297708695.23490208</v>
      </c>
      <c r="CD43" s="5">
        <f t="shared" si="64"/>
        <v>2.09</v>
      </c>
      <c r="CE43" s="177">
        <f t="shared" si="65"/>
        <v>7.0202853285105567E-9</v>
      </c>
      <c r="CF43" s="5">
        <f t="shared" si="66"/>
        <v>7.0202853285105568E-7</v>
      </c>
      <c r="CG43">
        <f t="shared" si="102"/>
        <v>38.000000000000007</v>
      </c>
      <c r="CI43" s="571">
        <f t="shared" si="98"/>
        <v>-50</v>
      </c>
      <c r="CJ43">
        <f t="shared" si="99"/>
        <v>-50</v>
      </c>
    </row>
    <row r="44" spans="5:88" x14ac:dyDescent="0.25">
      <c r="E44" s="174">
        <v>39</v>
      </c>
      <c r="F44" s="221">
        <f t="shared" si="103"/>
        <v>3.9000000000000007E-2</v>
      </c>
      <c r="G44" s="221">
        <f t="shared" si="100"/>
        <v>0.19500000000000001</v>
      </c>
      <c r="H44" s="221">
        <f t="shared" si="70"/>
        <v>0.58500000000000008</v>
      </c>
      <c r="I44" s="221">
        <f t="shared" si="104"/>
        <v>1.56</v>
      </c>
      <c r="J44" s="551">
        <f t="shared" si="1"/>
        <v>24</v>
      </c>
      <c r="K44" s="451">
        <f t="shared" si="2"/>
        <v>695386.58000000007</v>
      </c>
      <c r="L44" s="451">
        <f t="shared" si="3"/>
        <v>695410.58000000007</v>
      </c>
      <c r="M44" s="451"/>
      <c r="N44" s="221">
        <f t="shared" si="4"/>
        <v>0.99996548801428931</v>
      </c>
      <c r="O44" s="176">
        <f t="shared" si="101"/>
        <v>2.2090146689770211</v>
      </c>
      <c r="P44" s="176">
        <f t="shared" si="71"/>
        <v>5.8907057839387225</v>
      </c>
      <c r="Q44" s="221">
        <f t="shared" si="6"/>
        <v>0.14726764459846808</v>
      </c>
      <c r="R44" s="221">
        <f t="shared" si="72"/>
        <v>0.27612683362212764</v>
      </c>
      <c r="S44" s="451">
        <f t="shared" si="73"/>
        <v>15</v>
      </c>
      <c r="T44" s="221">
        <f t="shared" si="74"/>
        <v>0.19861796581150909</v>
      </c>
      <c r="U44" s="221">
        <f t="shared" si="10"/>
        <v>0.24827245726438635</v>
      </c>
      <c r="V44" s="221">
        <f t="shared" si="11"/>
        <v>8.5686712193169899E-6</v>
      </c>
      <c r="W44" s="201">
        <f t="shared" si="12"/>
        <v>350</v>
      </c>
      <c r="X44" s="451">
        <f t="shared" si="52"/>
        <v>350</v>
      </c>
      <c r="Z44" s="221">
        <f t="shared" si="13"/>
        <v>2.2856354011755182</v>
      </c>
      <c r="AA44" s="177">
        <f t="shared" si="14"/>
        <v>9.8605673459021225E-5</v>
      </c>
      <c r="AB44" s="177">
        <f t="shared" si="75"/>
        <v>0.4914588143407696</v>
      </c>
      <c r="AC44" s="177"/>
      <c r="AD44" s="177">
        <f t="shared" si="16"/>
        <v>6.4712206554230591E-6</v>
      </c>
      <c r="AE44" s="555">
        <f t="shared" si="76"/>
        <v>6448.7703703703728</v>
      </c>
      <c r="AF44" s="538">
        <f t="shared" si="77"/>
        <v>2.1166825946720815E-3</v>
      </c>
      <c r="AH44" s="177">
        <f t="shared" si="78"/>
        <v>0.6391959234627741</v>
      </c>
      <c r="AI44" s="177">
        <f t="shared" si="79"/>
        <v>0.6391959234627741</v>
      </c>
      <c r="AJ44" s="177">
        <f t="shared" si="80"/>
        <v>1.5623673507131659</v>
      </c>
      <c r="AL44" s="555">
        <f t="shared" si="81"/>
        <v>39.000000000000007</v>
      </c>
      <c r="AM44" s="469">
        <f t="shared" si="82"/>
        <v>350</v>
      </c>
      <c r="AO44">
        <f t="shared" si="53"/>
        <v>39.000000000000007</v>
      </c>
      <c r="AP44" s="469">
        <f t="shared" si="24"/>
        <v>350</v>
      </c>
      <c r="AQ44" s="469"/>
      <c r="AR44" s="5">
        <f t="shared" si="54"/>
        <v>2.8571428571428572</v>
      </c>
      <c r="AS44" s="5">
        <f t="shared" si="25"/>
        <v>0.79899490432846765</v>
      </c>
      <c r="AT44" s="5">
        <f t="shared" si="55"/>
        <v>2.0581479528143896</v>
      </c>
      <c r="AU44" s="177">
        <f t="shared" si="56"/>
        <v>0.27964821651496369</v>
      </c>
      <c r="AW44" s="5">
        <f t="shared" si="83"/>
        <v>0.10724833101420155</v>
      </c>
      <c r="AX44" s="5">
        <f t="shared" si="84"/>
        <v>0.36168706720890087</v>
      </c>
      <c r="AY44" s="5">
        <f t="shared" si="85"/>
        <v>2.7494601245163159</v>
      </c>
      <c r="AZ44" s="5">
        <f t="shared" si="86"/>
        <v>1.1018176764917986</v>
      </c>
      <c r="BA44" s="5">
        <f t="shared" si="87"/>
        <v>0.1703212715581352</v>
      </c>
      <c r="BB44" s="469">
        <f t="shared" si="88"/>
        <v>20.736469253642891</v>
      </c>
      <c r="BC44" s="5"/>
      <c r="BD44" s="177">
        <f t="shared" si="57"/>
        <v>0.19515487125098951</v>
      </c>
      <c r="BE44" s="177">
        <f t="shared" si="89"/>
        <v>3902.8863887366183</v>
      </c>
      <c r="BF44" s="177">
        <f t="shared" si="90"/>
        <v>19270.699379260775</v>
      </c>
      <c r="BG44" s="177"/>
      <c r="BH44" s="538">
        <f t="shared" si="34"/>
        <v>1.3329898320546603E-2</v>
      </c>
      <c r="BI44" s="538">
        <f t="shared" si="35"/>
        <v>777.88131377054594</v>
      </c>
      <c r="BJ44" s="538">
        <f t="shared" si="36"/>
        <v>4.3749999999999995E-3</v>
      </c>
      <c r="BK44" s="538">
        <f t="shared" si="37"/>
        <v>8462927.8085788898</v>
      </c>
      <c r="BL44">
        <f t="shared" si="38"/>
        <v>6.96E-3</v>
      </c>
      <c r="BM44">
        <f t="shared" si="91"/>
        <v>1.6625000000000001E-5</v>
      </c>
      <c r="BN44">
        <f t="shared" si="92"/>
        <v>8484572.3872649893</v>
      </c>
      <c r="BO44" s="469">
        <f t="shared" si="58"/>
        <v>8484572387.2649889</v>
      </c>
      <c r="BP44" s="177">
        <f t="shared" si="93"/>
        <v>11637646.944000067</v>
      </c>
      <c r="BQ44" s="177">
        <f t="shared" si="94"/>
        <v>283718928.94417042</v>
      </c>
      <c r="BR44" s="538"/>
      <c r="BT44" s="469">
        <f t="shared" si="59"/>
        <v>295356575888.17047</v>
      </c>
      <c r="BU44" s="538">
        <f t="shared" si="43"/>
        <v>3.80854237729903E-3</v>
      </c>
      <c r="BV44" s="538">
        <f t="shared" si="60"/>
        <v>456975.66490156681</v>
      </c>
      <c r="BW44" s="538">
        <f t="shared" si="95"/>
        <v>18567992.728292082</v>
      </c>
      <c r="BX44" s="538">
        <f t="shared" si="45"/>
        <v>0</v>
      </c>
      <c r="BY44" s="538">
        <f t="shared" si="96"/>
        <v>-14.000009198444452</v>
      </c>
      <c r="BZ44" s="538">
        <f t="shared" si="61"/>
        <v>19024968.39700219</v>
      </c>
      <c r="CA44" s="641">
        <f t="shared" si="97"/>
        <v>7.1500000000000001E-3</v>
      </c>
      <c r="CB44" s="469">
        <f t="shared" si="62"/>
        <v>-13992.859198444454</v>
      </c>
      <c r="CC44" s="177">
        <f t="shared" si="63"/>
        <v>303841134.28257626</v>
      </c>
      <c r="CD44" s="5">
        <f t="shared" si="64"/>
        <v>2.145</v>
      </c>
      <c r="CE44" s="177">
        <f t="shared" si="65"/>
        <v>7.0596102463936231E-9</v>
      </c>
      <c r="CF44" s="5">
        <f t="shared" si="66"/>
        <v>7.0596102463936234E-7</v>
      </c>
      <c r="CG44">
        <f t="shared" si="102"/>
        <v>39.000000000000007</v>
      </c>
      <c r="CI44" s="571">
        <f t="shared" si="98"/>
        <v>-50</v>
      </c>
      <c r="CJ44">
        <f t="shared" si="99"/>
        <v>-50</v>
      </c>
    </row>
    <row r="45" spans="5:88" x14ac:dyDescent="0.25">
      <c r="E45" s="174">
        <v>40</v>
      </c>
      <c r="F45" s="221">
        <f t="shared" si="103"/>
        <v>4.0000000000000008E-2</v>
      </c>
      <c r="G45" s="221">
        <f t="shared" si="100"/>
        <v>0.2</v>
      </c>
      <c r="H45" s="221">
        <f t="shared" si="70"/>
        <v>0.60000000000000009</v>
      </c>
      <c r="I45" s="221">
        <f t="shared" si="104"/>
        <v>1.6</v>
      </c>
      <c r="J45" s="551">
        <f t="shared" si="1"/>
        <v>24</v>
      </c>
      <c r="K45" s="451">
        <f t="shared" si="2"/>
        <v>695386.58000000007</v>
      </c>
      <c r="L45" s="451">
        <f t="shared" si="3"/>
        <v>695410.58000000007</v>
      </c>
      <c r="M45" s="451"/>
      <c r="N45" s="221">
        <f t="shared" si="4"/>
        <v>0.99996548801428931</v>
      </c>
      <c r="O45" s="176">
        <f t="shared" si="101"/>
        <v>2.2090146689770211</v>
      </c>
      <c r="P45" s="176">
        <f t="shared" si="71"/>
        <v>5.8907057839387225</v>
      </c>
      <c r="Q45" s="221">
        <f t="shared" si="6"/>
        <v>0.14726764459846808</v>
      </c>
      <c r="R45" s="221">
        <f t="shared" si="72"/>
        <v>0.27612683362212764</v>
      </c>
      <c r="S45" s="451">
        <f t="shared" si="73"/>
        <v>15</v>
      </c>
      <c r="T45" s="221">
        <f t="shared" si="74"/>
        <v>0.20371073416565036</v>
      </c>
      <c r="U45" s="221">
        <f t="shared" si="10"/>
        <v>0.25463841770706297</v>
      </c>
      <c r="V45" s="221">
        <f t="shared" si="11"/>
        <v>8.7883807377610171E-6</v>
      </c>
      <c r="W45" s="201">
        <f t="shared" si="12"/>
        <v>350</v>
      </c>
      <c r="X45" s="451">
        <f t="shared" si="52"/>
        <v>350</v>
      </c>
      <c r="Z45" s="221">
        <f t="shared" si="13"/>
        <v>2.2856354011755182</v>
      </c>
      <c r="AA45" s="177">
        <f t="shared" si="14"/>
        <v>9.8605673459021225E-5</v>
      </c>
      <c r="AB45" s="177">
        <f t="shared" si="75"/>
        <v>0.4914588143407696</v>
      </c>
      <c r="AC45" s="177"/>
      <c r="AD45" s="177">
        <f t="shared" si="16"/>
        <v>6.4712206554230591E-6</v>
      </c>
      <c r="AE45" s="555">
        <f t="shared" si="76"/>
        <v>6614.1234567901265</v>
      </c>
      <c r="AF45" s="538">
        <f t="shared" si="77"/>
        <v>2.1166825946720815E-3</v>
      </c>
      <c r="AH45" s="177">
        <f t="shared" si="78"/>
        <v>0.64733887497014964</v>
      </c>
      <c r="AI45" s="177">
        <f t="shared" si="79"/>
        <v>0.64733887497014964</v>
      </c>
      <c r="AJ45" s="177">
        <f t="shared" si="80"/>
        <v>1.5683991666445551</v>
      </c>
      <c r="AL45" s="555">
        <f t="shared" si="81"/>
        <v>40.000000000000007</v>
      </c>
      <c r="AM45" s="469">
        <f t="shared" si="82"/>
        <v>350</v>
      </c>
      <c r="AO45">
        <f t="shared" si="53"/>
        <v>40.000000000000007</v>
      </c>
      <c r="AP45" s="469">
        <f t="shared" si="24"/>
        <v>350</v>
      </c>
      <c r="AQ45" s="469"/>
      <c r="AR45" s="5">
        <f t="shared" si="54"/>
        <v>2.8571428571428572</v>
      </c>
      <c r="AS45" s="5">
        <f t="shared" si="25"/>
        <v>0.80917359371268716</v>
      </c>
      <c r="AT45" s="5">
        <f t="shared" si="55"/>
        <v>2.0479692634301703</v>
      </c>
      <c r="AU45" s="177">
        <f t="shared" si="56"/>
        <v>0.28321075779944049</v>
      </c>
      <c r="AW45" s="5">
        <f t="shared" si="83"/>
        <v>0.10724833101420155</v>
      </c>
      <c r="AX45" s="5">
        <f t="shared" si="84"/>
        <v>0.37739599443408378</v>
      </c>
      <c r="AY45" s="5">
        <f t="shared" si="85"/>
        <v>2.7494601245163159</v>
      </c>
      <c r="AZ45" s="5">
        <f t="shared" si="86"/>
        <v>1.1487891402938053</v>
      </c>
      <c r="BA45" s="5">
        <f t="shared" si="87"/>
        <v>0.17382455168002986</v>
      </c>
      <c r="BB45" s="469">
        <f t="shared" si="88"/>
        <v>21.164501757159144</v>
      </c>
      <c r="BC45" s="5"/>
      <c r="BD45" s="177">
        <f t="shared" si="57"/>
        <v>0.19889594745706227</v>
      </c>
      <c r="BE45" s="177">
        <f t="shared" si="89"/>
        <v>3942.8206546205211</v>
      </c>
      <c r="BF45" s="177">
        <f t="shared" si="90"/>
        <v>19467.876841305544</v>
      </c>
      <c r="BG45" s="177"/>
      <c r="BH45" s="538">
        <f t="shared" si="34"/>
        <v>1.3845859270194865E-2</v>
      </c>
      <c r="BI45" s="538">
        <f t="shared" si="35"/>
        <v>787.79102937419373</v>
      </c>
      <c r="BJ45" s="538">
        <f t="shared" si="36"/>
        <v>4.3749999999999995E-3</v>
      </c>
      <c r="BK45" s="538">
        <f t="shared" si="37"/>
        <v>8462927.8085788898</v>
      </c>
      <c r="BL45">
        <f t="shared" si="38"/>
        <v>6.96E-3</v>
      </c>
      <c r="BM45">
        <f t="shared" si="91"/>
        <v>1.6625000000000001E-5</v>
      </c>
      <c r="BN45">
        <f t="shared" si="92"/>
        <v>8485392.0786487292</v>
      </c>
      <c r="BO45" s="469">
        <f t="shared" si="58"/>
        <v>8485392078.6487293</v>
      </c>
      <c r="BP45" s="177">
        <f t="shared" si="93"/>
        <v>11877017.733339675</v>
      </c>
      <c r="BQ45" s="177">
        <f t="shared" si="94"/>
        <v>289554646.79039586</v>
      </c>
      <c r="BR45" s="538"/>
      <c r="BT45" s="469">
        <f t="shared" si="59"/>
        <v>301431664523.73553</v>
      </c>
      <c r="BU45" s="538">
        <f t="shared" si="43"/>
        <v>3.9559597914842473E-3</v>
      </c>
      <c r="BV45" s="538">
        <f t="shared" si="60"/>
        <v>466375.04143506585</v>
      </c>
      <c r="BW45" s="538">
        <f t="shared" si="95"/>
        <v>18949911.435412038</v>
      </c>
      <c r="BX45" s="538">
        <f t="shared" si="45"/>
        <v>0</v>
      </c>
      <c r="BY45" s="538">
        <f t="shared" si="96"/>
        <v>-14.000009013057818</v>
      </c>
      <c r="BZ45" s="538">
        <f t="shared" si="61"/>
        <v>19416286.480803065</v>
      </c>
      <c r="CA45" s="641">
        <f t="shared" si="97"/>
        <v>7.3333333333333332E-3</v>
      </c>
      <c r="CB45" s="469">
        <f t="shared" si="62"/>
        <v>-13992.675679724485</v>
      </c>
      <c r="CC45" s="177">
        <f t="shared" si="63"/>
        <v>309917042.60970861</v>
      </c>
      <c r="CD45" s="5">
        <f t="shared" si="64"/>
        <v>2.2000000000000002</v>
      </c>
      <c r="CE45" s="177">
        <f t="shared" si="65"/>
        <v>7.0986737801104701E-9</v>
      </c>
      <c r="CF45" s="5">
        <f t="shared" si="66"/>
        <v>7.0986737801104701E-7</v>
      </c>
      <c r="CG45">
        <f t="shared" si="102"/>
        <v>40.000000000000007</v>
      </c>
      <c r="CI45" s="571">
        <f t="shared" si="98"/>
        <v>-50</v>
      </c>
      <c r="CJ45">
        <f t="shared" si="99"/>
        <v>-50</v>
      </c>
    </row>
    <row r="46" spans="5:88" x14ac:dyDescent="0.25">
      <c r="E46" s="174">
        <v>41</v>
      </c>
      <c r="F46" s="221">
        <f t="shared" si="103"/>
        <v>4.1000000000000002E-2</v>
      </c>
      <c r="G46" s="221">
        <f t="shared" si="100"/>
        <v>0.20499999999999999</v>
      </c>
      <c r="H46" s="221">
        <f t="shared" si="70"/>
        <v>0.61499999999999999</v>
      </c>
      <c r="I46" s="221">
        <f t="shared" si="104"/>
        <v>1.64</v>
      </c>
      <c r="J46" s="551">
        <f t="shared" si="1"/>
        <v>24</v>
      </c>
      <c r="K46" s="451">
        <f t="shared" si="2"/>
        <v>695386.58000000007</v>
      </c>
      <c r="L46" s="451">
        <f t="shared" si="3"/>
        <v>695410.58000000007</v>
      </c>
      <c r="M46" s="451"/>
      <c r="N46" s="221">
        <f t="shared" si="4"/>
        <v>0.99996548801428931</v>
      </c>
      <c r="O46" s="176">
        <f t="shared" si="101"/>
        <v>2.2090146689770211</v>
      </c>
      <c r="P46" s="176">
        <f t="shared" si="71"/>
        <v>5.8907057839387225</v>
      </c>
      <c r="Q46" s="221">
        <f t="shared" si="6"/>
        <v>0.14726764459846808</v>
      </c>
      <c r="R46" s="221">
        <f t="shared" si="72"/>
        <v>0.27612683362212764</v>
      </c>
      <c r="S46" s="451">
        <f t="shared" si="73"/>
        <v>15</v>
      </c>
      <c r="T46" s="221">
        <f t="shared" si="74"/>
        <v>0.20880350251979157</v>
      </c>
      <c r="U46" s="221">
        <f t="shared" si="10"/>
        <v>0.26100437814973948</v>
      </c>
      <c r="V46" s="221">
        <f t="shared" si="11"/>
        <v>9.0080902562050392E-6</v>
      </c>
      <c r="W46" s="201">
        <f t="shared" si="12"/>
        <v>350</v>
      </c>
      <c r="X46" s="451">
        <f t="shared" si="52"/>
        <v>350</v>
      </c>
      <c r="Z46" s="221">
        <f t="shared" si="13"/>
        <v>2.2856354011755182</v>
      </c>
      <c r="AA46" s="177">
        <f t="shared" si="14"/>
        <v>9.8605673459021225E-5</v>
      </c>
      <c r="AB46" s="177">
        <f t="shared" si="75"/>
        <v>0.4914588143407696</v>
      </c>
      <c r="AC46" s="177"/>
      <c r="AD46" s="177">
        <f t="shared" si="16"/>
        <v>6.4712206554230591E-6</v>
      </c>
      <c r="AE46" s="555">
        <f t="shared" si="76"/>
        <v>6779.4765432098784</v>
      </c>
      <c r="AF46" s="538">
        <f t="shared" si="77"/>
        <v>2.1166825946720815E-3</v>
      </c>
      <c r="AH46" s="177">
        <f t="shared" si="78"/>
        <v>0.65538066001661166</v>
      </c>
      <c r="AI46" s="177">
        <f t="shared" si="79"/>
        <v>0.65538066001661166</v>
      </c>
      <c r="AJ46" s="177">
        <f t="shared" si="80"/>
        <v>1.5743560444567493</v>
      </c>
      <c r="AL46" s="555">
        <f t="shared" si="81"/>
        <v>41</v>
      </c>
      <c r="AM46" s="469">
        <f t="shared" si="82"/>
        <v>350</v>
      </c>
      <c r="AO46">
        <f t="shared" si="53"/>
        <v>41</v>
      </c>
      <c r="AP46" s="469">
        <f t="shared" si="24"/>
        <v>350</v>
      </c>
      <c r="AQ46" s="469"/>
      <c r="AR46" s="5">
        <f t="shared" si="54"/>
        <v>2.8571428571428572</v>
      </c>
      <c r="AS46" s="5">
        <f t="shared" si="25"/>
        <v>0.81922582502076458</v>
      </c>
      <c r="AT46" s="5">
        <f t="shared" si="55"/>
        <v>2.0379170321220927</v>
      </c>
      <c r="AU46" s="177">
        <f t="shared" si="56"/>
        <v>0.28672903875726757</v>
      </c>
      <c r="AW46" s="5">
        <f t="shared" si="83"/>
        <v>0.10724833101420155</v>
      </c>
      <c r="AX46" s="5">
        <f t="shared" si="84"/>
        <v>0.39342666665230913</v>
      </c>
      <c r="AY46" s="5">
        <f t="shared" si="85"/>
        <v>2.7494601245163159</v>
      </c>
      <c r="AZ46" s="5">
        <f t="shared" si="86"/>
        <v>1.1966965905211788</v>
      </c>
      <c r="BA46" s="5">
        <f t="shared" si="87"/>
        <v>0.1772956368609305</v>
      </c>
      <c r="BB46" s="469">
        <f t="shared" si="88"/>
        <v>21.588670867756104</v>
      </c>
      <c r="BC46" s="5"/>
      <c r="BD46" s="177">
        <f t="shared" si="57"/>
        <v>0.20261371212903434</v>
      </c>
      <c r="BE46" s="177">
        <f t="shared" si="89"/>
        <v>3981.9929610006034</v>
      </c>
      <c r="BF46" s="177">
        <f t="shared" si="90"/>
        <v>19661.292089676946</v>
      </c>
      <c r="BG46" s="177"/>
      <c r="BH46" s="538">
        <f t="shared" si="34"/>
        <v>1.4368310719947517E-2</v>
      </c>
      <c r="BI46" s="538">
        <f t="shared" si="35"/>
        <v>797.57762858013587</v>
      </c>
      <c r="BJ46" s="538">
        <f t="shared" si="36"/>
        <v>4.3749999999999995E-3</v>
      </c>
      <c r="BK46" s="538">
        <f t="shared" si="37"/>
        <v>8462927.8085788898</v>
      </c>
      <c r="BL46">
        <f t="shared" si="38"/>
        <v>6.96E-3</v>
      </c>
      <c r="BM46">
        <f t="shared" si="91"/>
        <v>1.6625000000000001E-5</v>
      </c>
      <c r="BN46">
        <f t="shared" si="92"/>
        <v>8486221.9922983162</v>
      </c>
      <c r="BO46" s="469">
        <f t="shared" si="58"/>
        <v>8486221992.298316</v>
      </c>
      <c r="BP46" s="177">
        <f t="shared" si="93"/>
        <v>12114188.719020678</v>
      </c>
      <c r="BQ46" s="177">
        <f t="shared" si="94"/>
        <v>295336734.72832566</v>
      </c>
      <c r="BR46" s="538"/>
      <c r="BT46" s="469">
        <f t="shared" si="59"/>
        <v>307450923447.34631</v>
      </c>
      <c r="BU46" s="538">
        <f t="shared" si="43"/>
        <v>4.1052316342707193E-3</v>
      </c>
      <c r="BV46" s="538">
        <f t="shared" si="60"/>
        <v>475688.03824375052</v>
      </c>
      <c r="BW46" s="538">
        <f t="shared" si="95"/>
        <v>19328320.331779666</v>
      </c>
      <c r="BX46" s="538">
        <f t="shared" si="45"/>
        <v>0</v>
      </c>
      <c r="BY46" s="538">
        <f t="shared" si="96"/>
        <v>-14.000008836600509</v>
      </c>
      <c r="BZ46" s="538">
        <f t="shared" si="61"/>
        <v>19804008.374128647</v>
      </c>
      <c r="CA46" s="641">
        <f t="shared" si="97"/>
        <v>7.516666666666668E-3</v>
      </c>
      <c r="CB46" s="469">
        <f t="shared" si="62"/>
        <v>-13992.492169933841</v>
      </c>
      <c r="CC46" s="177">
        <f t="shared" si="63"/>
        <v>315937131.4471525</v>
      </c>
      <c r="CD46" s="5">
        <f t="shared" si="64"/>
        <v>2.2549999999999999</v>
      </c>
      <c r="CE46" s="177">
        <f t="shared" si="65"/>
        <v>7.1374959112146829E-9</v>
      </c>
      <c r="CF46" s="5">
        <f t="shared" si="66"/>
        <v>7.1374959112146828E-7</v>
      </c>
      <c r="CG46">
        <f t="shared" si="102"/>
        <v>41</v>
      </c>
      <c r="CI46" s="571">
        <f t="shared" si="98"/>
        <v>-50</v>
      </c>
      <c r="CJ46">
        <f t="shared" si="99"/>
        <v>-50</v>
      </c>
    </row>
    <row r="47" spans="5:88" x14ac:dyDescent="0.25">
      <c r="E47" s="174">
        <v>42</v>
      </c>
      <c r="F47" s="221">
        <f t="shared" si="103"/>
        <v>4.2000000000000003E-2</v>
      </c>
      <c r="G47" s="221">
        <f t="shared" si="100"/>
        <v>0.21</v>
      </c>
      <c r="H47" s="221">
        <f t="shared" si="70"/>
        <v>0.63</v>
      </c>
      <c r="I47" s="221">
        <f t="shared" si="104"/>
        <v>1.68</v>
      </c>
      <c r="J47" s="551">
        <f t="shared" si="1"/>
        <v>24</v>
      </c>
      <c r="K47" s="451">
        <f t="shared" si="2"/>
        <v>695386.58000000007</v>
      </c>
      <c r="L47" s="451">
        <f t="shared" si="3"/>
        <v>695410.58000000007</v>
      </c>
      <c r="M47" s="451"/>
      <c r="N47" s="221">
        <f t="shared" si="4"/>
        <v>0.99996548801428931</v>
      </c>
      <c r="O47" s="176">
        <f t="shared" si="101"/>
        <v>2.2090146689770211</v>
      </c>
      <c r="P47" s="176">
        <f t="shared" si="71"/>
        <v>5.8907057839387225</v>
      </c>
      <c r="Q47" s="221">
        <f t="shared" si="6"/>
        <v>0.14726764459846808</v>
      </c>
      <c r="R47" s="221">
        <f t="shared" si="72"/>
        <v>0.27612683362212764</v>
      </c>
      <c r="S47" s="451">
        <f t="shared" si="73"/>
        <v>15</v>
      </c>
      <c r="T47" s="221">
        <f t="shared" si="74"/>
        <v>0.21389627087393287</v>
      </c>
      <c r="U47" s="221">
        <f t="shared" si="10"/>
        <v>0.2673703385924161</v>
      </c>
      <c r="V47" s="221">
        <f t="shared" si="11"/>
        <v>9.227799774649068E-6</v>
      </c>
      <c r="W47" s="201">
        <f t="shared" si="12"/>
        <v>350</v>
      </c>
      <c r="X47" s="451">
        <f t="shared" si="52"/>
        <v>350</v>
      </c>
      <c r="Z47" s="221">
        <f t="shared" si="13"/>
        <v>2.2856354011755182</v>
      </c>
      <c r="AA47" s="177">
        <f t="shared" si="14"/>
        <v>9.8605673459021225E-5</v>
      </c>
      <c r="AB47" s="177">
        <f t="shared" si="75"/>
        <v>0.4914588143407696</v>
      </c>
      <c r="AC47" s="177"/>
      <c r="AD47" s="177">
        <f t="shared" si="16"/>
        <v>6.4712206554230591E-6</v>
      </c>
      <c r="AE47" s="555">
        <f t="shared" si="76"/>
        <v>6944.8296296296312</v>
      </c>
      <c r="AF47" s="538">
        <f t="shared" si="77"/>
        <v>2.1166825946720815E-3</v>
      </c>
      <c r="AH47" s="177">
        <f t="shared" si="78"/>
        <v>0.66332495807107994</v>
      </c>
      <c r="AI47" s="177">
        <f t="shared" si="79"/>
        <v>0.66332495807107994</v>
      </c>
      <c r="AJ47" s="177">
        <f t="shared" si="80"/>
        <v>1.5802407096822813</v>
      </c>
      <c r="AL47" s="555">
        <f t="shared" si="81"/>
        <v>42</v>
      </c>
      <c r="AM47" s="469">
        <f t="shared" si="82"/>
        <v>350</v>
      </c>
      <c r="AO47">
        <f t="shared" si="53"/>
        <v>42</v>
      </c>
      <c r="AP47" s="469">
        <f t="shared" si="24"/>
        <v>350</v>
      </c>
      <c r="AQ47" s="469"/>
      <c r="AR47" s="5">
        <f t="shared" si="54"/>
        <v>2.8571428571428572</v>
      </c>
      <c r="AS47" s="5">
        <f t="shared" si="25"/>
        <v>0.82915619758884995</v>
      </c>
      <c r="AT47" s="5">
        <f t="shared" si="55"/>
        <v>2.0279866595540073</v>
      </c>
      <c r="AU47" s="177">
        <f t="shared" si="56"/>
        <v>0.29020466915609749</v>
      </c>
      <c r="AW47" s="5">
        <f t="shared" si="83"/>
        <v>0.10724833101420155</v>
      </c>
      <c r="AX47" s="5">
        <f t="shared" si="84"/>
        <v>0.4097790838635772</v>
      </c>
      <c r="AY47" s="5">
        <f t="shared" si="85"/>
        <v>2.7494601245163159</v>
      </c>
      <c r="AZ47" s="5">
        <f t="shared" si="86"/>
        <v>1.2455400271739201</v>
      </c>
      <c r="BA47" s="5">
        <f t="shared" si="87"/>
        <v>0.18073492220562332</v>
      </c>
      <c r="BB47" s="469">
        <f t="shared" si="88"/>
        <v>22.009023998008129</v>
      </c>
      <c r="BC47" s="5"/>
      <c r="BD47" s="177">
        <f t="shared" si="57"/>
        <v>0.20630887396384001</v>
      </c>
      <c r="BE47" s="177">
        <f t="shared" si="89"/>
        <v>4020.4299745273102</v>
      </c>
      <c r="BF47" s="177">
        <f t="shared" si="90"/>
        <v>19851.076792313273</v>
      </c>
      <c r="BG47" s="177"/>
      <c r="BH47" s="538">
        <f t="shared" si="34"/>
        <v>1.4897173016679668E-2</v>
      </c>
      <c r="BI47" s="538">
        <f t="shared" si="35"/>
        <v>807.24558918619948</v>
      </c>
      <c r="BJ47" s="538">
        <f t="shared" si="36"/>
        <v>4.3749999999999995E-3</v>
      </c>
      <c r="BK47" s="538">
        <f t="shared" si="37"/>
        <v>8462927.8085788898</v>
      </c>
      <c r="BL47">
        <f t="shared" si="38"/>
        <v>6.96E-3</v>
      </c>
      <c r="BM47">
        <f t="shared" si="91"/>
        <v>1.6625000000000001E-5</v>
      </c>
      <c r="BN47">
        <f t="shared" si="92"/>
        <v>8487062.0135880299</v>
      </c>
      <c r="BO47" s="469">
        <f t="shared" si="58"/>
        <v>8487062013.5880299</v>
      </c>
      <c r="BP47" s="177">
        <f t="shared" si="93"/>
        <v>12349186.897612333</v>
      </c>
      <c r="BQ47" s="177">
        <f t="shared" si="94"/>
        <v>301065850.91830438</v>
      </c>
      <c r="BR47" s="538"/>
      <c r="BT47" s="469">
        <f t="shared" si="59"/>
        <v>313415037815.91669</v>
      </c>
      <c r="BU47" s="538">
        <f t="shared" si="43"/>
        <v>4.256335147622763E-3</v>
      </c>
      <c r="BV47" s="538">
        <f t="shared" si="60"/>
        <v>484915.71540233004</v>
      </c>
      <c r="BW47" s="538">
        <f t="shared" si="95"/>
        <v>19703262.490715932</v>
      </c>
      <c r="BX47" s="538">
        <f t="shared" si="45"/>
        <v>0</v>
      </c>
      <c r="BY47" s="538">
        <f t="shared" si="96"/>
        <v>-14.000008668444799</v>
      </c>
      <c r="BZ47" s="538">
        <f t="shared" si="61"/>
        <v>20188178.210374597</v>
      </c>
      <c r="CA47" s="641">
        <f t="shared" si="97"/>
        <v>7.6999999999999994E-3</v>
      </c>
      <c r="CB47" s="469">
        <f t="shared" si="62"/>
        <v>-13992.308668444799</v>
      </c>
      <c r="CC47" s="177">
        <f t="shared" si="63"/>
        <v>321902085.83719611</v>
      </c>
      <c r="CD47" s="5">
        <f t="shared" si="64"/>
        <v>2.31</v>
      </c>
      <c r="CE47" s="177">
        <f t="shared" si="65"/>
        <v>7.1760951079749026E-9</v>
      </c>
      <c r="CF47" s="5">
        <f t="shared" si="66"/>
        <v>7.1760951079749031E-7</v>
      </c>
      <c r="CG47">
        <f t="shared" si="102"/>
        <v>42</v>
      </c>
      <c r="CI47" s="571">
        <f t="shared" si="98"/>
        <v>-50</v>
      </c>
      <c r="CJ47">
        <f t="shared" si="99"/>
        <v>-50</v>
      </c>
    </row>
    <row r="48" spans="5:88" x14ac:dyDescent="0.25">
      <c r="E48" s="174">
        <v>43</v>
      </c>
      <c r="F48" s="221">
        <f t="shared" si="103"/>
        <v>4.3000000000000003E-2</v>
      </c>
      <c r="G48" s="221">
        <f t="shared" si="100"/>
        <v>0.215</v>
      </c>
      <c r="H48" s="221">
        <f t="shared" si="70"/>
        <v>0.64500000000000002</v>
      </c>
      <c r="I48" s="221">
        <f t="shared" si="104"/>
        <v>1.72</v>
      </c>
      <c r="J48" s="551">
        <f t="shared" si="1"/>
        <v>24</v>
      </c>
      <c r="K48" s="451">
        <f t="shared" si="2"/>
        <v>695386.58000000007</v>
      </c>
      <c r="L48" s="451">
        <f t="shared" si="3"/>
        <v>695410.58000000007</v>
      </c>
      <c r="M48" s="451"/>
      <c r="N48" s="221">
        <f t="shared" si="4"/>
        <v>0.99996548801428931</v>
      </c>
      <c r="O48" s="176">
        <f t="shared" si="101"/>
        <v>2.2090146689770211</v>
      </c>
      <c r="P48" s="176">
        <f t="shared" si="71"/>
        <v>5.8907057839387225</v>
      </c>
      <c r="Q48" s="221">
        <f t="shared" si="6"/>
        <v>0.14726764459846808</v>
      </c>
      <c r="R48" s="221">
        <f t="shared" si="72"/>
        <v>0.27612683362212764</v>
      </c>
      <c r="S48" s="451">
        <f t="shared" si="73"/>
        <v>15</v>
      </c>
      <c r="T48" s="221">
        <f t="shared" si="74"/>
        <v>0.21898903922807414</v>
      </c>
      <c r="U48" s="221">
        <f t="shared" si="10"/>
        <v>0.27373629903509267</v>
      </c>
      <c r="V48" s="221">
        <f t="shared" si="11"/>
        <v>9.4475092930930918E-6</v>
      </c>
      <c r="W48" s="201">
        <f t="shared" si="12"/>
        <v>350</v>
      </c>
      <c r="X48" s="451">
        <f t="shared" si="52"/>
        <v>350</v>
      </c>
      <c r="Z48" s="221">
        <f t="shared" si="13"/>
        <v>2.2856354011755182</v>
      </c>
      <c r="AA48" s="177">
        <f t="shared" si="14"/>
        <v>9.8605673459021225E-5</v>
      </c>
      <c r="AB48" s="177">
        <f t="shared" si="75"/>
        <v>0.4914588143407696</v>
      </c>
      <c r="AC48" s="177"/>
      <c r="AD48" s="177">
        <f t="shared" si="16"/>
        <v>6.4712206554230591E-6</v>
      </c>
      <c r="AE48" s="555">
        <f t="shared" si="76"/>
        <v>7110.1827160493849</v>
      </c>
      <c r="AF48" s="538">
        <f t="shared" si="77"/>
        <v>2.1166825946720815E-3</v>
      </c>
      <c r="AH48" s="177">
        <f t="shared" si="78"/>
        <v>0.67117523082738273</v>
      </c>
      <c r="AI48" s="177">
        <f t="shared" si="79"/>
        <v>0.67117523082738273</v>
      </c>
      <c r="AJ48" s="177">
        <f t="shared" si="80"/>
        <v>1.586055726538802</v>
      </c>
      <c r="AL48" s="555">
        <f t="shared" si="81"/>
        <v>43</v>
      </c>
      <c r="AM48" s="469">
        <f t="shared" si="82"/>
        <v>350</v>
      </c>
      <c r="AO48">
        <f t="shared" si="53"/>
        <v>43</v>
      </c>
      <c r="AP48" s="469">
        <f t="shared" si="24"/>
        <v>350</v>
      </c>
      <c r="AQ48" s="469"/>
      <c r="AR48" s="5">
        <f t="shared" si="54"/>
        <v>2.8571428571428572</v>
      </c>
      <c r="AS48" s="5">
        <f t="shared" si="25"/>
        <v>0.83896903853422844</v>
      </c>
      <c r="AT48" s="5">
        <f t="shared" si="55"/>
        <v>2.0181738186086289</v>
      </c>
      <c r="AU48" s="177">
        <f t="shared" si="56"/>
        <v>0.29363916348697994</v>
      </c>
      <c r="AW48" s="5">
        <f t="shared" si="83"/>
        <v>0.10724833101420155</v>
      </c>
      <c r="AX48" s="5">
        <f t="shared" si="84"/>
        <v>0.42645324606788793</v>
      </c>
      <c r="AY48" s="5">
        <f t="shared" si="85"/>
        <v>2.7494601245163159</v>
      </c>
      <c r="AZ48" s="5">
        <f t="shared" si="86"/>
        <v>1.2953194502520287</v>
      </c>
      <c r="BA48" s="5">
        <f t="shared" si="87"/>
        <v>0.18414278861919006</v>
      </c>
      <c r="BB48" s="469">
        <f t="shared" si="88"/>
        <v>22.425606856525039</v>
      </c>
      <c r="BC48" s="5"/>
      <c r="BD48" s="177">
        <f t="shared" si="57"/>
        <v>0.20998210379476787</v>
      </c>
      <c r="BE48" s="177">
        <f t="shared" si="89"/>
        <v>4058.1567855673848</v>
      </c>
      <c r="BF48" s="177">
        <f t="shared" si="90"/>
        <v>20037.354834172136</v>
      </c>
      <c r="BG48" s="177"/>
      <c r="BH48" s="538">
        <f t="shared" si="34"/>
        <v>1.5432369369926832E-2</v>
      </c>
      <c r="BI48" s="538">
        <f t="shared" si="35"/>
        <v>816.79912396478244</v>
      </c>
      <c r="BJ48" s="538">
        <f t="shared" si="36"/>
        <v>4.3749999999999995E-3</v>
      </c>
      <c r="BK48" s="538">
        <f t="shared" si="37"/>
        <v>8462927.8085788898</v>
      </c>
      <c r="BL48">
        <f t="shared" si="38"/>
        <v>6.96E-3</v>
      </c>
      <c r="BM48">
        <f t="shared" si="91"/>
        <v>1.6625000000000001E-5</v>
      </c>
      <c r="BN48">
        <f t="shared" si="92"/>
        <v>8487912.0321002714</v>
      </c>
      <c r="BO48" s="469">
        <f t="shared" si="58"/>
        <v>8487912032.1002712</v>
      </c>
      <c r="BP48" s="177">
        <f t="shared" si="93"/>
        <v>12582038.295451906</v>
      </c>
      <c r="BQ48" s="177">
        <f t="shared" si="94"/>
        <v>306742629.86699581</v>
      </c>
      <c r="BR48" s="538"/>
      <c r="BT48" s="469">
        <f t="shared" si="59"/>
        <v>319324668162.44769</v>
      </c>
      <c r="BU48" s="538">
        <f t="shared" si="43"/>
        <v>4.4092483914076669E-3</v>
      </c>
      <c r="BV48" s="538">
        <f t="shared" si="60"/>
        <v>494059.09488739824</v>
      </c>
      <c r="BW48" s="538">
        <f t="shared" si="95"/>
        <v>20074779.437526073</v>
      </c>
      <c r="BX48" s="538">
        <f t="shared" si="45"/>
        <v>0</v>
      </c>
      <c r="BY48" s="538">
        <f t="shared" si="96"/>
        <v>-14.000008508020814</v>
      </c>
      <c r="BZ48" s="538">
        <f t="shared" si="61"/>
        <v>20568838.536822721</v>
      </c>
      <c r="CA48" s="641">
        <f t="shared" si="97"/>
        <v>7.8833333333333325E-3</v>
      </c>
      <c r="CB48" s="469">
        <f t="shared" si="62"/>
        <v>-13992.12517468748</v>
      </c>
      <c r="CC48" s="177">
        <f t="shared" si="63"/>
        <v>327812566.2024228</v>
      </c>
      <c r="CD48" s="5">
        <f t="shared" si="64"/>
        <v>2.3650000000000002</v>
      </c>
      <c r="CE48" s="177">
        <f t="shared" si="65"/>
        <v>7.2144884814371575E-9</v>
      </c>
      <c r="CF48" s="5">
        <f t="shared" si="66"/>
        <v>7.214488481437157E-7</v>
      </c>
      <c r="CG48">
        <f t="shared" si="102"/>
        <v>43</v>
      </c>
      <c r="CI48" s="571">
        <f t="shared" si="98"/>
        <v>-50</v>
      </c>
      <c r="CJ48">
        <f t="shared" si="99"/>
        <v>-50</v>
      </c>
    </row>
    <row r="49" spans="5:88" x14ac:dyDescent="0.25">
      <c r="E49" s="174">
        <v>44</v>
      </c>
      <c r="F49" s="221">
        <f t="shared" si="103"/>
        <v>4.4000000000000004E-2</v>
      </c>
      <c r="G49" s="221">
        <f t="shared" si="100"/>
        <v>0.22</v>
      </c>
      <c r="H49" s="221">
        <f t="shared" si="70"/>
        <v>0.66</v>
      </c>
      <c r="I49" s="221">
        <f t="shared" si="104"/>
        <v>1.76</v>
      </c>
      <c r="J49" s="551">
        <f t="shared" si="1"/>
        <v>24</v>
      </c>
      <c r="K49" s="451">
        <f t="shared" si="2"/>
        <v>695386.58000000007</v>
      </c>
      <c r="L49" s="451">
        <f t="shared" si="3"/>
        <v>695410.58000000007</v>
      </c>
      <c r="M49" s="451"/>
      <c r="N49" s="221">
        <f t="shared" si="4"/>
        <v>0.99996548801428931</v>
      </c>
      <c r="O49" s="176">
        <f t="shared" si="101"/>
        <v>2.2090146689770211</v>
      </c>
      <c r="P49" s="176">
        <f t="shared" si="71"/>
        <v>5.8907057839387225</v>
      </c>
      <c r="Q49" s="221">
        <f t="shared" si="6"/>
        <v>0.14726764459846808</v>
      </c>
      <c r="R49" s="221">
        <f t="shared" si="72"/>
        <v>0.27612683362212764</v>
      </c>
      <c r="S49" s="451">
        <f t="shared" si="73"/>
        <v>15</v>
      </c>
      <c r="T49" s="221">
        <f t="shared" si="74"/>
        <v>0.22408180758221535</v>
      </c>
      <c r="U49" s="221">
        <f t="shared" si="10"/>
        <v>0.28010225947776923</v>
      </c>
      <c r="V49" s="221">
        <f t="shared" si="11"/>
        <v>9.6672188115371173E-6</v>
      </c>
      <c r="W49" s="201">
        <f t="shared" si="12"/>
        <v>350</v>
      </c>
      <c r="X49" s="451">
        <f t="shared" si="52"/>
        <v>350</v>
      </c>
      <c r="Z49" s="221">
        <f t="shared" si="13"/>
        <v>2.2856354011755182</v>
      </c>
      <c r="AA49" s="177">
        <f t="shared" si="14"/>
        <v>9.8605673459021225E-5</v>
      </c>
      <c r="AB49" s="177">
        <f t="shared" si="75"/>
        <v>0.4914588143407696</v>
      </c>
      <c r="AC49" s="177"/>
      <c r="AD49" s="177">
        <f t="shared" si="16"/>
        <v>6.4712206554230591E-6</v>
      </c>
      <c r="AE49" s="555">
        <f t="shared" si="76"/>
        <v>7275.5358024691377</v>
      </c>
      <c r="AF49" s="538">
        <f t="shared" si="77"/>
        <v>2.1166825946720815E-3</v>
      </c>
      <c r="AH49" s="177">
        <f t="shared" si="78"/>
        <v>0.6789347398332044</v>
      </c>
      <c r="AI49" s="177">
        <f t="shared" si="79"/>
        <v>0.6789347398332044</v>
      </c>
      <c r="AJ49" s="177">
        <f t="shared" si="80"/>
        <v>1.5918035109875588</v>
      </c>
      <c r="AL49" s="555">
        <f t="shared" si="81"/>
        <v>44.000000000000007</v>
      </c>
      <c r="AM49" s="469">
        <f t="shared" si="82"/>
        <v>350</v>
      </c>
      <c r="AO49">
        <f t="shared" si="53"/>
        <v>44.000000000000007</v>
      </c>
      <c r="AP49" s="469">
        <f t="shared" si="24"/>
        <v>350</v>
      </c>
      <c r="AQ49" s="469"/>
      <c r="AR49" s="5">
        <f t="shared" si="54"/>
        <v>2.8571428571428572</v>
      </c>
      <c r="AS49" s="5">
        <f t="shared" si="25"/>
        <v>0.8486684247915055</v>
      </c>
      <c r="AT49" s="5">
        <f t="shared" si="55"/>
        <v>2.0084744323513517</v>
      </c>
      <c r="AU49" s="177">
        <f t="shared" si="56"/>
        <v>0.29703394867702693</v>
      </c>
      <c r="AW49" s="5">
        <f t="shared" si="83"/>
        <v>0.10724833101420155</v>
      </c>
      <c r="AX49" s="5">
        <f t="shared" si="84"/>
        <v>0.44344915326524126</v>
      </c>
      <c r="AY49" s="5">
        <f t="shared" si="85"/>
        <v>2.7494601245163159</v>
      </c>
      <c r="AZ49" s="5">
        <f t="shared" si="86"/>
        <v>1.3460348597555043</v>
      </c>
      <c r="BA49" s="5">
        <f t="shared" si="87"/>
        <v>0.18751960363774192</v>
      </c>
      <c r="BB49" s="469">
        <f t="shared" si="88"/>
        <v>22.838463547640142</v>
      </c>
      <c r="BC49" s="5"/>
      <c r="BD49" s="177">
        <f t="shared" si="57"/>
        <v>0.21363403744594234</v>
      </c>
      <c r="BE49" s="177">
        <f t="shared" si="89"/>
        <v>4095.1970355784324</v>
      </c>
      <c r="BF49" s="177">
        <f t="shared" si="90"/>
        <v>20220.242946148825</v>
      </c>
      <c r="BG49" s="177"/>
      <c r="BH49" s="538">
        <f t="shared" si="34"/>
        <v>1.5973825684409002E-2</v>
      </c>
      <c r="BI49" s="538">
        <f t="shared" si="35"/>
        <v>826.24220211672628</v>
      </c>
      <c r="BJ49" s="538">
        <f t="shared" si="36"/>
        <v>4.3749999999999995E-3</v>
      </c>
      <c r="BK49" s="538">
        <f t="shared" si="37"/>
        <v>8462927.8085788898</v>
      </c>
      <c r="BL49">
        <f t="shared" si="38"/>
        <v>6.96E-3</v>
      </c>
      <c r="BM49">
        <f t="shared" si="91"/>
        <v>1.6625000000000001E-5</v>
      </c>
      <c r="BN49">
        <f t="shared" si="92"/>
        <v>8488771.9413855746</v>
      </c>
      <c r="BO49" s="469">
        <f t="shared" si="58"/>
        <v>8488771941.3855743</v>
      </c>
      <c r="BP49" s="177">
        <f t="shared" si="93"/>
        <v>12812768.025406726</v>
      </c>
      <c r="BQ49" s="177">
        <f t="shared" si="94"/>
        <v>312367683.81120878</v>
      </c>
      <c r="BR49" s="538"/>
      <c r="BT49" s="469">
        <f t="shared" si="59"/>
        <v>325180451836.61548</v>
      </c>
      <c r="BU49" s="538">
        <f t="shared" si="43"/>
        <v>4.5639501955454295E-3</v>
      </c>
      <c r="BV49" s="538">
        <f t="shared" si="60"/>
        <v>503119.16280631139</v>
      </c>
      <c r="BW49" s="538">
        <f t="shared" si="95"/>
        <v>20442911.240064066</v>
      </c>
      <c r="BX49" s="538">
        <f t="shared" si="45"/>
        <v>0</v>
      </c>
      <c r="BY49" s="538">
        <f t="shared" si="96"/>
        <v>-14.000008354810006</v>
      </c>
      <c r="BZ49" s="538">
        <f t="shared" si="61"/>
        <v>20946030.407434326</v>
      </c>
      <c r="CA49" s="641">
        <f t="shared" si="97"/>
        <v>8.0666666666666682E-3</v>
      </c>
      <c r="CB49" s="469">
        <f t="shared" si="62"/>
        <v>-13991.941688143341</v>
      </c>
      <c r="CC49" s="177">
        <f t="shared" si="63"/>
        <v>333669209.78605938</v>
      </c>
      <c r="CD49" s="5">
        <f t="shared" si="64"/>
        <v>2.42</v>
      </c>
      <c r="CE49" s="177">
        <f t="shared" si="65"/>
        <v>7.2526919220389882E-9</v>
      </c>
      <c r="CF49" s="5">
        <f t="shared" si="66"/>
        <v>7.2526919220389885E-7</v>
      </c>
      <c r="CG49">
        <f t="shared" si="102"/>
        <v>44</v>
      </c>
      <c r="CI49" s="571">
        <f t="shared" si="98"/>
        <v>-50</v>
      </c>
      <c r="CJ49">
        <f t="shared" si="99"/>
        <v>-50</v>
      </c>
    </row>
    <row r="50" spans="5:88" x14ac:dyDescent="0.25">
      <c r="E50" s="174">
        <v>45</v>
      </c>
      <c r="F50" s="221">
        <f t="shared" si="103"/>
        <v>4.5000000000000005E-2</v>
      </c>
      <c r="G50" s="221">
        <f t="shared" si="100"/>
        <v>0.22500000000000001</v>
      </c>
      <c r="H50" s="221">
        <f t="shared" si="70"/>
        <v>0.67500000000000004</v>
      </c>
      <c r="I50" s="221">
        <f t="shared" si="104"/>
        <v>1.8</v>
      </c>
      <c r="J50" s="551">
        <f t="shared" si="1"/>
        <v>24</v>
      </c>
      <c r="K50" s="451">
        <f t="shared" si="2"/>
        <v>695386.58000000007</v>
      </c>
      <c r="L50" s="451">
        <f t="shared" si="3"/>
        <v>695410.58000000007</v>
      </c>
      <c r="M50" s="451"/>
      <c r="N50" s="221">
        <f t="shared" si="4"/>
        <v>0.99996548801428931</v>
      </c>
      <c r="O50" s="176">
        <f t="shared" si="101"/>
        <v>2.2090146689770211</v>
      </c>
      <c r="P50" s="176">
        <f t="shared" si="71"/>
        <v>5.8907057839387225</v>
      </c>
      <c r="Q50" s="221">
        <f t="shared" si="6"/>
        <v>0.14726764459846808</v>
      </c>
      <c r="R50" s="221">
        <f t="shared" si="72"/>
        <v>0.27612683362212764</v>
      </c>
      <c r="S50" s="451">
        <f t="shared" si="73"/>
        <v>15</v>
      </c>
      <c r="T50" s="221">
        <f t="shared" si="74"/>
        <v>0.22917457593635665</v>
      </c>
      <c r="U50" s="221">
        <f t="shared" si="10"/>
        <v>0.2864682199204458</v>
      </c>
      <c r="V50" s="221">
        <f t="shared" si="11"/>
        <v>9.8869283299811427E-6</v>
      </c>
      <c r="W50" s="201">
        <f t="shared" si="12"/>
        <v>350</v>
      </c>
      <c r="X50" s="451">
        <f t="shared" si="52"/>
        <v>350</v>
      </c>
      <c r="Z50" s="221">
        <f t="shared" si="13"/>
        <v>2.2856354011755182</v>
      </c>
      <c r="AA50" s="177">
        <f t="shared" si="14"/>
        <v>9.8605673459021225E-5</v>
      </c>
      <c r="AB50" s="177">
        <f t="shared" si="75"/>
        <v>0.4914588143407696</v>
      </c>
      <c r="AC50" s="177"/>
      <c r="AD50" s="177">
        <f t="shared" si="16"/>
        <v>6.4712206554230591E-6</v>
      </c>
      <c r="AE50" s="555">
        <f t="shared" si="76"/>
        <v>7440.8888888888914</v>
      </c>
      <c r="AF50" s="538">
        <f t="shared" si="77"/>
        <v>2.1166825946720815E-3</v>
      </c>
      <c r="AH50" s="177">
        <f t="shared" si="78"/>
        <v>0.68660656232559514</v>
      </c>
      <c r="AI50" s="177">
        <f t="shared" si="79"/>
        <v>0.68660656232559514</v>
      </c>
      <c r="AJ50" s="177">
        <f t="shared" si="80"/>
        <v>1.5974863424634038</v>
      </c>
      <c r="AL50" s="555">
        <f t="shared" si="81"/>
        <v>45.000000000000007</v>
      </c>
      <c r="AM50" s="469">
        <f t="shared" si="82"/>
        <v>350</v>
      </c>
      <c r="AO50">
        <f t="shared" si="53"/>
        <v>45.000000000000007</v>
      </c>
      <c r="AP50" s="469">
        <f t="shared" si="24"/>
        <v>350</v>
      </c>
      <c r="AQ50" s="469"/>
      <c r="AR50" s="5">
        <f t="shared" si="54"/>
        <v>2.8571428571428572</v>
      </c>
      <c r="AS50" s="5">
        <f t="shared" si="25"/>
        <v>0.85825820290699395</v>
      </c>
      <c r="AT50" s="5">
        <f t="shared" si="55"/>
        <v>1.9988846542358631</v>
      </c>
      <c r="AU50" s="177">
        <f t="shared" si="56"/>
        <v>0.30039037101744787</v>
      </c>
      <c r="AW50" s="5">
        <f t="shared" si="83"/>
        <v>0.10724833101420155</v>
      </c>
      <c r="AX50" s="5">
        <f t="shared" si="84"/>
        <v>0.46076680545563714</v>
      </c>
      <c r="AY50" s="5">
        <f t="shared" si="85"/>
        <v>2.7494601245163159</v>
      </c>
      <c r="AZ50" s="5">
        <f t="shared" si="86"/>
        <v>1.3976862556843472</v>
      </c>
      <c r="BA50" s="5">
        <f t="shared" si="87"/>
        <v>0.19086572219266049</v>
      </c>
      <c r="BB50" s="469">
        <f t="shared" si="88"/>
        <v>23.247636663119266</v>
      </c>
      <c r="BC50" s="5"/>
      <c r="BD50" s="177">
        <f t="shared" si="57"/>
        <v>0.21726527831175568</v>
      </c>
      <c r="BE50" s="177">
        <f t="shared" si="89"/>
        <v>4131.5730315367882</v>
      </c>
      <c r="BF50" s="177">
        <f t="shared" si="90"/>
        <v>20399.851270069725</v>
      </c>
      <c r="BG50" s="177"/>
      <c r="BH50" s="538">
        <f t="shared" si="34"/>
        <v>1.6521470405959627E-2</v>
      </c>
      <c r="BI50" s="538">
        <f t="shared" si="35"/>
        <v>835.57856854263457</v>
      </c>
      <c r="BJ50" s="538">
        <f t="shared" si="36"/>
        <v>4.3749999999999995E-3</v>
      </c>
      <c r="BK50" s="538">
        <f t="shared" si="37"/>
        <v>8462927.8085788898</v>
      </c>
      <c r="BL50">
        <f t="shared" si="38"/>
        <v>6.96E-3</v>
      </c>
      <c r="BM50">
        <f t="shared" si="91"/>
        <v>1.6625000000000001E-5</v>
      </c>
      <c r="BN50">
        <f t="shared" si="92"/>
        <v>8489641.6387413386</v>
      </c>
      <c r="BO50" s="469">
        <f t="shared" si="58"/>
        <v>8489641638.7413387</v>
      </c>
      <c r="BP50" s="177">
        <f t="shared" si="93"/>
        <v>13041400.33909297</v>
      </c>
      <c r="BQ50" s="177">
        <f t="shared" si="94"/>
        <v>317941603.99095994</v>
      </c>
      <c r="BR50" s="538"/>
      <c r="BT50" s="469">
        <f t="shared" si="59"/>
        <v>330983004330.05292</v>
      </c>
      <c r="BU50" s="538">
        <f t="shared" si="43"/>
        <v>4.7204201159884657E-3</v>
      </c>
      <c r="BV50" s="538">
        <f t="shared" si="60"/>
        <v>512096.87144766253</v>
      </c>
      <c r="BW50" s="538">
        <f t="shared" si="95"/>
        <v>20807696.592048269</v>
      </c>
      <c r="BX50" s="538">
        <f t="shared" si="45"/>
        <v>0</v>
      </c>
      <c r="BY50" s="538">
        <f t="shared" si="96"/>
        <v>-14.000008208339489</v>
      </c>
      <c r="BZ50" s="538">
        <f t="shared" si="61"/>
        <v>21319793.468216352</v>
      </c>
      <c r="CA50" s="641">
        <f t="shared" si="97"/>
        <v>8.2499999999999987E-3</v>
      </c>
      <c r="CB50" s="469">
        <f t="shared" si="62"/>
        <v>-13991.758208339488</v>
      </c>
      <c r="CC50" s="177">
        <f t="shared" si="63"/>
        <v>339472631.977036</v>
      </c>
      <c r="CD50" s="5">
        <f t="shared" si="64"/>
        <v>2.4750000000000001</v>
      </c>
      <c r="CE50" s="177">
        <f t="shared" si="65"/>
        <v>7.2907202195990031E-9</v>
      </c>
      <c r="CF50" s="5">
        <f t="shared" si="66"/>
        <v>7.2907202195990027E-7</v>
      </c>
      <c r="CG50">
        <f t="shared" si="102"/>
        <v>45</v>
      </c>
      <c r="CI50" s="571">
        <f t="shared" si="98"/>
        <v>-50</v>
      </c>
      <c r="CJ50">
        <f t="shared" si="99"/>
        <v>-50</v>
      </c>
    </row>
    <row r="51" spans="5:88" x14ac:dyDescent="0.25">
      <c r="E51" s="174">
        <v>46</v>
      </c>
      <c r="F51" s="221">
        <f t="shared" si="103"/>
        <v>4.6000000000000006E-2</v>
      </c>
      <c r="G51" s="221">
        <f t="shared" si="100"/>
        <v>0.23</v>
      </c>
      <c r="H51" s="221">
        <f t="shared" si="70"/>
        <v>0.69000000000000006</v>
      </c>
      <c r="I51" s="221">
        <f t="shared" si="104"/>
        <v>1.84</v>
      </c>
      <c r="J51" s="551">
        <f t="shared" si="1"/>
        <v>24</v>
      </c>
      <c r="K51" s="451">
        <f t="shared" si="2"/>
        <v>695386.58000000007</v>
      </c>
      <c r="L51" s="451">
        <f t="shared" si="3"/>
        <v>695410.58000000007</v>
      </c>
      <c r="M51" s="451"/>
      <c r="N51" s="221">
        <f t="shared" si="4"/>
        <v>0.99996548801428931</v>
      </c>
      <c r="O51" s="176">
        <f t="shared" si="101"/>
        <v>2.2090146689770211</v>
      </c>
      <c r="P51" s="176">
        <f t="shared" si="71"/>
        <v>5.8907057839387225</v>
      </c>
      <c r="Q51" s="221">
        <f t="shared" si="6"/>
        <v>0.14726764459846808</v>
      </c>
      <c r="R51" s="221">
        <f t="shared" si="72"/>
        <v>0.27612683362212764</v>
      </c>
      <c r="S51" s="451">
        <f t="shared" si="73"/>
        <v>15</v>
      </c>
      <c r="T51" s="221">
        <f t="shared" si="74"/>
        <v>0.23426734429049792</v>
      </c>
      <c r="U51" s="221">
        <f t="shared" si="10"/>
        <v>0.29283418036312242</v>
      </c>
      <c r="V51" s="221">
        <f t="shared" si="11"/>
        <v>1.010663784842517E-5</v>
      </c>
      <c r="W51" s="201">
        <f t="shared" si="12"/>
        <v>350</v>
      </c>
      <c r="X51" s="451">
        <f t="shared" si="52"/>
        <v>350</v>
      </c>
      <c r="Z51" s="221">
        <f t="shared" si="13"/>
        <v>2.2856354011755182</v>
      </c>
      <c r="AA51" s="177">
        <f t="shared" si="14"/>
        <v>9.8605673459021225E-5</v>
      </c>
      <c r="AB51" s="177">
        <f t="shared" si="75"/>
        <v>0.4914588143407696</v>
      </c>
      <c r="AC51" s="177"/>
      <c r="AD51" s="177">
        <f t="shared" si="16"/>
        <v>6.4712206554230591E-6</v>
      </c>
      <c r="AE51" s="555">
        <f t="shared" si="76"/>
        <v>7606.2419753086442</v>
      </c>
      <c r="AF51" s="538">
        <f t="shared" si="77"/>
        <v>2.1166825946720815E-3</v>
      </c>
      <c r="AH51" s="177">
        <f t="shared" si="78"/>
        <v>0.69419360549112086</v>
      </c>
      <c r="AI51" s="177">
        <f t="shared" si="79"/>
        <v>0.69419360549112086</v>
      </c>
      <c r="AJ51" s="177">
        <f t="shared" si="80"/>
        <v>1.6031063744378673</v>
      </c>
      <c r="AL51" s="555">
        <f t="shared" si="81"/>
        <v>46.000000000000007</v>
      </c>
      <c r="AM51" s="469">
        <f t="shared" si="82"/>
        <v>350</v>
      </c>
      <c r="AO51">
        <f t="shared" si="53"/>
        <v>46.000000000000007</v>
      </c>
      <c r="AP51" s="469">
        <f t="shared" si="24"/>
        <v>350</v>
      </c>
      <c r="AQ51" s="469"/>
      <c r="AR51" s="5">
        <f t="shared" si="54"/>
        <v>2.8571428571428572</v>
      </c>
      <c r="AS51" s="5">
        <f t="shared" si="25"/>
        <v>0.86774200686390102</v>
      </c>
      <c r="AT51" s="5">
        <f t="shared" si="55"/>
        <v>1.9894008502789562</v>
      </c>
      <c r="AU51" s="177">
        <f t="shared" si="56"/>
        <v>0.30370970240236533</v>
      </c>
      <c r="AW51" s="5">
        <f t="shared" si="83"/>
        <v>0.10724833101420155</v>
      </c>
      <c r="AX51" s="5">
        <f t="shared" si="84"/>
        <v>0.47840620263907568</v>
      </c>
      <c r="AY51" s="5">
        <f t="shared" si="85"/>
        <v>2.7494601245163159</v>
      </c>
      <c r="AZ51" s="5">
        <f t="shared" si="86"/>
        <v>1.4502736380385575</v>
      </c>
      <c r="BA51" s="5">
        <f t="shared" si="87"/>
        <v>0.19418148731503698</v>
      </c>
      <c r="BB51" s="469">
        <f t="shared" si="88"/>
        <v>23.653167366693332</v>
      </c>
      <c r="BC51" s="5"/>
      <c r="BD51" s="177">
        <f t="shared" si="57"/>
        <v>0.22087639969326583</v>
      </c>
      <c r="BE51" s="177">
        <f t="shared" si="89"/>
        <v>4167.3058489920795</v>
      </c>
      <c r="BF51" s="177">
        <f t="shared" si="90"/>
        <v>20576.283867529426</v>
      </c>
      <c r="BG51" s="177"/>
      <c r="BH51" s="538">
        <f t="shared" si="34"/>
        <v>1.7075234379510761E-2</v>
      </c>
      <c r="BI51" s="538">
        <f t="shared" si="35"/>
        <v>844.81176119702536</v>
      </c>
      <c r="BJ51" s="538">
        <f t="shared" si="36"/>
        <v>4.3749999999999995E-3</v>
      </c>
      <c r="BK51" s="538">
        <f t="shared" si="37"/>
        <v>8462927.8085788898</v>
      </c>
      <c r="BL51">
        <f t="shared" si="38"/>
        <v>6.96E-3</v>
      </c>
      <c r="BM51">
        <f t="shared" si="91"/>
        <v>1.6625000000000001E-5</v>
      </c>
      <c r="BN51">
        <f t="shared" si="92"/>
        <v>8490521.0250074901</v>
      </c>
      <c r="BO51" s="469">
        <f t="shared" si="58"/>
        <v>8490521025.0074902</v>
      </c>
      <c r="BP51" s="177">
        <f t="shared" si="93"/>
        <v>13267958.675008306</v>
      </c>
      <c r="BQ51" s="177">
        <f t="shared" si="94"/>
        <v>323464961.82291883</v>
      </c>
      <c r="BR51" s="538"/>
      <c r="BT51" s="469">
        <f t="shared" si="59"/>
        <v>336732920497.92712</v>
      </c>
      <c r="BU51" s="538">
        <f t="shared" si="43"/>
        <v>4.8786383941459323E-3</v>
      </c>
      <c r="BV51" s="538">
        <f t="shared" si="60"/>
        <v>520993.14117130794</v>
      </c>
      <c r="BW51" s="538">
        <f t="shared" si="95"/>
        <v>21169172.88985759</v>
      </c>
      <c r="BX51" s="538">
        <f t="shared" si="45"/>
        <v>0</v>
      </c>
      <c r="BY51" s="538">
        <f t="shared" si="96"/>
        <v>-14.000008068177101</v>
      </c>
      <c r="BZ51" s="538">
        <f t="shared" si="61"/>
        <v>21690166.035907537</v>
      </c>
      <c r="CA51" s="641">
        <f t="shared" si="97"/>
        <v>8.4333333333333343E-3</v>
      </c>
      <c r="CB51" s="469">
        <f t="shared" si="62"/>
        <v>-13991.574734843767</v>
      </c>
      <c r="CC51" s="177">
        <f t="shared" si="63"/>
        <v>345223427.53135991</v>
      </c>
      <c r="CD51" s="5">
        <f t="shared" si="64"/>
        <v>2.5300000000000002</v>
      </c>
      <c r="CE51" s="177">
        <f t="shared" si="65"/>
        <v>7.3285871690409861E-9</v>
      </c>
      <c r="CF51" s="5">
        <f t="shared" si="66"/>
        <v>7.3285871690409858E-7</v>
      </c>
      <c r="CG51">
        <f t="shared" si="102"/>
        <v>46</v>
      </c>
      <c r="CI51" s="571">
        <f t="shared" si="98"/>
        <v>-50</v>
      </c>
      <c r="CJ51">
        <f t="shared" si="99"/>
        <v>-50</v>
      </c>
    </row>
    <row r="52" spans="5:88" x14ac:dyDescent="0.25">
      <c r="E52" s="174">
        <v>47</v>
      </c>
      <c r="F52" s="221">
        <f t="shared" si="103"/>
        <v>4.7E-2</v>
      </c>
      <c r="G52" s="221">
        <f t="shared" si="100"/>
        <v>0.23499999999999999</v>
      </c>
      <c r="H52" s="221">
        <f t="shared" si="70"/>
        <v>0.70499999999999996</v>
      </c>
      <c r="I52" s="221">
        <f t="shared" si="104"/>
        <v>1.88</v>
      </c>
      <c r="J52" s="551">
        <f t="shared" si="1"/>
        <v>24</v>
      </c>
      <c r="K52" s="451">
        <f t="shared" si="2"/>
        <v>695386.58000000007</v>
      </c>
      <c r="L52" s="451">
        <f t="shared" si="3"/>
        <v>695410.58000000007</v>
      </c>
      <c r="M52" s="451"/>
      <c r="N52" s="221">
        <f t="shared" si="4"/>
        <v>0.99996548801428931</v>
      </c>
      <c r="O52" s="176">
        <f t="shared" si="101"/>
        <v>2.2090146689770211</v>
      </c>
      <c r="P52" s="176">
        <f t="shared" si="71"/>
        <v>5.8907057839387225</v>
      </c>
      <c r="Q52" s="221">
        <f t="shared" si="6"/>
        <v>0.14726764459846808</v>
      </c>
      <c r="R52" s="221">
        <f t="shared" si="72"/>
        <v>0.27612683362212764</v>
      </c>
      <c r="S52" s="451">
        <f t="shared" si="73"/>
        <v>15</v>
      </c>
      <c r="T52" s="221">
        <f t="shared" si="74"/>
        <v>0.23936011264463913</v>
      </c>
      <c r="U52" s="221">
        <f t="shared" si="10"/>
        <v>0.29920014080579893</v>
      </c>
      <c r="V52" s="221">
        <f t="shared" si="11"/>
        <v>1.0326347366869194E-5</v>
      </c>
      <c r="W52" s="201">
        <f t="shared" si="12"/>
        <v>350</v>
      </c>
      <c r="X52" s="451">
        <f t="shared" si="52"/>
        <v>350</v>
      </c>
      <c r="Z52" s="221">
        <f t="shared" si="13"/>
        <v>2.2856354011755182</v>
      </c>
      <c r="AA52" s="177">
        <f t="shared" si="14"/>
        <v>9.8605673459021225E-5</v>
      </c>
      <c r="AB52" s="177">
        <f t="shared" si="75"/>
        <v>0.4914588143407696</v>
      </c>
      <c r="AC52" s="177"/>
      <c r="AD52" s="177">
        <f t="shared" si="16"/>
        <v>6.4712206554230591E-6</v>
      </c>
      <c r="AE52" s="555">
        <f t="shared" si="76"/>
        <v>7771.595061728397</v>
      </c>
      <c r="AF52" s="538">
        <f t="shared" si="77"/>
        <v>2.1166825946720815E-3</v>
      </c>
      <c r="AH52" s="177">
        <f t="shared" si="78"/>
        <v>0.7016986193380691</v>
      </c>
      <c r="AI52" s="177">
        <f t="shared" si="79"/>
        <v>0.7016986193380691</v>
      </c>
      <c r="AJ52" s="177">
        <f t="shared" si="80"/>
        <v>1.6086656439541251</v>
      </c>
      <c r="AL52" s="555">
        <f t="shared" si="81"/>
        <v>47</v>
      </c>
      <c r="AM52" s="469">
        <f t="shared" si="82"/>
        <v>350</v>
      </c>
      <c r="AO52">
        <f t="shared" si="53"/>
        <v>47</v>
      </c>
      <c r="AP52" s="469">
        <f t="shared" si="24"/>
        <v>350</v>
      </c>
      <c r="AQ52" s="469"/>
      <c r="AR52" s="5">
        <f t="shared" si="54"/>
        <v>2.8571428571428572</v>
      </c>
      <c r="AS52" s="5">
        <f t="shared" si="25"/>
        <v>0.87712327417258629</v>
      </c>
      <c r="AT52" s="5">
        <f t="shared" si="55"/>
        <v>1.9800195829702709</v>
      </c>
      <c r="AU52" s="177">
        <f t="shared" si="56"/>
        <v>0.30699314596040517</v>
      </c>
      <c r="AW52" s="5">
        <f t="shared" si="83"/>
        <v>0.10724833101420155</v>
      </c>
      <c r="AX52" s="5">
        <f t="shared" si="84"/>
        <v>0.49636734481555667</v>
      </c>
      <c r="AY52" s="5">
        <f t="shared" si="85"/>
        <v>2.7494601245163159</v>
      </c>
      <c r="AZ52" s="5">
        <f t="shared" si="86"/>
        <v>1.5037970068181346</v>
      </c>
      <c r="BA52" s="5">
        <f t="shared" si="87"/>
        <v>0.19746723078619402</v>
      </c>
      <c r="BB52" s="469">
        <f t="shared" si="88"/>
        <v>24.055095472121064</v>
      </c>
      <c r="BC52" s="5"/>
      <c r="BD52" s="177">
        <f t="shared" si="57"/>
        <v>0.22446794691923463</v>
      </c>
      <c r="BE52" s="177">
        <f t="shared" si="89"/>
        <v>4202.4154251007067</v>
      </c>
      <c r="BF52" s="177">
        <f t="shared" si="90"/>
        <v>20749.639179248265</v>
      </c>
      <c r="BG52" s="177"/>
      <c r="BH52" s="538">
        <f t="shared" si="34"/>
        <v>1.7635050717947718E-2</v>
      </c>
      <c r="BI52" s="538">
        <f t="shared" si="35"/>
        <v>853.94512675340047</v>
      </c>
      <c r="BJ52" s="538">
        <f t="shared" si="36"/>
        <v>4.3749999999999995E-3</v>
      </c>
      <c r="BK52" s="538">
        <f t="shared" si="37"/>
        <v>8462927.8085788898</v>
      </c>
      <c r="BL52">
        <f t="shared" si="38"/>
        <v>6.96E-3</v>
      </c>
      <c r="BM52">
        <f t="shared" si="91"/>
        <v>1.6625000000000001E-5</v>
      </c>
      <c r="BN52">
        <f t="shared" si="92"/>
        <v>8491410.004377408</v>
      </c>
      <c r="BO52" s="469">
        <f t="shared" si="58"/>
        <v>8491410004.377408</v>
      </c>
      <c r="BP52" s="177">
        <f t="shared" si="93"/>
        <v>13492465.7029805</v>
      </c>
      <c r="BQ52" s="177">
        <f t="shared" si="94"/>
        <v>328938309.98403931</v>
      </c>
      <c r="BR52" s="538"/>
      <c r="BT52" s="469">
        <f t="shared" si="59"/>
        <v>342430775687.01984</v>
      </c>
      <c r="BU52" s="538">
        <f t="shared" si="43"/>
        <v>5.0385859194136337E-3</v>
      </c>
      <c r="BV52" s="538">
        <f t="shared" si="60"/>
        <v>529808.86215373047</v>
      </c>
      <c r="BW52" s="538">
        <f t="shared" si="95"/>
        <v>21527376.303449731</v>
      </c>
      <c r="BX52" s="538">
        <f t="shared" si="45"/>
        <v>0</v>
      </c>
      <c r="BY52" s="538">
        <f t="shared" si="96"/>
        <v>-14.000007933927101</v>
      </c>
      <c r="BZ52" s="538">
        <f t="shared" si="61"/>
        <v>22057185.170642048</v>
      </c>
      <c r="CA52" s="641">
        <f t="shared" si="97"/>
        <v>8.6166666666666683E-3</v>
      </c>
      <c r="CB52" s="469">
        <f t="shared" si="62"/>
        <v>-13991.391267260435</v>
      </c>
      <c r="CC52" s="177">
        <f t="shared" si="63"/>
        <v>350922171.70000595</v>
      </c>
      <c r="CD52" s="5">
        <f t="shared" si="64"/>
        <v>2.585</v>
      </c>
      <c r="CE52" s="177">
        <f t="shared" si="65"/>
        <v>7.3663056638323436E-9</v>
      </c>
      <c r="CF52" s="5">
        <f t="shared" si="66"/>
        <v>7.3663056638323433E-7</v>
      </c>
      <c r="CG52">
        <f t="shared" si="102"/>
        <v>47</v>
      </c>
      <c r="CI52" s="571">
        <f t="shared" si="98"/>
        <v>-50</v>
      </c>
      <c r="CJ52">
        <f t="shared" si="99"/>
        <v>-50</v>
      </c>
    </row>
    <row r="53" spans="5:88" x14ac:dyDescent="0.25">
      <c r="E53" s="174">
        <v>48</v>
      </c>
      <c r="F53" s="221">
        <f t="shared" si="103"/>
        <v>4.8000000000000001E-2</v>
      </c>
      <c r="G53" s="221">
        <f t="shared" si="100"/>
        <v>0.24</v>
      </c>
      <c r="H53" s="221">
        <f t="shared" si="70"/>
        <v>0.72</v>
      </c>
      <c r="I53" s="221">
        <f t="shared" si="104"/>
        <v>1.92</v>
      </c>
      <c r="J53" s="551">
        <f t="shared" si="1"/>
        <v>24</v>
      </c>
      <c r="K53" s="451">
        <f t="shared" si="2"/>
        <v>695386.58000000007</v>
      </c>
      <c r="L53" s="451">
        <f t="shared" si="3"/>
        <v>695410.58000000007</v>
      </c>
      <c r="M53" s="451"/>
      <c r="N53" s="221">
        <f t="shared" si="4"/>
        <v>0.99996548801428931</v>
      </c>
      <c r="O53" s="176">
        <f t="shared" si="101"/>
        <v>2.2090146689770211</v>
      </c>
      <c r="P53" s="176">
        <f t="shared" si="71"/>
        <v>5.8907057839387225</v>
      </c>
      <c r="Q53" s="221">
        <f t="shared" si="6"/>
        <v>0.14726764459846808</v>
      </c>
      <c r="R53" s="221">
        <f t="shared" si="72"/>
        <v>0.27612683362212764</v>
      </c>
      <c r="S53" s="451">
        <f t="shared" si="73"/>
        <v>15</v>
      </c>
      <c r="T53" s="221">
        <f t="shared" si="74"/>
        <v>0.24445288099878038</v>
      </c>
      <c r="U53" s="221">
        <f t="shared" si="10"/>
        <v>0.30556610124847544</v>
      </c>
      <c r="V53" s="221">
        <f t="shared" si="11"/>
        <v>1.0546056885313217E-5</v>
      </c>
      <c r="W53" s="201">
        <f t="shared" si="12"/>
        <v>350</v>
      </c>
      <c r="X53" s="451">
        <f t="shared" si="52"/>
        <v>350</v>
      </c>
      <c r="Z53" s="221">
        <f t="shared" si="13"/>
        <v>2.2856354011755182</v>
      </c>
      <c r="AA53" s="177">
        <f t="shared" si="14"/>
        <v>9.8605673459021225E-5</v>
      </c>
      <c r="AB53" s="177">
        <f t="shared" si="75"/>
        <v>0.4914588143407696</v>
      </c>
      <c r="AC53" s="177"/>
      <c r="AD53" s="177">
        <f t="shared" si="16"/>
        <v>6.4712206554230591E-6</v>
      </c>
      <c r="AE53" s="555">
        <f t="shared" si="76"/>
        <v>7936.9481481481516</v>
      </c>
      <c r="AF53" s="538">
        <f t="shared" si="77"/>
        <v>2.1166825946720815E-3</v>
      </c>
      <c r="AH53" s="177">
        <f t="shared" si="78"/>
        <v>0.70912420834233458</v>
      </c>
      <c r="AI53" s="177">
        <f t="shared" si="79"/>
        <v>0.70912420834233458</v>
      </c>
      <c r="AJ53" s="177">
        <f t="shared" si="80"/>
        <v>1.6141660802535811</v>
      </c>
      <c r="AL53" s="555">
        <f t="shared" si="81"/>
        <v>48</v>
      </c>
      <c r="AM53" s="469">
        <f t="shared" si="82"/>
        <v>350</v>
      </c>
      <c r="AO53">
        <f t="shared" si="53"/>
        <v>48</v>
      </c>
      <c r="AP53" s="469">
        <f t="shared" si="24"/>
        <v>350</v>
      </c>
      <c r="AQ53" s="469"/>
      <c r="AR53" s="5">
        <f t="shared" si="54"/>
        <v>2.8571428571428572</v>
      </c>
      <c r="AS53" s="5">
        <f t="shared" si="25"/>
        <v>0.88640526042791823</v>
      </c>
      <c r="AT53" s="5">
        <f t="shared" si="55"/>
        <v>1.970737596714939</v>
      </c>
      <c r="AU53" s="177">
        <f t="shared" si="56"/>
        <v>0.31024184114977138</v>
      </c>
      <c r="AW53" s="5">
        <f t="shared" si="83"/>
        <v>0.10724833101420155</v>
      </c>
      <c r="AX53" s="5">
        <f t="shared" si="84"/>
        <v>0.51465023198508031</v>
      </c>
      <c r="AY53" s="5">
        <f t="shared" si="85"/>
        <v>2.7494601245163159</v>
      </c>
      <c r="AZ53" s="5">
        <f t="shared" si="86"/>
        <v>1.5582563620230796</v>
      </c>
      <c r="BA53" s="5">
        <f t="shared" si="87"/>
        <v>0.20072327373948448</v>
      </c>
      <c r="BB53" s="469">
        <f t="shared" si="88"/>
        <v>24.453459515404806</v>
      </c>
      <c r="BC53" s="5"/>
      <c r="BD53" s="177">
        <f t="shared" si="57"/>
        <v>0.2280404392758103</v>
      </c>
      <c r="BE53" s="177">
        <f t="shared" si="89"/>
        <v>4236.9206428044727</v>
      </c>
      <c r="BF53" s="177">
        <f t="shared" si="90"/>
        <v>20920.010440708542</v>
      </c>
      <c r="BG53" s="177"/>
      <c r="BH53" s="538">
        <f t="shared" si="34"/>
        <v>1.8200854680786582E-2</v>
      </c>
      <c r="BI53" s="538">
        <f t="shared" si="35"/>
        <v>862.98183477692157</v>
      </c>
      <c r="BJ53" s="538">
        <f t="shared" si="36"/>
        <v>4.3749999999999995E-3</v>
      </c>
      <c r="BK53" s="538">
        <f t="shared" si="37"/>
        <v>8462927.8085788898</v>
      </c>
      <c r="BL53">
        <f t="shared" si="38"/>
        <v>6.96E-3</v>
      </c>
      <c r="BM53">
        <f t="shared" si="91"/>
        <v>1.6625000000000001E-5</v>
      </c>
      <c r="BN53">
        <f t="shared" si="92"/>
        <v>8492308.4842227101</v>
      </c>
      <c r="BO53" s="469">
        <f t="shared" si="58"/>
        <v>8492308484.2227097</v>
      </c>
      <c r="BP53" s="177">
        <f t="shared" si="93"/>
        <v>13714943.365286915</v>
      </c>
      <c r="BQ53" s="177">
        <f t="shared" si="94"/>
        <v>334362183.41402668</v>
      </c>
      <c r="BR53" s="538"/>
      <c r="BT53" s="469">
        <f t="shared" si="59"/>
        <v>348077126779.31354</v>
      </c>
      <c r="BU53" s="538">
        <f t="shared" si="43"/>
        <v>5.2002441945104526E-3</v>
      </c>
      <c r="BV53" s="538">
        <f t="shared" si="60"/>
        <v>538544.89600268006</v>
      </c>
      <c r="BW53" s="538">
        <f t="shared" si="95"/>
        <v>21882341.841967721</v>
      </c>
      <c r="BX53" s="538">
        <f t="shared" si="45"/>
        <v>0</v>
      </c>
      <c r="BY53" s="538">
        <f t="shared" si="96"/>
        <v>-14.000007805226421</v>
      </c>
      <c r="BZ53" s="538">
        <f t="shared" si="61"/>
        <v>22420886.743170645</v>
      </c>
      <c r="CA53" s="641">
        <f t="shared" si="97"/>
        <v>8.8000000000000005E-3</v>
      </c>
      <c r="CB53" s="469">
        <f t="shared" si="62"/>
        <v>-13991.207805226421</v>
      </c>
      <c r="CC53" s="177">
        <f t="shared" si="63"/>
        <v>356569421.27232856</v>
      </c>
      <c r="CD53" s="5">
        <f t="shared" si="64"/>
        <v>2.6399999999999997</v>
      </c>
      <c r="CE53" s="177">
        <f t="shared" si="65"/>
        <v>7.403887778804919E-9</v>
      </c>
      <c r="CF53" s="5">
        <f t="shared" si="66"/>
        <v>7.403887778804919E-7</v>
      </c>
      <c r="CG53">
        <f t="shared" si="102"/>
        <v>48</v>
      </c>
      <c r="CI53" s="571">
        <f t="shared" si="98"/>
        <v>-50</v>
      </c>
      <c r="CJ53">
        <f t="shared" si="99"/>
        <v>-50</v>
      </c>
    </row>
    <row r="54" spans="5:88" x14ac:dyDescent="0.25">
      <c r="E54" s="174">
        <v>49</v>
      </c>
      <c r="F54" s="221">
        <f t="shared" si="103"/>
        <v>4.9000000000000002E-2</v>
      </c>
      <c r="G54" s="221">
        <f t="shared" si="100"/>
        <v>0.245</v>
      </c>
      <c r="H54" s="221">
        <f t="shared" si="70"/>
        <v>0.73499999999999999</v>
      </c>
      <c r="I54" s="221">
        <f t="shared" si="104"/>
        <v>1.96</v>
      </c>
      <c r="J54" s="551">
        <f t="shared" si="1"/>
        <v>24</v>
      </c>
      <c r="K54" s="451">
        <f t="shared" si="2"/>
        <v>695386.58000000007</v>
      </c>
      <c r="L54" s="451">
        <f t="shared" si="3"/>
        <v>695410.58000000007</v>
      </c>
      <c r="M54" s="451"/>
      <c r="N54" s="221">
        <f t="shared" si="4"/>
        <v>0.99996548801428931</v>
      </c>
      <c r="O54" s="176">
        <f t="shared" si="101"/>
        <v>2.2090146689770211</v>
      </c>
      <c r="P54" s="176">
        <f t="shared" si="71"/>
        <v>5.8907057839387225</v>
      </c>
      <c r="Q54" s="221">
        <f t="shared" si="6"/>
        <v>0.14726764459846808</v>
      </c>
      <c r="R54" s="221">
        <f t="shared" si="72"/>
        <v>0.27612683362212764</v>
      </c>
      <c r="S54" s="451">
        <f t="shared" si="73"/>
        <v>15</v>
      </c>
      <c r="T54" s="221">
        <f t="shared" si="74"/>
        <v>0.24954564935292164</v>
      </c>
      <c r="U54" s="221">
        <f t="shared" si="10"/>
        <v>0.31193206169115206</v>
      </c>
      <c r="V54" s="221">
        <f t="shared" si="11"/>
        <v>1.0765766403757245E-5</v>
      </c>
      <c r="W54" s="201">
        <f t="shared" si="12"/>
        <v>350</v>
      </c>
      <c r="X54" s="451">
        <f t="shared" si="52"/>
        <v>350</v>
      </c>
      <c r="Z54" s="221">
        <f t="shared" si="13"/>
        <v>2.2856354011755182</v>
      </c>
      <c r="AA54" s="177">
        <f t="shared" si="14"/>
        <v>9.8605673459021225E-5</v>
      </c>
      <c r="AB54" s="177">
        <f t="shared" si="75"/>
        <v>0.4914588143407696</v>
      </c>
      <c r="AC54" s="177"/>
      <c r="AD54" s="177">
        <f t="shared" si="16"/>
        <v>6.4712206554230591E-6</v>
      </c>
      <c r="AE54" s="555">
        <f t="shared" si="76"/>
        <v>8102.3012345679026</v>
      </c>
      <c r="AF54" s="538">
        <f t="shared" si="77"/>
        <v>2.1166825946720815E-3</v>
      </c>
      <c r="AH54" s="177">
        <f t="shared" si="78"/>
        <v>0.7164728420068226</v>
      </c>
      <c r="AI54" s="177">
        <f t="shared" si="79"/>
        <v>0.7164728420068226</v>
      </c>
      <c r="AJ54" s="177">
        <f t="shared" si="80"/>
        <v>1.6196095125976464</v>
      </c>
      <c r="AL54" s="555">
        <f t="shared" si="81"/>
        <v>49</v>
      </c>
      <c r="AM54" s="469">
        <f t="shared" si="82"/>
        <v>350</v>
      </c>
      <c r="AO54">
        <f t="shared" si="53"/>
        <v>49</v>
      </c>
      <c r="AP54" s="469">
        <f t="shared" si="24"/>
        <v>350</v>
      </c>
      <c r="AQ54" s="469"/>
      <c r="AR54" s="5">
        <f t="shared" si="54"/>
        <v>2.8571428571428572</v>
      </c>
      <c r="AS54" s="5">
        <f t="shared" si="25"/>
        <v>0.89559105250852833</v>
      </c>
      <c r="AT54" s="5">
        <f t="shared" si="55"/>
        <v>1.961551804634329</v>
      </c>
      <c r="AU54" s="177">
        <f t="shared" si="56"/>
        <v>0.31345686837798492</v>
      </c>
      <c r="AW54" s="5">
        <f t="shared" si="83"/>
        <v>0.10724833101420155</v>
      </c>
      <c r="AX54" s="5">
        <f t="shared" si="84"/>
        <v>0.53325486414764678</v>
      </c>
      <c r="AY54" s="5">
        <f t="shared" si="85"/>
        <v>2.7494601245163159</v>
      </c>
      <c r="AZ54" s="5">
        <f t="shared" si="86"/>
        <v>1.6136517036533913</v>
      </c>
      <c r="BA54" s="5">
        <f t="shared" si="87"/>
        <v>0.20394992721795968</v>
      </c>
      <c r="BB54" s="469">
        <f t="shared" si="88"/>
        <v>24.848296821710722</v>
      </c>
      <c r="BC54" s="5"/>
      <c r="BD54" s="177">
        <f t="shared" si="57"/>
        <v>0.23159437176573683</v>
      </c>
      <c r="BE54" s="177">
        <f t="shared" si="89"/>
        <v>4270.8394071634493</v>
      </c>
      <c r="BF54" s="177">
        <f t="shared" si="90"/>
        <v>21087.486059051978</v>
      </c>
      <c r="BG54" s="177"/>
      <c r="BH54" s="538">
        <f t="shared" si="34"/>
        <v>1.8772583561748209E-2</v>
      </c>
      <c r="BI54" s="538">
        <f t="shared" si="35"/>
        <v>871.92489057487262</v>
      </c>
      <c r="BJ54" s="538">
        <f t="shared" si="36"/>
        <v>4.3749999999999995E-3</v>
      </c>
      <c r="BK54" s="538">
        <f t="shared" si="37"/>
        <v>8462927.8085788898</v>
      </c>
      <c r="BL54">
        <f t="shared" si="38"/>
        <v>6.96E-3</v>
      </c>
      <c r="BM54">
        <f t="shared" si="91"/>
        <v>1.6625000000000001E-5</v>
      </c>
      <c r="BN54">
        <f t="shared" si="92"/>
        <v>8493216.3749306016</v>
      </c>
      <c r="BO54" s="469">
        <f t="shared" si="58"/>
        <v>8493216374.9306011</v>
      </c>
      <c r="BP54" s="177">
        <f t="shared" si="93"/>
        <v>13935412.914758602</v>
      </c>
      <c r="BQ54" s="177">
        <f t="shared" si="94"/>
        <v>339737100.24429601</v>
      </c>
      <c r="BR54" s="538"/>
      <c r="BT54" s="469">
        <f t="shared" si="59"/>
        <v>353672513159.05463</v>
      </c>
      <c r="BU54" s="538">
        <f t="shared" si="43"/>
        <v>5.363595303356632E-3</v>
      </c>
      <c r="BV54" s="538">
        <f t="shared" si="60"/>
        <v>547202.07725340733</v>
      </c>
      <c r="BW54" s="538">
        <f t="shared" si="95"/>
        <v>22234103.414535578</v>
      </c>
      <c r="BX54" s="538">
        <f t="shared" si="45"/>
        <v>0</v>
      </c>
      <c r="BY54" s="538">
        <f t="shared" si="96"/>
        <v>-14.000007681741332</v>
      </c>
      <c r="BZ54" s="538">
        <f t="shared" si="61"/>
        <v>22781305.497152582</v>
      </c>
      <c r="CA54" s="641">
        <f t="shared" si="97"/>
        <v>8.9833333333333362E-3</v>
      </c>
      <c r="CB54" s="469">
        <f t="shared" si="62"/>
        <v>-13991.024348407998</v>
      </c>
      <c r="CC54" s="177">
        <f t="shared" si="63"/>
        <v>362165715.54296082</v>
      </c>
      <c r="CD54" s="5">
        <f t="shared" si="64"/>
        <v>2.6949999999999998</v>
      </c>
      <c r="CE54" s="177">
        <f t="shared" si="65"/>
        <v>7.4413448437691481E-9</v>
      </c>
      <c r="CF54" s="5">
        <f t="shared" si="66"/>
        <v>7.4413448437691478E-7</v>
      </c>
      <c r="CG54">
        <f t="shared" si="102"/>
        <v>49</v>
      </c>
      <c r="CI54" s="571">
        <f t="shared" si="98"/>
        <v>-50</v>
      </c>
      <c r="CJ54">
        <f t="shared" si="99"/>
        <v>-50</v>
      </c>
    </row>
    <row r="55" spans="5:88" x14ac:dyDescent="0.25">
      <c r="E55" s="174">
        <v>50</v>
      </c>
      <c r="F55" s="221">
        <f t="shared" si="103"/>
        <v>0.05</v>
      </c>
      <c r="G55" s="221">
        <f t="shared" si="100"/>
        <v>0.25</v>
      </c>
      <c r="H55" s="221">
        <f t="shared" si="70"/>
        <v>0.75</v>
      </c>
      <c r="I55" s="221">
        <f t="shared" si="104"/>
        <v>2</v>
      </c>
      <c r="J55" s="551">
        <f t="shared" si="1"/>
        <v>24</v>
      </c>
      <c r="K55" s="451">
        <f t="shared" si="2"/>
        <v>695386.58000000007</v>
      </c>
      <c r="L55" s="451">
        <f t="shared" si="3"/>
        <v>695410.58000000007</v>
      </c>
      <c r="M55" s="451"/>
      <c r="N55" s="221">
        <f t="shared" si="4"/>
        <v>0.99996548801428931</v>
      </c>
      <c r="O55" s="176">
        <f t="shared" si="101"/>
        <v>2.2090146689770211</v>
      </c>
      <c r="P55" s="176">
        <f t="shared" si="71"/>
        <v>5.8907057839387225</v>
      </c>
      <c r="Q55" s="221">
        <f t="shared" si="6"/>
        <v>0.14726764459846808</v>
      </c>
      <c r="R55" s="221">
        <f t="shared" si="72"/>
        <v>0.27612683362212764</v>
      </c>
      <c r="S55" s="451">
        <f t="shared" si="73"/>
        <v>15</v>
      </c>
      <c r="T55" s="221">
        <f t="shared" si="74"/>
        <v>0.25463841770706291</v>
      </c>
      <c r="U55" s="221">
        <f t="shared" si="10"/>
        <v>0.31829802213382868</v>
      </c>
      <c r="V55" s="221">
        <f t="shared" si="11"/>
        <v>1.098547592220127E-5</v>
      </c>
      <c r="W55" s="201">
        <f t="shared" si="12"/>
        <v>350</v>
      </c>
      <c r="X55" s="451">
        <f t="shared" si="52"/>
        <v>350</v>
      </c>
      <c r="Z55" s="221">
        <f t="shared" si="13"/>
        <v>2.2856354011755182</v>
      </c>
      <c r="AA55" s="177">
        <f t="shared" si="14"/>
        <v>9.8605673459021225E-5</v>
      </c>
      <c r="AB55" s="177">
        <f t="shared" si="75"/>
        <v>0.4914588143407696</v>
      </c>
      <c r="AC55" s="177"/>
      <c r="AD55" s="177">
        <f t="shared" si="16"/>
        <v>6.4712206554230591E-6</v>
      </c>
      <c r="AE55" s="555">
        <f t="shared" si="76"/>
        <v>8267.6543209876563</v>
      </c>
      <c r="AF55" s="538">
        <f t="shared" si="77"/>
        <v>2.1166825946720815E-3</v>
      </c>
      <c r="AH55" s="177">
        <f t="shared" si="78"/>
        <v>0.72374686445574588</v>
      </c>
      <c r="AI55" s="177">
        <f t="shared" si="79"/>
        <v>0.72374686445574588</v>
      </c>
      <c r="AJ55" s="177">
        <f t="shared" si="80"/>
        <v>1.6249976773746266</v>
      </c>
      <c r="AL55" s="555">
        <f t="shared" si="81"/>
        <v>50</v>
      </c>
      <c r="AM55" s="469">
        <f t="shared" si="82"/>
        <v>350</v>
      </c>
      <c r="AO55">
        <f t="shared" si="53"/>
        <v>50</v>
      </c>
      <c r="AP55" s="469">
        <f t="shared" si="24"/>
        <v>350</v>
      </c>
      <c r="AQ55" s="469"/>
      <c r="AR55" s="5">
        <f t="shared" si="54"/>
        <v>2.8571428571428572</v>
      </c>
      <c r="AS55" s="5">
        <f t="shared" si="25"/>
        <v>0.90468358056968234</v>
      </c>
      <c r="AT55" s="5">
        <f t="shared" si="55"/>
        <v>1.9524592765731748</v>
      </c>
      <c r="AU55" s="177">
        <f t="shared" si="56"/>
        <v>0.31663925319938879</v>
      </c>
      <c r="AW55" s="5">
        <f t="shared" si="83"/>
        <v>0.10724833101420155</v>
      </c>
      <c r="AX55" s="5">
        <f t="shared" si="84"/>
        <v>0.55218124130325585</v>
      </c>
      <c r="AY55" s="5">
        <f t="shared" si="85"/>
        <v>2.7494601245163159</v>
      </c>
      <c r="AZ55" s="5">
        <f t="shared" si="86"/>
        <v>1.6699830317090707</v>
      </c>
      <c r="BA55" s="5">
        <f t="shared" si="87"/>
        <v>0.20714749269198415</v>
      </c>
      <c r="BB55" s="469">
        <f t="shared" si="88"/>
        <v>25.239643567482545</v>
      </c>
      <c r="BC55" s="5"/>
      <c r="BD55" s="177">
        <f t="shared" si="57"/>
        <v>0.23513021671531648</v>
      </c>
      <c r="BE55" s="177">
        <f t="shared" si="89"/>
        <v>4304.1887147190246</v>
      </c>
      <c r="BF55" s="177">
        <f t="shared" si="90"/>
        <v>21252.1499555632</v>
      </c>
      <c r="BG55" s="177"/>
      <c r="BH55" s="538">
        <f t="shared" si="34"/>
        <v>1.9350176584407092E-2</v>
      </c>
      <c r="BI55" s="538">
        <f t="shared" si="35"/>
        <v>880.7771468726155</v>
      </c>
      <c r="BJ55" s="538">
        <f t="shared" si="36"/>
        <v>4.3749999999999995E-3</v>
      </c>
      <c r="BK55" s="538">
        <f t="shared" si="37"/>
        <v>8462927.8085788898</v>
      </c>
      <c r="BL55">
        <f t="shared" si="38"/>
        <v>6.96E-3</v>
      </c>
      <c r="BM55">
        <f t="shared" si="91"/>
        <v>1.6625000000000001E-5</v>
      </c>
      <c r="BN55">
        <f t="shared" si="92"/>
        <v>8494133.5897526443</v>
      </c>
      <c r="BO55" s="469">
        <f t="shared" si="58"/>
        <v>8494133589.7526445</v>
      </c>
      <c r="BP55" s="177">
        <f t="shared" si="93"/>
        <v>14153894.950147755</v>
      </c>
      <c r="BQ55" s="177">
        <f t="shared" si="94"/>
        <v>345063562.66020602</v>
      </c>
      <c r="BR55" s="538"/>
      <c r="BT55" s="469">
        <f t="shared" si="59"/>
        <v>359217457610.35376</v>
      </c>
      <c r="BU55" s="538">
        <f t="shared" si="43"/>
        <v>5.5286218812591699E-3</v>
      </c>
      <c r="BV55" s="538">
        <f t="shared" si="60"/>
        <v>555781.21475743817</v>
      </c>
      <c r="BW55" s="538">
        <f t="shared" si="95"/>
        <v>22582693.886687249</v>
      </c>
      <c r="BX55" s="538">
        <f t="shared" si="45"/>
        <v>0</v>
      </c>
      <c r="BY55" s="538">
        <f t="shared" si="96"/>
        <v>-14.000007563164544</v>
      </c>
      <c r="BZ55" s="538">
        <f t="shared" si="61"/>
        <v>23138475.106973309</v>
      </c>
      <c r="CA55" s="641">
        <f t="shared" si="97"/>
        <v>9.1666666666666684E-3</v>
      </c>
      <c r="CB55" s="469">
        <f t="shared" si="62"/>
        <v>-13990.840896497877</v>
      </c>
      <c r="CC55" s="177">
        <f t="shared" si="63"/>
        <v>367711577.20926553</v>
      </c>
      <c r="CD55" s="5">
        <f t="shared" si="64"/>
        <v>2.75</v>
      </c>
      <c r="CE55" s="177">
        <f t="shared" si="65"/>
        <v>7.4786875091196216E-9</v>
      </c>
      <c r="CF55" s="5">
        <f t="shared" si="66"/>
        <v>7.4786875091196216E-7</v>
      </c>
      <c r="CG55">
        <f t="shared" si="102"/>
        <v>50</v>
      </c>
      <c r="CI55" s="571">
        <f t="shared" si="98"/>
        <v>-50</v>
      </c>
      <c r="CJ55">
        <f t="shared" si="99"/>
        <v>-50</v>
      </c>
    </row>
    <row r="56" spans="5:88" x14ac:dyDescent="0.25">
      <c r="E56" s="174">
        <v>51</v>
      </c>
      <c r="F56" s="221">
        <f t="shared" si="103"/>
        <v>5.1000000000000004E-2</v>
      </c>
      <c r="G56" s="221">
        <f t="shared" si="100"/>
        <v>0.255</v>
      </c>
      <c r="H56" s="221">
        <f t="shared" si="70"/>
        <v>0.76500000000000001</v>
      </c>
      <c r="I56" s="221">
        <f t="shared" si="104"/>
        <v>2.04</v>
      </c>
      <c r="J56" s="551">
        <f t="shared" si="1"/>
        <v>24</v>
      </c>
      <c r="K56" s="451">
        <f t="shared" si="2"/>
        <v>695386.58000000007</v>
      </c>
      <c r="L56" s="451">
        <f t="shared" si="3"/>
        <v>695410.58000000007</v>
      </c>
      <c r="M56" s="451"/>
      <c r="N56" s="221">
        <f t="shared" si="4"/>
        <v>0.99996548801428931</v>
      </c>
      <c r="O56" s="176">
        <f t="shared" si="101"/>
        <v>2.2090146689770211</v>
      </c>
      <c r="P56" s="176">
        <f t="shared" si="71"/>
        <v>5.8907057839387225</v>
      </c>
      <c r="Q56" s="221">
        <f t="shared" si="6"/>
        <v>0.14726764459846808</v>
      </c>
      <c r="R56" s="221">
        <f t="shared" si="72"/>
        <v>0.27612683362212764</v>
      </c>
      <c r="S56" s="451">
        <f t="shared" si="73"/>
        <v>15</v>
      </c>
      <c r="T56" s="221">
        <f t="shared" si="74"/>
        <v>0.25973118606120421</v>
      </c>
      <c r="U56" s="221">
        <f t="shared" si="10"/>
        <v>0.32466398257650525</v>
      </c>
      <c r="V56" s="221">
        <f t="shared" si="11"/>
        <v>1.1205185440645297E-5</v>
      </c>
      <c r="W56" s="201">
        <f t="shared" si="12"/>
        <v>350</v>
      </c>
      <c r="X56" s="451">
        <f t="shared" si="52"/>
        <v>350</v>
      </c>
      <c r="Z56" s="221">
        <f t="shared" si="13"/>
        <v>2.2856354011755182</v>
      </c>
      <c r="AA56" s="177">
        <f t="shared" si="14"/>
        <v>9.8605673459021225E-5</v>
      </c>
      <c r="AB56" s="177">
        <f t="shared" si="75"/>
        <v>0.4914588143407696</v>
      </c>
      <c r="AC56" s="177"/>
      <c r="AD56" s="177">
        <f t="shared" si="16"/>
        <v>6.4712206554230591E-6</v>
      </c>
      <c r="AE56" s="555">
        <f t="shared" si="76"/>
        <v>8433.0074074074109</v>
      </c>
      <c r="AF56" s="538">
        <f t="shared" si="77"/>
        <v>2.1166825946720815E-3</v>
      </c>
      <c r="AH56" s="177">
        <f t="shared" si="78"/>
        <v>0.73094850316948756</v>
      </c>
      <c r="AI56" s="177">
        <f t="shared" si="79"/>
        <v>0.73094850316948756</v>
      </c>
      <c r="AJ56" s="177">
        <f t="shared" si="80"/>
        <v>1.6303322245699907</v>
      </c>
      <c r="AL56" s="555">
        <f t="shared" si="81"/>
        <v>51.000000000000007</v>
      </c>
      <c r="AM56" s="469">
        <f t="shared" si="82"/>
        <v>350</v>
      </c>
      <c r="AO56">
        <f t="shared" si="53"/>
        <v>51.000000000000007</v>
      </c>
      <c r="AP56" s="469">
        <f t="shared" si="24"/>
        <v>350</v>
      </c>
      <c r="AQ56" s="469"/>
      <c r="AR56" s="5">
        <f t="shared" si="54"/>
        <v>2.8571428571428572</v>
      </c>
      <c r="AS56" s="5">
        <f t="shared" si="25"/>
        <v>0.91368562896185945</v>
      </c>
      <c r="AT56" s="5">
        <f t="shared" si="55"/>
        <v>1.9434572281809976</v>
      </c>
      <c r="AU56" s="177">
        <f t="shared" si="56"/>
        <v>0.31978997013665078</v>
      </c>
      <c r="AW56" s="5">
        <f t="shared" si="83"/>
        <v>0.10724833101420155</v>
      </c>
      <c r="AX56" s="5">
        <f t="shared" si="84"/>
        <v>0.5714293634519072</v>
      </c>
      <c r="AY56" s="5">
        <f t="shared" si="85"/>
        <v>2.7494601245163159</v>
      </c>
      <c r="AZ56" s="5">
        <f t="shared" si="86"/>
        <v>1.7272503461901172</v>
      </c>
      <c r="BA56" s="5">
        <f t="shared" si="87"/>
        <v>0.21031626254042046</v>
      </c>
      <c r="BB56" s="469">
        <f t="shared" si="88"/>
        <v>25.627534838183792</v>
      </c>
      <c r="BC56" s="5"/>
      <c r="BD56" s="177">
        <f t="shared" si="57"/>
        <v>0.23864842524507868</v>
      </c>
      <c r="BE56" s="177">
        <f t="shared" si="89"/>
        <v>4336.9847166497329</v>
      </c>
      <c r="BF56" s="177">
        <f t="shared" si="90"/>
        <v>21414.08187750493</v>
      </c>
      <c r="BG56" s="177"/>
      <c r="BH56" s="538">
        <f t="shared" si="34"/>
        <v>1.9933574805184564E-2</v>
      </c>
      <c r="BI56" s="538">
        <f t="shared" si="35"/>
        <v>889.54131444364407</v>
      </c>
      <c r="BJ56" s="538">
        <f t="shared" si="36"/>
        <v>4.3749999999999995E-3</v>
      </c>
      <c r="BK56" s="538">
        <f t="shared" si="37"/>
        <v>8462927.8085788898</v>
      </c>
      <c r="BL56">
        <f t="shared" si="38"/>
        <v>6.96E-3</v>
      </c>
      <c r="BM56">
        <f t="shared" si="91"/>
        <v>1.6625000000000001E-5</v>
      </c>
      <c r="BN56">
        <f t="shared" si="92"/>
        <v>8495060.044663975</v>
      </c>
      <c r="BO56" s="469">
        <f t="shared" si="58"/>
        <v>8495060044.6639748</v>
      </c>
      <c r="BP56" s="177">
        <f t="shared" si="93"/>
        <v>14370409.449005866</v>
      </c>
      <c r="BQ56" s="177">
        <f t="shared" si="94"/>
        <v>350342057.70261204</v>
      </c>
      <c r="BR56" s="538"/>
      <c r="BT56" s="469">
        <f t="shared" si="59"/>
        <v>364712467151.61786</v>
      </c>
      <c r="BU56" s="538">
        <f t="shared" si="43"/>
        <v>5.6953070871955912E-3</v>
      </c>
      <c r="BV56" s="538">
        <f t="shared" si="60"/>
        <v>564283.09297360096</v>
      </c>
      <c r="BW56" s="538">
        <f t="shared" si="95"/>
        <v>22928145.132824257</v>
      </c>
      <c r="BX56" s="538">
        <f t="shared" si="45"/>
        <v>0</v>
      </c>
      <c r="BY56" s="538">
        <f t="shared" si="96"/>
        <v>-14.000007449212632</v>
      </c>
      <c r="BZ56" s="538">
        <f t="shared" si="61"/>
        <v>23492428.231493164</v>
      </c>
      <c r="CA56" s="641">
        <f t="shared" si="97"/>
        <v>9.3500000000000024E-3</v>
      </c>
      <c r="CB56" s="469">
        <f t="shared" si="62"/>
        <v>-13990.657449212633</v>
      </c>
      <c r="CC56" s="177">
        <f t="shared" si="63"/>
        <v>373207513.20562446</v>
      </c>
      <c r="CD56" s="5">
        <f t="shared" si="64"/>
        <v>2.8050000000000002</v>
      </c>
      <c r="CE56" s="177">
        <f t="shared" si="65"/>
        <v>7.5159258044528427E-9</v>
      </c>
      <c r="CF56" s="5">
        <f t="shared" si="66"/>
        <v>7.5159258044528428E-7</v>
      </c>
      <c r="CG56">
        <f t="shared" si="102"/>
        <v>51</v>
      </c>
      <c r="CI56" s="571">
        <f t="shared" si="98"/>
        <v>-50</v>
      </c>
      <c r="CJ56">
        <f t="shared" si="99"/>
        <v>-50</v>
      </c>
    </row>
    <row r="57" spans="5:88" x14ac:dyDescent="0.25">
      <c r="E57" s="174">
        <v>52</v>
      </c>
      <c r="F57" s="221">
        <f t="shared" si="103"/>
        <v>5.2000000000000005E-2</v>
      </c>
      <c r="G57" s="221">
        <f t="shared" si="100"/>
        <v>0.26</v>
      </c>
      <c r="H57" s="221">
        <f t="shared" si="70"/>
        <v>0.78</v>
      </c>
      <c r="I57" s="221">
        <f t="shared" si="104"/>
        <v>2.08</v>
      </c>
      <c r="J57" s="551">
        <f t="shared" si="1"/>
        <v>24</v>
      </c>
      <c r="K57" s="451">
        <f t="shared" si="2"/>
        <v>695386.58000000007</v>
      </c>
      <c r="L57" s="451">
        <f t="shared" si="3"/>
        <v>695410.58000000007</v>
      </c>
      <c r="M57" s="451"/>
      <c r="N57" s="221">
        <f t="shared" si="4"/>
        <v>0.99996548801428931</v>
      </c>
      <c r="O57" s="176">
        <f t="shared" si="101"/>
        <v>2.2090146689770211</v>
      </c>
      <c r="P57" s="176">
        <f t="shared" si="71"/>
        <v>5.8907057839387225</v>
      </c>
      <c r="Q57" s="221">
        <f t="shared" si="6"/>
        <v>0.14726764459846808</v>
      </c>
      <c r="R57" s="221">
        <f t="shared" si="72"/>
        <v>0.27612683362212764</v>
      </c>
      <c r="S57" s="451">
        <f t="shared" si="73"/>
        <v>15</v>
      </c>
      <c r="T57" s="221">
        <f t="shared" si="74"/>
        <v>0.26482395441534545</v>
      </c>
      <c r="U57" s="221">
        <f t="shared" si="10"/>
        <v>0.33102994301918182</v>
      </c>
      <c r="V57" s="221">
        <f t="shared" si="11"/>
        <v>1.1424894959089319E-5</v>
      </c>
      <c r="W57" s="201">
        <f t="shared" si="12"/>
        <v>350</v>
      </c>
      <c r="X57" s="451">
        <f t="shared" si="52"/>
        <v>350</v>
      </c>
      <c r="Z57" s="221">
        <f t="shared" si="13"/>
        <v>2.2856354011755182</v>
      </c>
      <c r="AA57" s="177">
        <f t="shared" si="14"/>
        <v>9.8605673459021225E-5</v>
      </c>
      <c r="AB57" s="177">
        <f t="shared" si="75"/>
        <v>0.4914588143407696</v>
      </c>
      <c r="AC57" s="177"/>
      <c r="AD57" s="177">
        <f t="shared" si="16"/>
        <v>6.4712206554230591E-6</v>
      </c>
      <c r="AE57" s="555">
        <f t="shared" si="76"/>
        <v>8598.3604938271637</v>
      </c>
      <c r="AF57" s="538">
        <f t="shared" si="77"/>
        <v>2.1166825946720815E-3</v>
      </c>
      <c r="AH57" s="177">
        <f t="shared" si="78"/>
        <v>0.73807987695228816</v>
      </c>
      <c r="AI57" s="177">
        <f t="shared" si="79"/>
        <v>0.73807987695228816</v>
      </c>
      <c r="AJ57" s="177">
        <f t="shared" si="80"/>
        <v>1.6356147236683616</v>
      </c>
      <c r="AL57" s="555">
        <f t="shared" si="81"/>
        <v>52.000000000000007</v>
      </c>
      <c r="AM57" s="469">
        <f t="shared" si="82"/>
        <v>350</v>
      </c>
      <c r="AO57">
        <f t="shared" si="53"/>
        <v>52.000000000000007</v>
      </c>
      <c r="AP57" s="469">
        <f t="shared" si="24"/>
        <v>350</v>
      </c>
      <c r="AQ57" s="469"/>
      <c r="AR57" s="5">
        <f t="shared" si="54"/>
        <v>2.8571428571428572</v>
      </c>
      <c r="AS57" s="5">
        <f t="shared" si="25"/>
        <v>0.92259984619036028</v>
      </c>
      <c r="AT57" s="5">
        <f t="shared" si="55"/>
        <v>1.9345430109524968</v>
      </c>
      <c r="AU57" s="177">
        <f t="shared" si="56"/>
        <v>0.32290994616662611</v>
      </c>
      <c r="AW57" s="5">
        <f t="shared" si="83"/>
        <v>0.10724833101420155</v>
      </c>
      <c r="AX57" s="5">
        <f t="shared" si="84"/>
        <v>0.59099923059360138</v>
      </c>
      <c r="AY57" s="5">
        <f t="shared" si="85"/>
        <v>2.7494601245163159</v>
      </c>
      <c r="AZ57" s="5">
        <f t="shared" si="86"/>
        <v>1.785453647096531</v>
      </c>
      <c r="BA57" s="5">
        <f t="shared" si="87"/>
        <v>0.21345652049861655</v>
      </c>
      <c r="BB57" s="469">
        <f t="shared" si="88"/>
        <v>26.012004682056212</v>
      </c>
      <c r="BC57" s="5"/>
      <c r="BD57" s="177">
        <f t="shared" si="57"/>
        <v>0.242149428618154</v>
      </c>
      <c r="BE57" s="177">
        <f t="shared" si="89"/>
        <v>4369.2427763858059</v>
      </c>
      <c r="BF57" s="177">
        <f t="shared" si="90"/>
        <v>21573.357682592694</v>
      </c>
      <c r="BG57" s="177"/>
      <c r="BH57" s="538">
        <f t="shared" si="34"/>
        <v>2.052272102303446E-2</v>
      </c>
      <c r="BI57" s="538">
        <f t="shared" si="35"/>
        <v>898.21997180600897</v>
      </c>
      <c r="BJ57" s="538">
        <f t="shared" si="36"/>
        <v>4.3749999999999995E-3</v>
      </c>
      <c r="BK57" s="538">
        <f t="shared" si="37"/>
        <v>8462927.8085788898</v>
      </c>
      <c r="BL57">
        <f t="shared" si="38"/>
        <v>6.96E-3</v>
      </c>
      <c r="BM57">
        <f t="shared" si="91"/>
        <v>1.6625000000000001E-5</v>
      </c>
      <c r="BN57">
        <f t="shared" si="92"/>
        <v>8495995.6582320146</v>
      </c>
      <c r="BO57" s="469">
        <f t="shared" si="58"/>
        <v>8495995658.2320147</v>
      </c>
      <c r="BP57" s="177">
        <f t="shared" si="93"/>
        <v>14584975.798293648</v>
      </c>
      <c r="BQ57" s="177">
        <f t="shared" si="94"/>
        <v>355573058.01411593</v>
      </c>
      <c r="BR57" s="538"/>
      <c r="BT57" s="469">
        <f t="shared" si="59"/>
        <v>370158033812.40961</v>
      </c>
      <c r="BU57" s="538">
        <f t="shared" si="43"/>
        <v>5.8636345780098461E-3</v>
      </c>
      <c r="BV57" s="538">
        <f t="shared" si="60"/>
        <v>572708.47316998628</v>
      </c>
      <c r="BW57" s="538">
        <f t="shared" si="95"/>
        <v>23270488.085054062</v>
      </c>
      <c r="BX57" s="538">
        <f t="shared" si="45"/>
        <v>0</v>
      </c>
      <c r="BY57" s="538">
        <f t="shared" si="96"/>
        <v>-14.000007339623751</v>
      </c>
      <c r="BZ57" s="538">
        <f t="shared" si="61"/>
        <v>23843196.564087681</v>
      </c>
      <c r="CA57" s="641">
        <f t="shared" si="97"/>
        <v>9.5333333333333346E-3</v>
      </c>
      <c r="CB57" s="469">
        <f t="shared" si="62"/>
        <v>-13990.474006290418</v>
      </c>
      <c r="CC57" s="177">
        <f t="shared" si="63"/>
        <v>378654015.48016763</v>
      </c>
      <c r="CD57" s="5">
        <f t="shared" si="64"/>
        <v>2.8600000000000003</v>
      </c>
      <c r="CE57" s="177">
        <f t="shared" si="65"/>
        <v>7.5530691910700662E-9</v>
      </c>
      <c r="CF57" s="5">
        <f t="shared" si="66"/>
        <v>7.5530691910700662E-7</v>
      </c>
      <c r="CG57">
        <f t="shared" si="102"/>
        <v>52</v>
      </c>
      <c r="CI57" s="571">
        <f t="shared" si="98"/>
        <v>-50</v>
      </c>
      <c r="CJ57">
        <f t="shared" si="99"/>
        <v>-50</v>
      </c>
    </row>
    <row r="58" spans="5:88" x14ac:dyDescent="0.25">
      <c r="E58" s="174">
        <v>53</v>
      </c>
      <c r="F58" s="221">
        <f t="shared" si="103"/>
        <v>5.3000000000000005E-2</v>
      </c>
      <c r="G58" s="221">
        <f t="shared" si="100"/>
        <v>0.26500000000000001</v>
      </c>
      <c r="H58" s="221">
        <f t="shared" si="70"/>
        <v>0.79500000000000004</v>
      </c>
      <c r="I58" s="221">
        <f t="shared" si="104"/>
        <v>2.12</v>
      </c>
      <c r="J58" s="551">
        <f t="shared" si="1"/>
        <v>24</v>
      </c>
      <c r="K58" s="451">
        <f t="shared" si="2"/>
        <v>695386.58000000007</v>
      </c>
      <c r="L58" s="451">
        <f t="shared" si="3"/>
        <v>695410.58000000007</v>
      </c>
      <c r="M58" s="451"/>
      <c r="N58" s="221">
        <f t="shared" si="4"/>
        <v>0.99996548801428931</v>
      </c>
      <c r="O58" s="176">
        <f t="shared" si="101"/>
        <v>2.2090146689770211</v>
      </c>
      <c r="P58" s="176">
        <f t="shared" si="71"/>
        <v>5.8907057839387225</v>
      </c>
      <c r="Q58" s="221">
        <f t="shared" si="6"/>
        <v>0.14726764459846808</v>
      </c>
      <c r="R58" s="221">
        <f t="shared" si="72"/>
        <v>0.27612683362212764</v>
      </c>
      <c r="S58" s="451">
        <f t="shared" si="73"/>
        <v>15</v>
      </c>
      <c r="T58" s="221">
        <f t="shared" si="74"/>
        <v>0.26991672276948669</v>
      </c>
      <c r="U58" s="221">
        <f t="shared" si="10"/>
        <v>0.33739590346185833</v>
      </c>
      <c r="V58" s="221">
        <f t="shared" si="11"/>
        <v>1.1644604477533345E-5</v>
      </c>
      <c r="W58" s="201">
        <f t="shared" si="12"/>
        <v>350</v>
      </c>
      <c r="X58" s="451">
        <f t="shared" si="52"/>
        <v>350</v>
      </c>
      <c r="Z58" s="221">
        <f t="shared" si="13"/>
        <v>2.2856354011755182</v>
      </c>
      <c r="AA58" s="177">
        <f t="shared" si="14"/>
        <v>9.8605673459021225E-5</v>
      </c>
      <c r="AB58" s="177">
        <f t="shared" si="75"/>
        <v>0.4914588143407696</v>
      </c>
      <c r="AC58" s="177"/>
      <c r="AD58" s="177">
        <f t="shared" si="16"/>
        <v>6.4712206554230591E-6</v>
      </c>
      <c r="AE58" s="555">
        <f t="shared" si="76"/>
        <v>8763.7135802469184</v>
      </c>
      <c r="AF58" s="538">
        <f t="shared" si="77"/>
        <v>2.1166825946720815E-3</v>
      </c>
      <c r="AH58" s="177">
        <f t="shared" si="78"/>
        <v>0.74514300321354099</v>
      </c>
      <c r="AI58" s="177">
        <f t="shared" si="79"/>
        <v>0.74514300321354099</v>
      </c>
      <c r="AJ58" s="177">
        <f t="shared" si="80"/>
        <v>1.6408466690470673</v>
      </c>
      <c r="AL58" s="555">
        <f t="shared" si="81"/>
        <v>53.000000000000007</v>
      </c>
      <c r="AM58" s="469">
        <f t="shared" si="82"/>
        <v>350</v>
      </c>
      <c r="AO58">
        <f t="shared" si="53"/>
        <v>53.000000000000007</v>
      </c>
      <c r="AP58" s="469">
        <f t="shared" si="24"/>
        <v>350</v>
      </c>
      <c r="AQ58" s="469"/>
      <c r="AR58" s="5">
        <f t="shared" si="54"/>
        <v>2.8571428571428572</v>
      </c>
      <c r="AS58" s="5">
        <f t="shared" si="25"/>
        <v>0.93142875401692626</v>
      </c>
      <c r="AT58" s="5">
        <f t="shared" si="55"/>
        <v>1.9257141031259311</v>
      </c>
      <c r="AU58" s="177">
        <f t="shared" si="56"/>
        <v>0.32600006390592418</v>
      </c>
      <c r="AW58" s="5">
        <f t="shared" si="83"/>
        <v>0.10724833101420155</v>
      </c>
      <c r="AX58" s="5">
        <f t="shared" si="84"/>
        <v>0.61089084272833816</v>
      </c>
      <c r="AY58" s="5">
        <f t="shared" si="85"/>
        <v>2.7494601245163159</v>
      </c>
      <c r="AZ58" s="5">
        <f t="shared" si="86"/>
        <v>1.8445929344283118</v>
      </c>
      <c r="BA58" s="5">
        <f t="shared" si="87"/>
        <v>0.21656854207608367</v>
      </c>
      <c r="BB58" s="469">
        <f t="shared" si="88"/>
        <v>26.393086160241158</v>
      </c>
      <c r="BC58" s="5"/>
      <c r="BD58" s="177">
        <f t="shared" si="57"/>
        <v>0.24563363947867742</v>
      </c>
      <c r="BE58" s="177">
        <f t="shared" si="89"/>
        <v>4400.977522265508</v>
      </c>
      <c r="BF58" s="177">
        <f t="shared" si="90"/>
        <v>21730.049598988171</v>
      </c>
      <c r="BG58" s="177"/>
      <c r="BH58" s="538">
        <f t="shared" si="34"/>
        <v>2.1117559695239305E-2</v>
      </c>
      <c r="BI58" s="538">
        <f t="shared" si="35"/>
        <v>906.81557408342337</v>
      </c>
      <c r="BJ58" s="538">
        <f t="shared" si="36"/>
        <v>4.3749999999999995E-3</v>
      </c>
      <c r="BK58" s="538">
        <f t="shared" si="37"/>
        <v>8462927.8085788898</v>
      </c>
      <c r="BL58">
        <f t="shared" si="38"/>
        <v>6.96E-3</v>
      </c>
      <c r="BM58">
        <f t="shared" si="91"/>
        <v>1.6625000000000001E-5</v>
      </c>
      <c r="BN58">
        <f t="shared" si="92"/>
        <v>8496940.3514938969</v>
      </c>
      <c r="BO58" s="469">
        <f t="shared" si="58"/>
        <v>8496940351.4938965</v>
      </c>
      <c r="BP58" s="177">
        <f t="shared" si="93"/>
        <v>14797612.822919995</v>
      </c>
      <c r="BQ58" s="177">
        <f t="shared" si="94"/>
        <v>360757022.53482974</v>
      </c>
      <c r="BR58" s="538"/>
      <c r="BT58" s="469">
        <f t="shared" si="59"/>
        <v>375554635357.74969</v>
      </c>
      <c r="BU58" s="538">
        <f t="shared" si="43"/>
        <v>6.0335884843540875E-3</v>
      </c>
      <c r="BV58" s="538">
        <f t="shared" si="60"/>
        <v>581058.09454458754</v>
      </c>
      <c r="BW58" s="538">
        <f t="shared" si="95"/>
        <v>23609752.778724298</v>
      </c>
      <c r="BX58" s="538">
        <f t="shared" si="45"/>
        <v>0</v>
      </c>
      <c r="BY58" s="538">
        <f t="shared" si="96"/>
        <v>-14.000007234155619</v>
      </c>
      <c r="BZ58" s="538">
        <f t="shared" si="61"/>
        <v>24190810.879302476</v>
      </c>
      <c r="CA58" s="641">
        <f t="shared" si="97"/>
        <v>9.7166666666666669E-3</v>
      </c>
      <c r="CB58" s="469">
        <f t="shared" si="62"/>
        <v>-13990.290567488953</v>
      </c>
      <c r="CC58" s="177">
        <f t="shared" si="63"/>
        <v>384051561.71895313</v>
      </c>
      <c r="CD58" s="5">
        <f t="shared" si="64"/>
        <v>2.915</v>
      </c>
      <c r="CE58" s="177">
        <f t="shared" si="65"/>
        <v>7.5901266091139135E-9</v>
      </c>
      <c r="CF58" s="5">
        <f t="shared" si="66"/>
        <v>7.5901266091139139E-7</v>
      </c>
      <c r="CG58">
        <f t="shared" si="102"/>
        <v>53</v>
      </c>
      <c r="CI58" s="571">
        <f t="shared" si="98"/>
        <v>-50</v>
      </c>
      <c r="CJ58">
        <f t="shared" si="99"/>
        <v>-50</v>
      </c>
    </row>
    <row r="59" spans="5:88" x14ac:dyDescent="0.25">
      <c r="E59" s="174">
        <v>54</v>
      </c>
      <c r="F59" s="221">
        <f t="shared" si="103"/>
        <v>5.4000000000000006E-2</v>
      </c>
      <c r="G59" s="221">
        <f t="shared" si="100"/>
        <v>0.27</v>
      </c>
      <c r="H59" s="221">
        <f t="shared" si="70"/>
        <v>0.81</v>
      </c>
      <c r="I59" s="221">
        <f t="shared" si="104"/>
        <v>2.16</v>
      </c>
      <c r="J59" s="551">
        <f t="shared" si="1"/>
        <v>24</v>
      </c>
      <c r="K59" s="451">
        <f t="shared" si="2"/>
        <v>695386.58000000007</v>
      </c>
      <c r="L59" s="451">
        <f t="shared" si="3"/>
        <v>695410.58000000007</v>
      </c>
      <c r="M59" s="451"/>
      <c r="N59" s="221">
        <f t="shared" si="4"/>
        <v>0.99996548801428931</v>
      </c>
      <c r="O59" s="176">
        <f t="shared" si="101"/>
        <v>2.2090146689770211</v>
      </c>
      <c r="P59" s="176">
        <f t="shared" si="71"/>
        <v>5.8907057839387225</v>
      </c>
      <c r="Q59" s="221">
        <f t="shared" si="6"/>
        <v>0.14726764459846808</v>
      </c>
      <c r="R59" s="221">
        <f t="shared" si="72"/>
        <v>0.27612683362212764</v>
      </c>
      <c r="S59" s="451">
        <f t="shared" si="73"/>
        <v>15</v>
      </c>
      <c r="T59" s="221">
        <f t="shared" si="74"/>
        <v>0.27500949112362799</v>
      </c>
      <c r="U59" s="221">
        <f t="shared" si="10"/>
        <v>0.34376186390453506</v>
      </c>
      <c r="V59" s="221">
        <f t="shared" si="11"/>
        <v>1.1864313995977374E-5</v>
      </c>
      <c r="W59" s="201">
        <f t="shared" si="12"/>
        <v>350</v>
      </c>
      <c r="X59" s="451">
        <f t="shared" si="52"/>
        <v>350</v>
      </c>
      <c r="Z59" s="221">
        <f t="shared" si="13"/>
        <v>2.2856354011755182</v>
      </c>
      <c r="AA59" s="177">
        <f t="shared" si="14"/>
        <v>9.8605673459021225E-5</v>
      </c>
      <c r="AB59" s="177">
        <f t="shared" si="75"/>
        <v>0.4914588143407696</v>
      </c>
      <c r="AC59" s="177"/>
      <c r="AD59" s="177">
        <f t="shared" si="16"/>
        <v>6.4712206554230591E-6</v>
      </c>
      <c r="AE59" s="555">
        <f t="shared" si="76"/>
        <v>8929.0666666666693</v>
      </c>
      <c r="AF59" s="538">
        <f t="shared" si="77"/>
        <v>2.1166825946720815E-3</v>
      </c>
      <c r="AH59" s="177">
        <f t="shared" si="78"/>
        <v>0.75213980463361052</v>
      </c>
      <c r="AI59" s="177">
        <f t="shared" si="79"/>
        <v>0.75213980463361052</v>
      </c>
      <c r="AJ59" s="177">
        <f t="shared" si="80"/>
        <v>1.6460294849137855</v>
      </c>
      <c r="AL59" s="555">
        <f t="shared" si="81"/>
        <v>54.000000000000007</v>
      </c>
      <c r="AM59" s="469">
        <f t="shared" si="82"/>
        <v>350</v>
      </c>
      <c r="AO59">
        <f t="shared" si="53"/>
        <v>54.000000000000007</v>
      </c>
      <c r="AP59" s="469">
        <f t="shared" si="24"/>
        <v>350</v>
      </c>
      <c r="AQ59" s="469"/>
      <c r="AR59" s="5">
        <f t="shared" si="54"/>
        <v>2.8571428571428572</v>
      </c>
      <c r="AS59" s="5">
        <f t="shared" si="25"/>
        <v>0.94017475579201315</v>
      </c>
      <c r="AT59" s="5">
        <f t="shared" si="55"/>
        <v>1.9169681013508439</v>
      </c>
      <c r="AU59" s="177">
        <f t="shared" si="56"/>
        <v>0.32906116452720457</v>
      </c>
      <c r="AW59" s="5">
        <f t="shared" si="83"/>
        <v>0.10724833101420155</v>
      </c>
      <c r="AX59" s="5">
        <f t="shared" si="84"/>
        <v>0.63110419985611754</v>
      </c>
      <c r="AY59" s="5">
        <f t="shared" si="85"/>
        <v>2.7494601245163159</v>
      </c>
      <c r="AZ59" s="5">
        <f t="shared" si="86"/>
        <v>1.9046682081854602</v>
      </c>
      <c r="BA59" s="5">
        <f t="shared" si="87"/>
        <v>0.21965259494645087</v>
      </c>
      <c r="BB59" s="469">
        <f t="shared" si="88"/>
        <v>26.770811393574107</v>
      </c>
      <c r="BC59" s="5"/>
      <c r="BD59" s="177">
        <f t="shared" si="57"/>
        <v>0.24910145299109129</v>
      </c>
      <c r="BE59" s="177">
        <f t="shared" si="89"/>
        <v>4432.2028957451685</v>
      </c>
      <c r="BF59" s="177">
        <f t="shared" si="90"/>
        <v>21884.226463338677</v>
      </c>
      <c r="BG59" s="177"/>
      <c r="BH59" s="538">
        <f t="shared" si="34"/>
        <v>2.1718036858795503E-2</v>
      </c>
      <c r="BI59" s="538">
        <f t="shared" si="35"/>
        <v>915.33046111735518</v>
      </c>
      <c r="BJ59" s="538">
        <f t="shared" si="36"/>
        <v>4.3749999999999995E-3</v>
      </c>
      <c r="BK59" s="538">
        <f t="shared" si="37"/>
        <v>8462927.8085788898</v>
      </c>
      <c r="BL59">
        <f t="shared" si="38"/>
        <v>6.96E-3</v>
      </c>
      <c r="BM59">
        <f t="shared" si="91"/>
        <v>1.6625000000000001E-5</v>
      </c>
      <c r="BN59">
        <f t="shared" si="92"/>
        <v>8497894.0478418637</v>
      </c>
      <c r="BO59" s="469">
        <f t="shared" si="58"/>
        <v>8497894047.8418636</v>
      </c>
      <c r="BP59" s="177">
        <f t="shared" si="93"/>
        <v>15008338.812386615</v>
      </c>
      <c r="BQ59" s="177">
        <f t="shared" si="94"/>
        <v>365894397.1519562</v>
      </c>
      <c r="BR59" s="538"/>
      <c r="BT59" s="469">
        <f t="shared" si="59"/>
        <v>380902735964.34283</v>
      </c>
      <c r="BU59" s="538">
        <f t="shared" si="43"/>
        <v>6.2051533882272868E-3</v>
      </c>
      <c r="BV59" s="538">
        <f t="shared" si="60"/>
        <v>589332.67527155566</v>
      </c>
      <c r="BW59" s="538">
        <f t="shared" si="95"/>
        <v>23945968.394934643</v>
      </c>
      <c r="BX59" s="538">
        <f t="shared" si="45"/>
        <v>0</v>
      </c>
      <c r="BY59" s="538">
        <f t="shared" si="96"/>
        <v>-14.000007132583725</v>
      </c>
      <c r="BZ59" s="538">
        <f t="shared" si="61"/>
        <v>24535301.076411352</v>
      </c>
      <c r="CA59" s="641">
        <f t="shared" si="97"/>
        <v>9.9000000000000043E-3</v>
      </c>
      <c r="CB59" s="469">
        <f t="shared" si="62"/>
        <v>-13990.107132583726</v>
      </c>
      <c r="CC59" s="177">
        <f t="shared" si="63"/>
        <v>389400616.0220775</v>
      </c>
      <c r="CD59" s="5">
        <f t="shared" si="64"/>
        <v>2.97</v>
      </c>
      <c r="CE59" s="177">
        <f t="shared" si="65"/>
        <v>7.627106519983281E-9</v>
      </c>
      <c r="CF59" s="5">
        <f t="shared" si="66"/>
        <v>7.6271065199832808E-7</v>
      </c>
      <c r="CG59">
        <f t="shared" si="102"/>
        <v>54</v>
      </c>
      <c r="CI59" s="571">
        <f t="shared" si="98"/>
        <v>-50</v>
      </c>
      <c r="CJ59">
        <f t="shared" si="99"/>
        <v>-50</v>
      </c>
    </row>
    <row r="60" spans="5:88" x14ac:dyDescent="0.25">
      <c r="E60" s="174">
        <v>55</v>
      </c>
      <c r="F60" s="221">
        <f t="shared" si="103"/>
        <v>5.5000000000000007E-2</v>
      </c>
      <c r="G60" s="221">
        <f t="shared" si="100"/>
        <v>0.27500000000000002</v>
      </c>
      <c r="H60" s="221">
        <f t="shared" si="70"/>
        <v>0.82500000000000007</v>
      </c>
      <c r="I60" s="221">
        <f t="shared" si="104"/>
        <v>2.2000000000000002</v>
      </c>
      <c r="J60" s="551">
        <f t="shared" si="1"/>
        <v>24</v>
      </c>
      <c r="K60" s="451">
        <f t="shared" si="2"/>
        <v>695386.58000000007</v>
      </c>
      <c r="L60" s="451">
        <f t="shared" si="3"/>
        <v>695410.58000000007</v>
      </c>
      <c r="M60" s="451"/>
      <c r="N60" s="221">
        <f t="shared" si="4"/>
        <v>0.99996548801428931</v>
      </c>
      <c r="O60" s="176">
        <f t="shared" si="101"/>
        <v>2.2090146689770211</v>
      </c>
      <c r="P60" s="176">
        <f t="shared" si="71"/>
        <v>5.8907057839387225</v>
      </c>
      <c r="Q60" s="221">
        <f t="shared" si="6"/>
        <v>0.14726764459846808</v>
      </c>
      <c r="R60" s="221">
        <f t="shared" si="72"/>
        <v>0.27612683362212764</v>
      </c>
      <c r="S60" s="451">
        <f t="shared" si="73"/>
        <v>15</v>
      </c>
      <c r="T60" s="221">
        <f t="shared" si="74"/>
        <v>0.28010225947776923</v>
      </c>
      <c r="U60" s="221">
        <f t="shared" si="10"/>
        <v>0.35012782434721151</v>
      </c>
      <c r="V60" s="221">
        <f t="shared" si="11"/>
        <v>1.2084023514421397E-5</v>
      </c>
      <c r="W60" s="201">
        <f t="shared" si="12"/>
        <v>350</v>
      </c>
      <c r="X60" s="451">
        <f t="shared" si="52"/>
        <v>350</v>
      </c>
      <c r="Z60" s="221">
        <f t="shared" si="13"/>
        <v>2.2856354011755182</v>
      </c>
      <c r="AA60" s="177">
        <f t="shared" si="14"/>
        <v>9.8605673459021225E-5</v>
      </c>
      <c r="AB60" s="177">
        <f t="shared" si="75"/>
        <v>0.4914588143407696</v>
      </c>
      <c r="AC60" s="177"/>
      <c r="AD60" s="177">
        <f t="shared" si="16"/>
        <v>6.4712206554230591E-6</v>
      </c>
      <c r="AE60" s="555">
        <f t="shared" si="76"/>
        <v>9094.4197530864221</v>
      </c>
      <c r="AF60" s="538">
        <f t="shared" si="77"/>
        <v>2.1166825946720815E-3</v>
      </c>
      <c r="AH60" s="177">
        <f t="shared" si="78"/>
        <v>0.75907211527658969</v>
      </c>
      <c r="AI60" s="177">
        <f t="shared" si="79"/>
        <v>0.75907211527658969</v>
      </c>
      <c r="AJ60" s="177">
        <f t="shared" si="80"/>
        <v>1.6511645298345108</v>
      </c>
      <c r="AL60" s="555">
        <f t="shared" si="81"/>
        <v>55.000000000000007</v>
      </c>
      <c r="AM60" s="469">
        <f t="shared" si="82"/>
        <v>350</v>
      </c>
      <c r="AO60">
        <f t="shared" si="53"/>
        <v>55.000000000000007</v>
      </c>
      <c r="AP60">
        <f t="shared" si="24"/>
        <v>350</v>
      </c>
      <c r="AR60" s="5">
        <f t="shared" si="54"/>
        <v>2.8571428571428572</v>
      </c>
      <c r="AS60" s="5">
        <f t="shared" si="25"/>
        <v>0.94884014409573714</v>
      </c>
      <c r="AT60" s="5">
        <f t="shared" si="55"/>
        <v>1.90830271304712</v>
      </c>
      <c r="AU60" s="177">
        <f t="shared" si="56"/>
        <v>0.33209405043350798</v>
      </c>
      <c r="AW60" s="5">
        <f t="shared" si="83"/>
        <v>0.10724833101420155</v>
      </c>
      <c r="AX60" s="5">
        <f t="shared" si="84"/>
        <v>0.65163930197693953</v>
      </c>
      <c r="AY60" s="5">
        <f t="shared" si="85"/>
        <v>2.7494601245163159</v>
      </c>
      <c r="AZ60" s="5">
        <f t="shared" si="86"/>
        <v>1.9656794683679757</v>
      </c>
      <c r="BA60" s="5">
        <f t="shared" si="87"/>
        <v>0.22270893931201918</v>
      </c>
      <c r="BB60" s="469">
        <f t="shared" si="88"/>
        <v>27.145211606331195</v>
      </c>
      <c r="BC60" s="5"/>
      <c r="BD60" s="177">
        <f t="shared" si="57"/>
        <v>0.25255324788996281</v>
      </c>
      <c r="BE60" s="177">
        <f t="shared" si="89"/>
        <v>4462.9321956135018</v>
      </c>
      <c r="BF60" s="177">
        <f t="shared" si="90"/>
        <v>22035.953939087594</v>
      </c>
      <c r="BG60" s="177"/>
      <c r="BH60" s="538">
        <f t="shared" si="34"/>
        <v>2.2324100056919149E-2</v>
      </c>
      <c r="BI60" s="538">
        <f t="shared" si="35"/>
        <v>923.76686490606016</v>
      </c>
      <c r="BJ60" s="538">
        <f t="shared" si="36"/>
        <v>4.3749999999999995E-3</v>
      </c>
      <c r="BK60" s="538">
        <f t="shared" si="37"/>
        <v>8462927.8085788898</v>
      </c>
      <c r="BL60">
        <f t="shared" si="38"/>
        <v>6.96E-3</v>
      </c>
      <c r="BM60">
        <f t="shared" si="91"/>
        <v>1.6625000000000001E-5</v>
      </c>
      <c r="BN60">
        <f t="shared" si="92"/>
        <v>8498856.6729159933</v>
      </c>
      <c r="BO60" s="469">
        <f t="shared" si="58"/>
        <v>8498856672.9159937</v>
      </c>
      <c r="BP60" s="177">
        <f t="shared" si="93"/>
        <v>15217171.545697169</v>
      </c>
      <c r="BQ60" s="177">
        <f t="shared" si="94"/>
        <v>370985615.30705822</v>
      </c>
      <c r="BR60" s="538"/>
      <c r="BT60" s="469">
        <f t="shared" si="59"/>
        <v>386202786852.75537</v>
      </c>
      <c r="BU60" s="538">
        <f t="shared" si="43"/>
        <v>6.3783143019769013E-3</v>
      </c>
      <c r="BV60" s="538">
        <f t="shared" si="60"/>
        <v>597532.91347930662</v>
      </c>
      <c r="BW60" s="538">
        <f t="shared" si="95"/>
        <v>24279163.300279506</v>
      </c>
      <c r="BX60" s="538">
        <f t="shared" si="45"/>
        <v>0</v>
      </c>
      <c r="BY60" s="538">
        <f t="shared" si="96"/>
        <v>-14.000007034699721</v>
      </c>
      <c r="BZ60" s="538">
        <f t="shared" si="61"/>
        <v>24876696.220137127</v>
      </c>
      <c r="CA60" s="641">
        <f t="shared" si="97"/>
        <v>1.0083333333333335E-2</v>
      </c>
      <c r="CB60" s="469">
        <f t="shared" si="62"/>
        <v>-13989.923701366386</v>
      </c>
      <c r="CC60" s="177">
        <f t="shared" si="63"/>
        <v>394701629.53574765</v>
      </c>
      <c r="CD60" s="5">
        <f t="shared" si="64"/>
        <v>3.0250000000000004</v>
      </c>
      <c r="CE60" s="177">
        <f t="shared" si="65"/>
        <v>7.6640169445826383E-9</v>
      </c>
      <c r="CF60" s="5">
        <f t="shared" si="66"/>
        <v>7.6640169445826387E-7</v>
      </c>
      <c r="CG60">
        <f t="shared" si="102"/>
        <v>55.000000000000007</v>
      </c>
      <c r="CI60" s="571">
        <f t="shared" si="98"/>
        <v>-50</v>
      </c>
      <c r="CJ60">
        <f t="shared" si="99"/>
        <v>-50</v>
      </c>
    </row>
    <row r="61" spans="5:88" x14ac:dyDescent="0.25">
      <c r="E61" s="174">
        <v>56</v>
      </c>
      <c r="F61" s="221">
        <f t="shared" si="103"/>
        <v>5.6000000000000008E-2</v>
      </c>
      <c r="G61" s="221">
        <f t="shared" si="100"/>
        <v>0.28000000000000003</v>
      </c>
      <c r="H61" s="221">
        <f t="shared" si="70"/>
        <v>0.84000000000000008</v>
      </c>
      <c r="I61" s="221">
        <f t="shared" si="104"/>
        <v>2.2400000000000002</v>
      </c>
      <c r="J61" s="551">
        <f t="shared" si="1"/>
        <v>24</v>
      </c>
      <c r="K61" s="451">
        <f t="shared" si="2"/>
        <v>695386.58000000007</v>
      </c>
      <c r="L61" s="451">
        <f t="shared" si="3"/>
        <v>695410.58000000007</v>
      </c>
      <c r="M61" s="451"/>
      <c r="N61" s="221">
        <f t="shared" si="4"/>
        <v>0.99996548801428931</v>
      </c>
      <c r="O61" s="176">
        <f t="shared" si="101"/>
        <v>2.2090146689770211</v>
      </c>
      <c r="P61" s="176">
        <f t="shared" si="71"/>
        <v>5.8907057839387225</v>
      </c>
      <c r="Q61" s="221">
        <f t="shared" si="6"/>
        <v>0.14726764459846808</v>
      </c>
      <c r="R61" s="221">
        <f t="shared" si="72"/>
        <v>0.27612683362212764</v>
      </c>
      <c r="S61" s="451">
        <f t="shared" si="73"/>
        <v>15</v>
      </c>
      <c r="T61" s="221">
        <f t="shared" si="74"/>
        <v>0.28519502783191047</v>
      </c>
      <c r="U61" s="221">
        <f t="shared" si="10"/>
        <v>0.35649378478988808</v>
      </c>
      <c r="V61" s="221">
        <f t="shared" si="11"/>
        <v>1.2303733032865421E-5</v>
      </c>
      <c r="W61" s="201">
        <f t="shared" si="12"/>
        <v>350</v>
      </c>
      <c r="X61" s="451">
        <f t="shared" si="52"/>
        <v>350</v>
      </c>
      <c r="Z61" s="221">
        <f t="shared" si="13"/>
        <v>2.2856354011755182</v>
      </c>
      <c r="AA61" s="177">
        <f t="shared" si="14"/>
        <v>9.8605673459021225E-5</v>
      </c>
      <c r="AB61" s="177">
        <f t="shared" si="75"/>
        <v>0.4914588143407696</v>
      </c>
      <c r="AC61" s="177"/>
      <c r="AD61" s="177">
        <f t="shared" si="16"/>
        <v>6.4712206554230591E-6</v>
      </c>
      <c r="AE61" s="555">
        <f t="shared" si="76"/>
        <v>9259.7728395061768</v>
      </c>
      <c r="AF61" s="538">
        <f t="shared" si="77"/>
        <v>2.1166825946720815E-3</v>
      </c>
      <c r="AH61" s="177">
        <f t="shared" si="78"/>
        <v>0.76594168620507053</v>
      </c>
      <c r="AI61" s="177">
        <f t="shared" si="79"/>
        <v>0.76594168620507053</v>
      </c>
      <c r="AJ61" s="177">
        <f t="shared" si="80"/>
        <v>1.6562531008926449</v>
      </c>
      <c r="AL61" s="555">
        <f t="shared" si="81"/>
        <v>56.000000000000007</v>
      </c>
      <c r="AM61" s="469">
        <f t="shared" si="82"/>
        <v>350</v>
      </c>
      <c r="AO61">
        <f t="shared" si="53"/>
        <v>56.000000000000007</v>
      </c>
      <c r="AP61">
        <f t="shared" si="24"/>
        <v>350</v>
      </c>
      <c r="AR61" s="5">
        <f t="shared" si="54"/>
        <v>2.8571428571428572</v>
      </c>
      <c r="AS61" s="5">
        <f t="shared" si="25"/>
        <v>0.9574271077563381</v>
      </c>
      <c r="AT61" s="5">
        <f t="shared" si="55"/>
        <v>1.8997157493865191</v>
      </c>
      <c r="AU61" s="177">
        <f t="shared" si="56"/>
        <v>0.33509948771471831</v>
      </c>
      <c r="AW61" s="5">
        <f t="shared" si="83"/>
        <v>0.10724833101420155</v>
      </c>
      <c r="AX61" s="5">
        <f t="shared" si="84"/>
        <v>0.67249614909080402</v>
      </c>
      <c r="AY61" s="5">
        <f t="shared" si="85"/>
        <v>2.7494601245163159</v>
      </c>
      <c r="AZ61" s="5">
        <f t="shared" si="86"/>
        <v>2.0276267149758587</v>
      </c>
      <c r="BA61" s="5">
        <f t="shared" si="87"/>
        <v>0.22573782824500299</v>
      </c>
      <c r="BB61" s="469">
        <f t="shared" si="88"/>
        <v>27.516317167178137</v>
      </c>
      <c r="BC61" s="5"/>
      <c r="BD61" s="177">
        <f t="shared" si="57"/>
        <v>0.25598938744884292</v>
      </c>
      <c r="BE61" s="177">
        <f t="shared" si="89"/>
        <v>4493.1781186078051</v>
      </c>
      <c r="BF61" s="177">
        <f t="shared" si="90"/>
        <v>22185.294717018915</v>
      </c>
      <c r="BG61" s="177"/>
      <c r="BH61" s="538">
        <f t="shared" si="34"/>
        <v>2.2935698270251836E-2</v>
      </c>
      <c r="BI61" s="538">
        <f t="shared" si="35"/>
        <v>932.12691643758092</v>
      </c>
      <c r="BJ61" s="538">
        <f t="shared" si="36"/>
        <v>4.3749999999999995E-3</v>
      </c>
      <c r="BK61" s="538">
        <f t="shared" si="37"/>
        <v>8462927.8085788898</v>
      </c>
      <c r="BL61">
        <f t="shared" si="38"/>
        <v>6.96E-3</v>
      </c>
      <c r="BM61">
        <f t="shared" si="91"/>
        <v>1.6625000000000001E-5</v>
      </c>
      <c r="BN61">
        <f t="shared" si="92"/>
        <v>8499828.1545036472</v>
      </c>
      <c r="BO61" s="469">
        <f t="shared" si="58"/>
        <v>8499828154.5036469</v>
      </c>
      <c r="BP61" s="177">
        <f t="shared" si="93"/>
        <v>15424128.314673482</v>
      </c>
      <c r="BQ61" s="177">
        <f t="shared" si="94"/>
        <v>376031098.56449425</v>
      </c>
      <c r="BR61" s="538"/>
      <c r="BT61" s="469">
        <f t="shared" si="59"/>
        <v>391455226879.16772</v>
      </c>
      <c r="BU61" s="538">
        <f t="shared" si="43"/>
        <v>6.5530566486433827E-3</v>
      </c>
      <c r="BV61" s="538">
        <f t="shared" si="60"/>
        <v>605659.48816607927</v>
      </c>
      <c r="BW61" s="538">
        <f t="shared" si="95"/>
        <v>24609365.08404937</v>
      </c>
      <c r="BX61" s="538">
        <f t="shared" si="45"/>
        <v>0</v>
      </c>
      <c r="BY61" s="538">
        <f t="shared" si="96"/>
        <v>-14.000006940309982</v>
      </c>
      <c r="BZ61" s="538">
        <f t="shared" si="61"/>
        <v>25215024.578768507</v>
      </c>
      <c r="CA61" s="641">
        <f t="shared" si="97"/>
        <v>1.0266666666666669E-2</v>
      </c>
      <c r="CB61" s="469">
        <f t="shared" si="62"/>
        <v>-13989.740273643316</v>
      </c>
      <c r="CC61" s="177">
        <f t="shared" si="63"/>
        <v>399955041.04393113</v>
      </c>
      <c r="CD61" s="5">
        <f t="shared" si="64"/>
        <v>3.08</v>
      </c>
      <c r="CE61" s="177">
        <f t="shared" si="65"/>
        <v>7.7008654978873649E-9</v>
      </c>
      <c r="CF61" s="5">
        <f t="shared" si="66"/>
        <v>7.700865497887365E-7</v>
      </c>
      <c r="CG61">
        <f t="shared" si="102"/>
        <v>56.000000000000007</v>
      </c>
      <c r="CI61" s="571">
        <f t="shared" si="98"/>
        <v>-50</v>
      </c>
      <c r="CJ61">
        <f t="shared" si="99"/>
        <v>-50</v>
      </c>
    </row>
    <row r="62" spans="5:88" x14ac:dyDescent="0.25">
      <c r="E62" s="174">
        <v>57</v>
      </c>
      <c r="F62" s="221">
        <f t="shared" si="103"/>
        <v>5.6999999999999995E-2</v>
      </c>
      <c r="G62" s="221">
        <f t="shared" si="100"/>
        <v>0.28499999999999998</v>
      </c>
      <c r="H62" s="221">
        <f t="shared" si="70"/>
        <v>0.85499999999999998</v>
      </c>
      <c r="I62" s="221">
        <f t="shared" si="104"/>
        <v>2.2799999999999998</v>
      </c>
      <c r="J62" s="551">
        <f t="shared" si="1"/>
        <v>24</v>
      </c>
      <c r="K62" s="451">
        <f t="shared" si="2"/>
        <v>695386.58000000007</v>
      </c>
      <c r="L62" s="451">
        <f t="shared" si="3"/>
        <v>695410.58000000007</v>
      </c>
      <c r="M62" s="451"/>
      <c r="N62" s="221">
        <f t="shared" si="4"/>
        <v>0.99996548801428931</v>
      </c>
      <c r="O62" s="176">
        <f t="shared" si="101"/>
        <v>2.2090146689770211</v>
      </c>
      <c r="P62" s="176">
        <f t="shared" si="71"/>
        <v>5.8907057839387225</v>
      </c>
      <c r="Q62" s="221">
        <f t="shared" si="6"/>
        <v>0.14726764459846808</v>
      </c>
      <c r="R62" s="221">
        <f t="shared" si="72"/>
        <v>0.27612683362212764</v>
      </c>
      <c r="S62" s="451">
        <f t="shared" si="73"/>
        <v>15</v>
      </c>
      <c r="T62" s="221">
        <f t="shared" si="74"/>
        <v>0.29028779618605172</v>
      </c>
      <c r="U62" s="221">
        <f t="shared" si="10"/>
        <v>0.3628597452325647</v>
      </c>
      <c r="V62" s="221">
        <f t="shared" si="11"/>
        <v>1.2523442551309447E-5</v>
      </c>
      <c r="W62" s="201">
        <f t="shared" si="12"/>
        <v>350</v>
      </c>
      <c r="X62" s="451">
        <f t="shared" si="52"/>
        <v>350</v>
      </c>
      <c r="Z62" s="221">
        <f t="shared" si="13"/>
        <v>2.2856354011755182</v>
      </c>
      <c r="AA62" s="177">
        <f t="shared" si="14"/>
        <v>9.8605673459021225E-5</v>
      </c>
      <c r="AB62" s="177">
        <f t="shared" si="75"/>
        <v>0.4914588143407696</v>
      </c>
      <c r="AC62" s="177"/>
      <c r="AD62" s="177">
        <f t="shared" si="16"/>
        <v>6.4712206554230591E-6</v>
      </c>
      <c r="AE62" s="555">
        <f t="shared" si="76"/>
        <v>9425.1259259259277</v>
      </c>
      <c r="AF62" s="538">
        <f t="shared" si="77"/>
        <v>2.1166825946720815E-3</v>
      </c>
      <c r="AH62" s="177">
        <f t="shared" si="78"/>
        <v>0.77275019064562978</v>
      </c>
      <c r="AI62" s="177">
        <f t="shared" si="79"/>
        <v>0.77275019064562978</v>
      </c>
      <c r="AJ62" s="177">
        <f t="shared" si="80"/>
        <v>1.6612964375152812</v>
      </c>
      <c r="AL62" s="555">
        <f t="shared" si="81"/>
        <v>56.999999999999993</v>
      </c>
      <c r="AM62" s="469">
        <f t="shared" si="82"/>
        <v>350</v>
      </c>
      <c r="AO62">
        <f t="shared" si="53"/>
        <v>56.999999999999993</v>
      </c>
      <c r="AP62">
        <f t="shared" si="24"/>
        <v>350</v>
      </c>
      <c r="AR62" s="5">
        <f t="shared" si="54"/>
        <v>2.8571428571428572</v>
      </c>
      <c r="AS62" s="5">
        <f t="shared" si="25"/>
        <v>0.96593773830703722</v>
      </c>
      <c r="AT62" s="5">
        <f t="shared" si="55"/>
        <v>1.8912051188358201</v>
      </c>
      <c r="AU62" s="177">
        <f t="shared" si="56"/>
        <v>0.338078208407463</v>
      </c>
      <c r="AW62" s="5">
        <f t="shared" si="83"/>
        <v>0.10724833101420155</v>
      </c>
      <c r="AX62" s="5">
        <f t="shared" si="84"/>
        <v>0.69367474119771089</v>
      </c>
      <c r="AY62" s="5">
        <f t="shared" si="85"/>
        <v>2.7494601245163159</v>
      </c>
      <c r="AZ62" s="5">
        <f t="shared" si="86"/>
        <v>2.0905099480091081</v>
      </c>
      <c r="BA62" s="5">
        <f t="shared" si="87"/>
        <v>0.22873950800734161</v>
      </c>
      <c r="BB62" s="469">
        <f t="shared" si="88"/>
        <v>27.884157627547662</v>
      </c>
      <c r="BC62" s="5"/>
      <c r="BD62" s="177">
        <f t="shared" si="57"/>
        <v>0.25941022037574052</v>
      </c>
      <c r="BE62" s="177">
        <f t="shared" si="89"/>
        <v>4522.9527967836711</v>
      </c>
      <c r="BF62" s="177">
        <f t="shared" si="90"/>
        <v>22332.308699772093</v>
      </c>
      <c r="BG62" s="177"/>
      <c r="BH62" s="538">
        <f t="shared" si="34"/>
        <v>2.3552781852386587E-2</v>
      </c>
      <c r="BI62" s="538">
        <f t="shared" si="35"/>
        <v>940.41265197597897</v>
      </c>
      <c r="BJ62" s="538">
        <f t="shared" si="36"/>
        <v>4.3749999999999995E-3</v>
      </c>
      <c r="BK62" s="538">
        <f t="shared" si="37"/>
        <v>8462927.8085788898</v>
      </c>
      <c r="BL62">
        <f t="shared" si="38"/>
        <v>6.96E-3</v>
      </c>
      <c r="BM62">
        <f t="shared" si="91"/>
        <v>1.6625000000000001E-5</v>
      </c>
      <c r="BN62">
        <f t="shared" si="92"/>
        <v>8500808.4224451408</v>
      </c>
      <c r="BO62" s="469">
        <f t="shared" si="58"/>
        <v>8500808422.4451408</v>
      </c>
      <c r="BP62" s="177">
        <f t="shared" si="93"/>
        <v>15629225.945807485</v>
      </c>
      <c r="BQ62" s="177">
        <f t="shared" si="94"/>
        <v>381031257.14415646</v>
      </c>
      <c r="BR62" s="538"/>
      <c r="BT62" s="469">
        <f t="shared" si="59"/>
        <v>396660483089.96393</v>
      </c>
      <c r="BU62" s="538">
        <f t="shared" si="43"/>
        <v>6.7293662435390263E-3</v>
      </c>
      <c r="BV62" s="538">
        <f t="shared" si="60"/>
        <v>613713.06005799689</v>
      </c>
      <c r="BW62" s="538">
        <f t="shared" si="95"/>
        <v>24936600.593095817</v>
      </c>
      <c r="BX62" s="538">
        <f t="shared" si="45"/>
        <v>0</v>
      </c>
      <c r="BY62" s="538">
        <f t="shared" si="96"/>
        <v>-14.000006849234337</v>
      </c>
      <c r="BZ62" s="538">
        <f t="shared" si="61"/>
        <v>25550313.659883179</v>
      </c>
      <c r="CA62" s="641">
        <f t="shared" si="97"/>
        <v>1.0450000000000001E-2</v>
      </c>
      <c r="CB62" s="469">
        <f t="shared" si="62"/>
        <v>-13989.556849234337</v>
      </c>
      <c r="CC62" s="177">
        <f t="shared" si="63"/>
        <v>405161277.52285224</v>
      </c>
      <c r="CD62" s="5">
        <f t="shared" si="64"/>
        <v>3.1349999999999998</v>
      </c>
      <c r="CE62" s="177">
        <f t="shared" si="65"/>
        <v>7.7376594202431264E-9</v>
      </c>
      <c r="CF62" s="5">
        <f t="shared" si="66"/>
        <v>7.7376594202431262E-7</v>
      </c>
      <c r="CG62">
        <f t="shared" si="102"/>
        <v>56.999999999999993</v>
      </c>
      <c r="CI62" s="571">
        <f t="shared" si="98"/>
        <v>-50</v>
      </c>
      <c r="CJ62">
        <f t="shared" si="99"/>
        <v>-50</v>
      </c>
    </row>
    <row r="63" spans="5:88" x14ac:dyDescent="0.25">
      <c r="E63" s="174">
        <v>58</v>
      </c>
      <c r="F63" s="221">
        <f t="shared" si="103"/>
        <v>5.7999999999999996E-2</v>
      </c>
      <c r="G63" s="221">
        <f t="shared" si="100"/>
        <v>0.28999999999999998</v>
      </c>
      <c r="H63" s="221">
        <f t="shared" si="70"/>
        <v>0.86999999999999988</v>
      </c>
      <c r="I63" s="221">
        <f t="shared" si="104"/>
        <v>2.3199999999999998</v>
      </c>
      <c r="J63" s="551">
        <f t="shared" si="1"/>
        <v>24</v>
      </c>
      <c r="K63" s="451">
        <f t="shared" si="2"/>
        <v>695386.58000000007</v>
      </c>
      <c r="L63" s="451">
        <f t="shared" si="3"/>
        <v>695410.58000000007</v>
      </c>
      <c r="M63" s="451"/>
      <c r="N63" s="221">
        <f t="shared" si="4"/>
        <v>0.99996548801428931</v>
      </c>
      <c r="O63" s="176">
        <f t="shared" si="101"/>
        <v>2.2090146689770211</v>
      </c>
      <c r="P63" s="176">
        <f t="shared" si="71"/>
        <v>5.8907057839387225</v>
      </c>
      <c r="Q63" s="221">
        <f t="shared" si="6"/>
        <v>0.14726764459846808</v>
      </c>
      <c r="R63" s="221">
        <f t="shared" si="72"/>
        <v>0.27612683362212764</v>
      </c>
      <c r="S63" s="451">
        <f t="shared" si="73"/>
        <v>15</v>
      </c>
      <c r="T63" s="221">
        <f t="shared" si="74"/>
        <v>0.29538056454019296</v>
      </c>
      <c r="U63" s="221">
        <f t="shared" si="10"/>
        <v>0.36922570567524121</v>
      </c>
      <c r="V63" s="221">
        <f t="shared" si="11"/>
        <v>1.2743152069753472E-5</v>
      </c>
      <c r="W63" s="201">
        <f t="shared" si="12"/>
        <v>350</v>
      </c>
      <c r="X63" s="451">
        <f t="shared" si="52"/>
        <v>350</v>
      </c>
      <c r="Z63" s="221">
        <f t="shared" si="13"/>
        <v>2.2856354011755182</v>
      </c>
      <c r="AA63" s="177">
        <f t="shared" si="14"/>
        <v>9.8605673459021225E-5</v>
      </c>
      <c r="AB63" s="177">
        <f t="shared" si="75"/>
        <v>0.4914588143407696</v>
      </c>
      <c r="AC63" s="177"/>
      <c r="AD63" s="177">
        <f t="shared" si="16"/>
        <v>6.4712206554230591E-6</v>
      </c>
      <c r="AE63" s="555">
        <f t="shared" si="76"/>
        <v>9590.4790123456823</v>
      </c>
      <c r="AF63" s="538">
        <f t="shared" si="77"/>
        <v>2.1166825946720815E-3</v>
      </c>
      <c r="AH63" s="177">
        <f t="shared" si="78"/>
        <v>0.77949922874820565</v>
      </c>
      <c r="AI63" s="177">
        <f t="shared" si="79"/>
        <v>0.77949922874820565</v>
      </c>
      <c r="AJ63" s="177">
        <f t="shared" si="80"/>
        <v>1.6662957249986707</v>
      </c>
      <c r="AL63" s="555">
        <f t="shared" si="81"/>
        <v>57.999999999999993</v>
      </c>
      <c r="AM63" s="469">
        <f t="shared" si="82"/>
        <v>350</v>
      </c>
      <c r="AO63">
        <f t="shared" si="53"/>
        <v>57.999999999999993</v>
      </c>
      <c r="AP63">
        <f t="shared" si="24"/>
        <v>350</v>
      </c>
      <c r="AR63" s="5">
        <f t="shared" si="54"/>
        <v>2.8571428571428572</v>
      </c>
      <c r="AS63" s="5">
        <f t="shared" si="25"/>
        <v>0.97437403593525707</v>
      </c>
      <c r="AT63" s="5">
        <f t="shared" si="55"/>
        <v>1.8827688212076001</v>
      </c>
      <c r="AU63" s="177">
        <f t="shared" si="56"/>
        <v>0.34103091257733997</v>
      </c>
      <c r="AW63" s="5">
        <f t="shared" si="83"/>
        <v>0.10724833101420155</v>
      </c>
      <c r="AX63" s="5">
        <f t="shared" si="84"/>
        <v>0.71517507829766069</v>
      </c>
      <c r="AY63" s="5">
        <f t="shared" si="85"/>
        <v>2.7494601245163159</v>
      </c>
      <c r="AZ63" s="5">
        <f t="shared" si="86"/>
        <v>2.1543291674677252</v>
      </c>
      <c r="BA63" s="5">
        <f t="shared" si="87"/>
        <v>0.23171421835078099</v>
      </c>
      <c r="BB63" s="469">
        <f t="shared" si="88"/>
        <v>28.248761757649277</v>
      </c>
      <c r="BC63" s="5"/>
      <c r="BD63" s="177">
        <f t="shared" si="57"/>
        <v>0.26281608164195858</v>
      </c>
      <c r="BE63" s="177">
        <f t="shared" si="89"/>
        <v>4552.2678319499619</v>
      </c>
      <c r="BF63" s="177">
        <f t="shared" si="90"/>
        <v>22477.053171866486</v>
      </c>
      <c r="BG63" s="177"/>
      <c r="BH63" s="538">
        <f t="shared" si="34"/>
        <v>2.4175302469371423E-2</v>
      </c>
      <c r="BI63" s="538">
        <f t="shared" si="35"/>
        <v>948.62601885334936</v>
      </c>
      <c r="BJ63" s="538">
        <f t="shared" si="36"/>
        <v>4.3749999999999995E-3</v>
      </c>
      <c r="BK63" s="538">
        <f t="shared" si="37"/>
        <v>8462927.8085788898</v>
      </c>
      <c r="BL63">
        <f t="shared" si="38"/>
        <v>6.96E-3</v>
      </c>
      <c r="BM63">
        <f t="shared" si="91"/>
        <v>1.6625000000000001E-5</v>
      </c>
      <c r="BN63">
        <f t="shared" si="92"/>
        <v>8501797.4085451011</v>
      </c>
      <c r="BO63" s="469">
        <f t="shared" si="58"/>
        <v>8501797408.5451012</v>
      </c>
      <c r="BP63" s="177">
        <f t="shared" si="93"/>
        <v>15832480.820765089</v>
      </c>
      <c r="BQ63" s="177">
        <f t="shared" si="94"/>
        <v>385986490.42134267</v>
      </c>
      <c r="BR63" s="538"/>
      <c r="BT63" s="469">
        <f t="shared" si="59"/>
        <v>401818971242.10773</v>
      </c>
      <c r="BU63" s="538">
        <f t="shared" si="43"/>
        <v>6.9072292769632648E-3</v>
      </c>
      <c r="BV63" s="538">
        <f t="shared" si="60"/>
        <v>621694.27241419209</v>
      </c>
      <c r="BW63" s="538">
        <f t="shared" si="95"/>
        <v>25260895.964545667</v>
      </c>
      <c r="BX63" s="538">
        <f t="shared" si="45"/>
        <v>0</v>
      </c>
      <c r="BY63" s="538">
        <f t="shared" si="96"/>
        <v>-14.000006761304912</v>
      </c>
      <c r="BZ63" s="538">
        <f t="shared" si="61"/>
        <v>25882590.243867088</v>
      </c>
      <c r="CA63" s="641">
        <f t="shared" si="97"/>
        <v>1.063333333333333E-2</v>
      </c>
      <c r="CB63" s="469">
        <f t="shared" si="62"/>
        <v>-13989.373427971579</v>
      </c>
      <c r="CC63" s="177">
        <f t="shared" si="63"/>
        <v>410320754.6612795</v>
      </c>
      <c r="CD63" s="5">
        <f t="shared" si="64"/>
        <v>3.1899999999999995</v>
      </c>
      <c r="CE63" s="177">
        <f t="shared" si="65"/>
        <v>7.774405605763218E-9</v>
      </c>
      <c r="CF63" s="5">
        <f t="shared" si="66"/>
        <v>7.7744056057632177E-7</v>
      </c>
      <c r="CG63">
        <f t="shared" si="102"/>
        <v>57.999999999999993</v>
      </c>
      <c r="CI63" s="571">
        <f t="shared" si="98"/>
        <v>-50</v>
      </c>
      <c r="CJ63">
        <f t="shared" si="99"/>
        <v>-50</v>
      </c>
    </row>
    <row r="64" spans="5:88" x14ac:dyDescent="0.25">
      <c r="E64" s="174">
        <v>59</v>
      </c>
      <c r="F64" s="221">
        <f t="shared" si="103"/>
        <v>5.8999999999999997E-2</v>
      </c>
      <c r="G64" s="221">
        <f t="shared" si="100"/>
        <v>0.29499999999999998</v>
      </c>
      <c r="H64" s="221">
        <f t="shared" si="70"/>
        <v>0.88500000000000001</v>
      </c>
      <c r="I64" s="221">
        <f t="shared" si="104"/>
        <v>2.36</v>
      </c>
      <c r="J64" s="551">
        <f t="shared" si="1"/>
        <v>24</v>
      </c>
      <c r="K64" s="451">
        <f t="shared" si="2"/>
        <v>695386.58000000007</v>
      </c>
      <c r="L64" s="451">
        <f t="shared" si="3"/>
        <v>695410.58000000007</v>
      </c>
      <c r="M64" s="451"/>
      <c r="N64" s="221">
        <f t="shared" si="4"/>
        <v>0.99996548801428931</v>
      </c>
      <c r="O64" s="176">
        <f t="shared" si="101"/>
        <v>2.2090146689770211</v>
      </c>
      <c r="P64" s="176">
        <f t="shared" si="71"/>
        <v>5.8907057839387225</v>
      </c>
      <c r="Q64" s="221">
        <f t="shared" si="6"/>
        <v>0.14726764459846808</v>
      </c>
      <c r="R64" s="221">
        <f t="shared" si="72"/>
        <v>0.27612683362212764</v>
      </c>
      <c r="S64" s="451">
        <f t="shared" si="73"/>
        <v>15</v>
      </c>
      <c r="T64" s="221">
        <f t="shared" si="74"/>
        <v>0.30047333289433426</v>
      </c>
      <c r="U64" s="221">
        <f t="shared" si="10"/>
        <v>0.37559166611791783</v>
      </c>
      <c r="V64" s="221">
        <f t="shared" si="11"/>
        <v>1.2962861588197498E-5</v>
      </c>
      <c r="W64" s="201">
        <f t="shared" si="12"/>
        <v>350</v>
      </c>
      <c r="X64" s="451">
        <f t="shared" si="52"/>
        <v>350</v>
      </c>
      <c r="Z64" s="221">
        <f t="shared" si="13"/>
        <v>2.2856354011755182</v>
      </c>
      <c r="AA64" s="177">
        <f t="shared" si="14"/>
        <v>9.8605673459021225E-5</v>
      </c>
      <c r="AB64" s="177">
        <f t="shared" si="75"/>
        <v>0.4914588143407696</v>
      </c>
      <c r="AC64" s="177"/>
      <c r="AD64" s="177">
        <f t="shared" si="16"/>
        <v>6.4712206554230591E-6</v>
      </c>
      <c r="AE64" s="555">
        <f t="shared" si="76"/>
        <v>9755.8320987654351</v>
      </c>
      <c r="AF64" s="538">
        <f t="shared" si="77"/>
        <v>2.1166825946720815E-3</v>
      </c>
      <c r="AH64" s="177">
        <f t="shared" si="78"/>
        <v>0.78619033197772037</v>
      </c>
      <c r="AI64" s="177">
        <f t="shared" si="79"/>
        <v>0.78619033197772037</v>
      </c>
      <c r="AJ64" s="177">
        <f t="shared" si="80"/>
        <v>1.6712520977612744</v>
      </c>
      <c r="AL64" s="555">
        <f t="shared" si="81"/>
        <v>59</v>
      </c>
      <c r="AM64" s="469">
        <f t="shared" si="82"/>
        <v>350</v>
      </c>
      <c r="AO64">
        <f t="shared" si="53"/>
        <v>59</v>
      </c>
      <c r="AP64">
        <f t="shared" si="24"/>
        <v>350</v>
      </c>
      <c r="AR64" s="5">
        <f t="shared" si="54"/>
        <v>2.8571428571428572</v>
      </c>
      <c r="AS64" s="5">
        <f t="shared" si="25"/>
        <v>0.98273791497215057</v>
      </c>
      <c r="AT64" s="5">
        <f t="shared" si="55"/>
        <v>1.8744049421707065</v>
      </c>
      <c r="AU64" s="177">
        <f t="shared" si="56"/>
        <v>0.34395827024025272</v>
      </c>
      <c r="AW64" s="5">
        <f t="shared" si="83"/>
        <v>0.10724833101420155</v>
      </c>
      <c r="AX64" s="5">
        <f t="shared" si="84"/>
        <v>0.73699716039065311</v>
      </c>
      <c r="AY64" s="5">
        <f t="shared" si="85"/>
        <v>2.7494601245163159</v>
      </c>
      <c r="AZ64" s="5">
        <f t="shared" si="86"/>
        <v>2.21908437335171</v>
      </c>
      <c r="BA64" s="5">
        <f t="shared" si="87"/>
        <v>0.23466219279876319</v>
      </c>
      <c r="BB64" s="469">
        <f t="shared" si="88"/>
        <v>28.610157580296029</v>
      </c>
      <c r="BC64" s="5"/>
      <c r="BD64" s="177">
        <f t="shared" si="57"/>
        <v>0.2662072932503135</v>
      </c>
      <c r="BE64" s="177">
        <f t="shared" si="89"/>
        <v>4581.1343274460087</v>
      </c>
      <c r="BF64" s="177">
        <f t="shared" si="90"/>
        <v>22619.582956602844</v>
      </c>
      <c r="BG64" s="177"/>
      <c r="BH64" s="538">
        <f t="shared" si="34"/>
        <v>2.480321304288044E-2</v>
      </c>
      <c r="BI64" s="538">
        <f t="shared" si="35"/>
        <v>956.76888081428342</v>
      </c>
      <c r="BJ64" s="538">
        <f t="shared" si="36"/>
        <v>4.3749999999999995E-3</v>
      </c>
      <c r="BK64" s="538">
        <f t="shared" si="37"/>
        <v>8462927.8085788898</v>
      </c>
      <c r="BL64">
        <f t="shared" si="38"/>
        <v>6.96E-3</v>
      </c>
      <c r="BM64">
        <f t="shared" si="91"/>
        <v>1.6625000000000001E-5</v>
      </c>
      <c r="BN64">
        <f t="shared" si="92"/>
        <v>8502795.0464891084</v>
      </c>
      <c r="BO64" s="469">
        <f t="shared" si="58"/>
        <v>8502795046.4891081</v>
      </c>
      <c r="BP64" s="177">
        <f t="shared" si="93"/>
        <v>16033908.895647105</v>
      </c>
      <c r="BQ64" s="177">
        <f t="shared" si="94"/>
        <v>390897187.39632475</v>
      </c>
      <c r="BR64" s="538"/>
      <c r="BT64" s="469">
        <f t="shared" si="59"/>
        <v>406931096291.97186</v>
      </c>
      <c r="BU64" s="538">
        <f t="shared" si="43"/>
        <v>7.0866322979658411E-3</v>
      </c>
      <c r="BV64" s="538">
        <f t="shared" si="60"/>
        <v>629603.75178312592</v>
      </c>
      <c r="BW64" s="538">
        <f t="shared" si="95"/>
        <v>25582276.656531896</v>
      </c>
      <c r="BX64" s="538">
        <f t="shared" si="45"/>
        <v>0</v>
      </c>
      <c r="BY64" s="538">
        <f t="shared" si="96"/>
        <v>-14.000006676365095</v>
      </c>
      <c r="BZ64" s="538">
        <f t="shared" si="61"/>
        <v>26211880.415401656</v>
      </c>
      <c r="CA64" s="641">
        <f t="shared" si="97"/>
        <v>1.0816666666666669E-2</v>
      </c>
      <c r="CB64" s="469">
        <f t="shared" si="62"/>
        <v>-13989.190009698428</v>
      </c>
      <c r="CC64" s="177">
        <f t="shared" si="63"/>
        <v>415433877.349271</v>
      </c>
      <c r="CD64" s="5">
        <f t="shared" si="64"/>
        <v>3.2450000000000001</v>
      </c>
      <c r="CE64" s="177">
        <f t="shared" si="65"/>
        <v>7.8111106281415547E-9</v>
      </c>
      <c r="CF64" s="5">
        <f t="shared" si="66"/>
        <v>7.8111106281415549E-7</v>
      </c>
      <c r="CG64">
        <f t="shared" si="102"/>
        <v>59</v>
      </c>
      <c r="CI64" s="571">
        <f t="shared" si="98"/>
        <v>-50</v>
      </c>
      <c r="CJ64">
        <f t="shared" si="99"/>
        <v>-50</v>
      </c>
    </row>
    <row r="65" spans="5:88" x14ac:dyDescent="0.25">
      <c r="E65" s="174">
        <v>60</v>
      </c>
      <c r="F65" s="221">
        <f t="shared" si="103"/>
        <v>0.06</v>
      </c>
      <c r="G65" s="221">
        <f t="shared" si="100"/>
        <v>0.3</v>
      </c>
      <c r="H65" s="221">
        <f t="shared" si="70"/>
        <v>0.89999999999999991</v>
      </c>
      <c r="I65" s="221">
        <f t="shared" si="104"/>
        <v>2.4</v>
      </c>
      <c r="J65" s="551">
        <f t="shared" si="1"/>
        <v>24</v>
      </c>
      <c r="K65" s="451">
        <f t="shared" si="2"/>
        <v>695386.58000000007</v>
      </c>
      <c r="L65" s="451">
        <f t="shared" si="3"/>
        <v>695410.58000000007</v>
      </c>
      <c r="M65" s="451"/>
      <c r="N65" s="221">
        <f t="shared" si="4"/>
        <v>0.99996548801428931</v>
      </c>
      <c r="O65" s="176">
        <f t="shared" si="101"/>
        <v>2.2090146689770211</v>
      </c>
      <c r="P65" s="176">
        <f t="shared" si="71"/>
        <v>5.8907057839387225</v>
      </c>
      <c r="Q65" s="221">
        <f t="shared" si="6"/>
        <v>0.14726764459846808</v>
      </c>
      <c r="R65" s="221">
        <f t="shared" si="72"/>
        <v>0.27612683362212764</v>
      </c>
      <c r="S65" s="451">
        <f t="shared" si="73"/>
        <v>15</v>
      </c>
      <c r="T65" s="221">
        <f t="shared" si="74"/>
        <v>0.3055661012484755</v>
      </c>
      <c r="U65" s="221">
        <f t="shared" si="10"/>
        <v>0.38195762656059434</v>
      </c>
      <c r="V65" s="221">
        <f t="shared" si="11"/>
        <v>1.3182571106641523E-5</v>
      </c>
      <c r="W65" s="201">
        <f t="shared" si="12"/>
        <v>350</v>
      </c>
      <c r="X65" s="451">
        <f t="shared" si="52"/>
        <v>350</v>
      </c>
      <c r="Z65" s="221">
        <f t="shared" si="13"/>
        <v>2.2856354011755182</v>
      </c>
      <c r="AA65" s="177">
        <f t="shared" si="14"/>
        <v>9.8605673459021225E-5</v>
      </c>
      <c r="AB65" s="177">
        <f t="shared" si="75"/>
        <v>0.4914588143407696</v>
      </c>
      <c r="AC65" s="177"/>
      <c r="AD65" s="177">
        <f t="shared" si="16"/>
        <v>6.4712206554230591E-6</v>
      </c>
      <c r="AE65" s="555">
        <f t="shared" si="76"/>
        <v>9921.1851851851879</v>
      </c>
      <c r="AF65" s="538">
        <f t="shared" si="77"/>
        <v>2.1166825946720815E-3</v>
      </c>
      <c r="AH65" s="177">
        <f t="shared" si="78"/>
        <v>0.79282496717209183</v>
      </c>
      <c r="AI65" s="177">
        <f t="shared" si="79"/>
        <v>0.79282496717209183</v>
      </c>
      <c r="AJ65" s="177">
        <f t="shared" si="80"/>
        <v>1.6761666423496977</v>
      </c>
      <c r="AL65" s="555">
        <f t="shared" si="81"/>
        <v>60</v>
      </c>
      <c r="AM65" s="469">
        <f t="shared" si="82"/>
        <v>350</v>
      </c>
      <c r="AO65">
        <f t="shared" si="53"/>
        <v>60</v>
      </c>
      <c r="AP65">
        <f t="shared" si="24"/>
        <v>350</v>
      </c>
      <c r="AR65" s="5">
        <f t="shared" si="54"/>
        <v>2.8571428571428572</v>
      </c>
      <c r="AS65" s="5">
        <f t="shared" si="25"/>
        <v>0.99103120896511465</v>
      </c>
      <c r="AT65" s="5">
        <f t="shared" si="55"/>
        <v>1.8661116481777427</v>
      </c>
      <c r="AU65" s="177">
        <f t="shared" si="56"/>
        <v>0.3468609231377901</v>
      </c>
      <c r="AW65" s="5">
        <f t="shared" si="83"/>
        <v>0.10724833101420155</v>
      </c>
      <c r="AX65" s="5">
        <f t="shared" si="84"/>
        <v>0.75914098747668812</v>
      </c>
      <c r="AY65" s="5">
        <f t="shared" si="85"/>
        <v>2.7494601245163159</v>
      </c>
      <c r="AZ65" s="5">
        <f t="shared" si="86"/>
        <v>2.2847755656610618</v>
      </c>
      <c r="BA65" s="5">
        <f t="shared" si="87"/>
        <v>0.23758365891151809</v>
      </c>
      <c r="BB65" s="469">
        <f t="shared" si="88"/>
        <v>28.968372402715509</v>
      </c>
      <c r="BC65" s="5"/>
      <c r="BD65" s="177">
        <f t="shared" si="57"/>
        <v>0.26958416494811976</v>
      </c>
      <c r="BE65" s="177">
        <f t="shared" si="89"/>
        <v>4609.5629175075692</v>
      </c>
      <c r="BF65" s="177">
        <f t="shared" si="90"/>
        <v>22759.950561059271</v>
      </c>
      <c r="BG65" s="177"/>
      <c r="BH65" s="538">
        <f t="shared" si="34"/>
        <v>2.5436467696771263E-2</v>
      </c>
      <c r="BI65" s="538">
        <f t="shared" si="35"/>
        <v>964.84302295434452</v>
      </c>
      <c r="BJ65" s="538">
        <f t="shared" si="36"/>
        <v>4.3749999999999995E-3</v>
      </c>
      <c r="BK65" s="538">
        <f t="shared" si="37"/>
        <v>8462927.8085788898</v>
      </c>
      <c r="BL65">
        <f t="shared" si="38"/>
        <v>6.96E-3</v>
      </c>
      <c r="BM65">
        <f t="shared" si="91"/>
        <v>1.6625000000000001E-5</v>
      </c>
      <c r="BN65">
        <f t="shared" si="92"/>
        <v>8503801.2717652544</v>
      </c>
      <c r="BO65" s="469">
        <f t="shared" si="58"/>
        <v>8503801271.765254</v>
      </c>
      <c r="BP65" s="177">
        <f t="shared" si="93"/>
        <v>16233525.719102118</v>
      </c>
      <c r="BQ65" s="177">
        <f t="shared" si="94"/>
        <v>395763727.13593262</v>
      </c>
      <c r="BR65" s="538"/>
      <c r="BT65" s="469">
        <f t="shared" si="59"/>
        <v>411997252855.03479</v>
      </c>
      <c r="BU65" s="538">
        <f t="shared" si="43"/>
        <v>7.2675621990775045E-3</v>
      </c>
      <c r="BV65" s="538">
        <f t="shared" si="60"/>
        <v>637442.10871382675</v>
      </c>
      <c r="BW65" s="538">
        <f t="shared" si="95"/>
        <v>25900767.477093115</v>
      </c>
      <c r="BX65" s="538">
        <f t="shared" si="45"/>
        <v>0</v>
      </c>
      <c r="BY65" s="538">
        <f t="shared" si="96"/>
        <v>-14.000006594268607</v>
      </c>
      <c r="BZ65" s="538">
        <f t="shared" si="61"/>
        <v>26538209.593074504</v>
      </c>
      <c r="CA65" s="641">
        <f t="shared" si="97"/>
        <v>1.0999999999999998E-2</v>
      </c>
      <c r="CB65" s="469">
        <f t="shared" si="62"/>
        <v>-13989.006594268607</v>
      </c>
      <c r="CC65" s="177">
        <f t="shared" si="63"/>
        <v>420501040.13779336</v>
      </c>
      <c r="CD65" s="5">
        <f t="shared" si="64"/>
        <v>3.3</v>
      </c>
      <c r="CE65" s="177">
        <f t="shared" si="65"/>
        <v>7.84778076415923E-9</v>
      </c>
      <c r="CF65" s="5">
        <f t="shared" si="66"/>
        <v>7.8477807641592301E-7</v>
      </c>
      <c r="CG65">
        <f t="shared" si="102"/>
        <v>60</v>
      </c>
      <c r="CI65" s="571">
        <f t="shared" si="98"/>
        <v>-50</v>
      </c>
      <c r="CJ65">
        <f t="shared" si="99"/>
        <v>-50</v>
      </c>
    </row>
    <row r="66" spans="5:88" x14ac:dyDescent="0.25">
      <c r="E66" s="174">
        <v>61</v>
      </c>
      <c r="F66" s="221">
        <f t="shared" si="103"/>
        <v>6.0999999999999999E-2</v>
      </c>
      <c r="G66" s="221">
        <f t="shared" si="100"/>
        <v>0.30499999999999999</v>
      </c>
      <c r="H66" s="221">
        <f t="shared" si="70"/>
        <v>0.91500000000000004</v>
      </c>
      <c r="I66" s="221">
        <f t="shared" si="104"/>
        <v>2.44</v>
      </c>
      <c r="J66" s="551">
        <f t="shared" si="1"/>
        <v>24</v>
      </c>
      <c r="K66" s="451">
        <f t="shared" si="2"/>
        <v>695386.58000000007</v>
      </c>
      <c r="L66" s="451">
        <f t="shared" si="3"/>
        <v>695410.58000000007</v>
      </c>
      <c r="M66" s="451"/>
      <c r="N66" s="221">
        <f t="shared" si="4"/>
        <v>0.99996548801428931</v>
      </c>
      <c r="O66" s="176">
        <f t="shared" si="101"/>
        <v>2.2090146689770211</v>
      </c>
      <c r="P66" s="176">
        <f t="shared" si="71"/>
        <v>5.8907057839387225</v>
      </c>
      <c r="Q66" s="221">
        <f t="shared" si="6"/>
        <v>0.14726764459846808</v>
      </c>
      <c r="R66" s="221">
        <f t="shared" si="72"/>
        <v>0.27612683362212764</v>
      </c>
      <c r="S66" s="451">
        <f t="shared" si="73"/>
        <v>15</v>
      </c>
      <c r="T66" s="221">
        <f t="shared" si="74"/>
        <v>0.31065886960261674</v>
      </c>
      <c r="U66" s="221">
        <f t="shared" si="10"/>
        <v>0.38832358700327096</v>
      </c>
      <c r="V66" s="221">
        <f t="shared" si="11"/>
        <v>1.340228062508555E-5</v>
      </c>
      <c r="W66" s="201">
        <f t="shared" si="12"/>
        <v>350</v>
      </c>
      <c r="X66" s="451">
        <f t="shared" si="52"/>
        <v>350</v>
      </c>
      <c r="Z66" s="221">
        <f t="shared" si="13"/>
        <v>2.2856354011755182</v>
      </c>
      <c r="AA66" s="177">
        <f t="shared" si="14"/>
        <v>9.8605673459021225E-5</v>
      </c>
      <c r="AB66" s="177">
        <f t="shared" si="75"/>
        <v>0.4914588143407696</v>
      </c>
      <c r="AC66" s="177"/>
      <c r="AD66" s="177">
        <f t="shared" si="16"/>
        <v>6.4712206554230591E-6</v>
      </c>
      <c r="AE66" s="555">
        <f t="shared" si="76"/>
        <v>10086.538271604941</v>
      </c>
      <c r="AF66" s="538">
        <f t="shared" si="77"/>
        <v>2.1166825946720815E-3</v>
      </c>
      <c r="AH66" s="177">
        <f t="shared" si="78"/>
        <v>0.79940454029710084</v>
      </c>
      <c r="AI66" s="177">
        <f t="shared" si="79"/>
        <v>0.79940454029710084</v>
      </c>
      <c r="AJ66" s="177">
        <f t="shared" si="80"/>
        <v>1.6810404002200747</v>
      </c>
      <c r="AL66" s="555">
        <f t="shared" si="81"/>
        <v>61</v>
      </c>
      <c r="AM66" s="469">
        <f t="shared" si="82"/>
        <v>350</v>
      </c>
      <c r="AO66">
        <f t="shared" si="53"/>
        <v>61</v>
      </c>
      <c r="AP66">
        <f t="shared" si="24"/>
        <v>350</v>
      </c>
      <c r="AR66" s="5">
        <f t="shared" si="54"/>
        <v>2.8571428571428572</v>
      </c>
      <c r="AS66" s="5">
        <f t="shared" si="25"/>
        <v>0.99925567537137605</v>
      </c>
      <c r="AT66" s="5">
        <f t="shared" si="55"/>
        <v>1.8578871817714813</v>
      </c>
      <c r="AU66" s="177">
        <f t="shared" si="56"/>
        <v>0.34973948637998159</v>
      </c>
      <c r="AW66" s="5">
        <f t="shared" si="83"/>
        <v>0.10724833101420155</v>
      </c>
      <c r="AX66" s="5">
        <f t="shared" si="84"/>
        <v>0.78160655955576575</v>
      </c>
      <c r="AY66" s="5">
        <f t="shared" si="85"/>
        <v>2.7494601245163159</v>
      </c>
      <c r="AZ66" s="5">
        <f t="shared" si="86"/>
        <v>2.3514027443957808</v>
      </c>
      <c r="BA66" s="5">
        <f t="shared" si="87"/>
        <v>0.24047883853562185</v>
      </c>
      <c r="BB66" s="469">
        <f t="shared" si="88"/>
        <v>29.32343284649685</v>
      </c>
      <c r="BC66" s="5"/>
      <c r="BD66" s="177">
        <f t="shared" si="57"/>
        <v>0.27294699488976759</v>
      </c>
      <c r="BE66" s="177">
        <f t="shared" si="89"/>
        <v>4637.5637944416148</v>
      </c>
      <c r="BF66" s="177">
        <f t="shared" si="90"/>
        <v>22898.206310268084</v>
      </c>
      <c r="BG66" s="177"/>
      <c r="BH66" s="538">
        <f t="shared" si="34"/>
        <v>2.6075021706774185E-2</v>
      </c>
      <c r="BI66" s="538">
        <f t="shared" si="35"/>
        <v>972.85015628962049</v>
      </c>
      <c r="BJ66" s="538">
        <f t="shared" si="36"/>
        <v>4.3749999999999995E-3</v>
      </c>
      <c r="BK66" s="538">
        <f t="shared" si="37"/>
        <v>8462927.8085788898</v>
      </c>
      <c r="BL66">
        <f t="shared" si="38"/>
        <v>6.96E-3</v>
      </c>
      <c r="BM66">
        <f t="shared" si="91"/>
        <v>1.6625000000000001E-5</v>
      </c>
      <c r="BN66">
        <f t="shared" si="92"/>
        <v>8504816.0215901583</v>
      </c>
      <c r="BO66" s="469">
        <f t="shared" si="58"/>
        <v>8504816021.5901585</v>
      </c>
      <c r="BP66" s="177">
        <f t="shared" si="93"/>
        <v>16431346.449378496</v>
      </c>
      <c r="BQ66" s="177">
        <f t="shared" si="94"/>
        <v>400586479.1892696</v>
      </c>
      <c r="BR66" s="538"/>
      <c r="BT66" s="469">
        <f t="shared" si="59"/>
        <v>417017825638.64807</v>
      </c>
      <c r="BU66" s="538">
        <f t="shared" si="43"/>
        <v>7.4500062019354817E-3</v>
      </c>
      <c r="BV66" s="538">
        <f t="shared" si="60"/>
        <v>645209.93842547119</v>
      </c>
      <c r="BW66" s="538">
        <f t="shared" si="95"/>
        <v>26216392.611380056</v>
      </c>
      <c r="BX66" s="538">
        <f t="shared" si="45"/>
        <v>0</v>
      </c>
      <c r="BY66" s="538">
        <f t="shared" si="96"/>
        <v>-14.000006514878667</v>
      </c>
      <c r="BZ66" s="538">
        <f t="shared" si="61"/>
        <v>26861602.557255533</v>
      </c>
      <c r="CA66" s="641">
        <f t="shared" si="97"/>
        <v>1.1183333333333335E-2</v>
      </c>
      <c r="CB66" s="469">
        <f t="shared" si="62"/>
        <v>-13988.823181545333</v>
      </c>
      <c r="CC66" s="177">
        <f t="shared" si="63"/>
        <v>425522627.67141509</v>
      </c>
      <c r="CD66" s="5">
        <f t="shared" si="64"/>
        <v>3.355</v>
      </c>
      <c r="CE66" s="177">
        <f t="shared" si="65"/>
        <v>7.8844220151283378E-9</v>
      </c>
      <c r="CF66" s="5">
        <f t="shared" si="66"/>
        <v>7.884422015128338E-7</v>
      </c>
      <c r="CG66">
        <f t="shared" si="102"/>
        <v>61</v>
      </c>
      <c r="CI66" s="571">
        <f t="shared" si="98"/>
        <v>-50</v>
      </c>
      <c r="CJ66">
        <f t="shared" si="99"/>
        <v>-50</v>
      </c>
    </row>
    <row r="67" spans="5:88" x14ac:dyDescent="0.25">
      <c r="E67" s="174">
        <v>62</v>
      </c>
      <c r="F67" s="221">
        <f t="shared" si="103"/>
        <v>6.2E-2</v>
      </c>
      <c r="G67" s="221">
        <f t="shared" si="100"/>
        <v>0.31</v>
      </c>
      <c r="H67" s="221">
        <f t="shared" si="70"/>
        <v>0.92999999999999994</v>
      </c>
      <c r="I67" s="221">
        <f t="shared" si="104"/>
        <v>2.48</v>
      </c>
      <c r="J67" s="551">
        <f t="shared" si="1"/>
        <v>24</v>
      </c>
      <c r="K67" s="451">
        <f t="shared" si="2"/>
        <v>695386.58000000007</v>
      </c>
      <c r="L67" s="451">
        <f t="shared" si="3"/>
        <v>695410.58000000007</v>
      </c>
      <c r="M67" s="451"/>
      <c r="N67" s="221">
        <f t="shared" si="4"/>
        <v>0.99996548801428931</v>
      </c>
      <c r="O67" s="176">
        <f t="shared" si="101"/>
        <v>2.2090146689770211</v>
      </c>
      <c r="P67" s="176">
        <f t="shared" si="71"/>
        <v>5.8907057839387225</v>
      </c>
      <c r="Q67" s="221">
        <f t="shared" si="6"/>
        <v>0.14726764459846808</v>
      </c>
      <c r="R67" s="221">
        <f t="shared" si="72"/>
        <v>0.27612683362212764</v>
      </c>
      <c r="S67" s="451">
        <f t="shared" si="73"/>
        <v>15</v>
      </c>
      <c r="T67" s="221">
        <f t="shared" si="74"/>
        <v>0.31575163795675804</v>
      </c>
      <c r="U67" s="221">
        <f t="shared" si="10"/>
        <v>0.39468954744594753</v>
      </c>
      <c r="V67" s="221">
        <f t="shared" si="11"/>
        <v>1.3621990143529576E-5</v>
      </c>
      <c r="W67" s="201">
        <f t="shared" si="12"/>
        <v>350</v>
      </c>
      <c r="X67" s="451">
        <f t="shared" si="52"/>
        <v>350</v>
      </c>
      <c r="Z67" s="221">
        <f t="shared" si="13"/>
        <v>2.2856354011755182</v>
      </c>
      <c r="AA67" s="177">
        <f t="shared" si="14"/>
        <v>9.8605673459021225E-5</v>
      </c>
      <c r="AB67" s="177">
        <f t="shared" si="75"/>
        <v>0.4914588143407696</v>
      </c>
      <c r="AC67" s="177"/>
      <c r="AD67" s="177">
        <f t="shared" si="16"/>
        <v>6.4712206554230591E-6</v>
      </c>
      <c r="AE67" s="555">
        <f t="shared" si="76"/>
        <v>10251.891358024694</v>
      </c>
      <c r="AF67" s="538">
        <f t="shared" si="77"/>
        <v>2.1166825946720815E-3</v>
      </c>
      <c r="AH67" s="177">
        <f t="shared" si="78"/>
        <v>0.80593039992533444</v>
      </c>
      <c r="AI67" s="177">
        <f t="shared" si="79"/>
        <v>0.80593039992533444</v>
      </c>
      <c r="AJ67" s="177">
        <f t="shared" si="80"/>
        <v>1.6858743703150625</v>
      </c>
      <c r="AL67" s="555">
        <f t="shared" si="81"/>
        <v>62</v>
      </c>
      <c r="AM67" s="469">
        <f t="shared" si="82"/>
        <v>350</v>
      </c>
      <c r="AO67">
        <f t="shared" si="53"/>
        <v>62</v>
      </c>
      <c r="AP67">
        <f t="shared" si="24"/>
        <v>350</v>
      </c>
      <c r="AR67" s="5">
        <f t="shared" si="54"/>
        <v>2.8571428571428572</v>
      </c>
      <c r="AS67" s="5">
        <f t="shared" si="25"/>
        <v>1.0074129999066681</v>
      </c>
      <c r="AT67" s="5">
        <f t="shared" si="55"/>
        <v>1.8497298572361891</v>
      </c>
      <c r="AU67" s="177">
        <f t="shared" si="56"/>
        <v>0.3525945499673338</v>
      </c>
      <c r="AW67" s="5">
        <f t="shared" si="83"/>
        <v>0.10724833101420155</v>
      </c>
      <c r="AX67" s="5">
        <f t="shared" si="84"/>
        <v>0.80439387662788575</v>
      </c>
      <c r="AY67" s="5">
        <f t="shared" si="85"/>
        <v>2.7494601245163159</v>
      </c>
      <c r="AZ67" s="5">
        <f t="shared" si="86"/>
        <v>2.4189659095558667</v>
      </c>
      <c r="BA67" s="5">
        <f t="shared" si="87"/>
        <v>0.24334794803917451</v>
      </c>
      <c r="BB67" s="469">
        <f t="shared" si="88"/>
        <v>29.675364875812061</v>
      </c>
      <c r="BC67" s="5"/>
      <c r="BD67" s="177">
        <f t="shared" si="57"/>
        <v>0.27629607025321939</v>
      </c>
      <c r="BE67" s="177">
        <f t="shared" si="89"/>
        <v>4665.146733806494</v>
      </c>
      <c r="BF67" s="177">
        <f t="shared" si="90"/>
        <v>23034.398471544155</v>
      </c>
      <c r="BG67" s="177"/>
      <c r="BH67" s="538">
        <f t="shared" si="34"/>
        <v>2.6718831453080183E-2</v>
      </c>
      <c r="BI67" s="538">
        <f t="shared" si="35"/>
        <v>980.79192199049055</v>
      </c>
      <c r="BJ67" s="538">
        <f t="shared" si="36"/>
        <v>4.3749999999999995E-3</v>
      </c>
      <c r="BK67" s="538">
        <f t="shared" si="37"/>
        <v>8462927.8085788898</v>
      </c>
      <c r="BL67">
        <f t="shared" si="38"/>
        <v>6.96E-3</v>
      </c>
      <c r="BM67">
        <f t="shared" si="91"/>
        <v>1.6625000000000001E-5</v>
      </c>
      <c r="BN67">
        <f t="shared" si="92"/>
        <v>8505839.2348392308</v>
      </c>
      <c r="BO67" s="469">
        <f t="shared" si="58"/>
        <v>8505839234.8392305</v>
      </c>
      <c r="BP67" s="177">
        <f t="shared" si="93"/>
        <v>16627385.870393278</v>
      </c>
      <c r="BQ67" s="177">
        <f t="shared" si="94"/>
        <v>405365803.97946393</v>
      </c>
      <c r="BR67" s="538"/>
      <c r="BT67" s="469">
        <f t="shared" si="59"/>
        <v>421993189849.85724</v>
      </c>
      <c r="BU67" s="538">
        <f t="shared" si="43"/>
        <v>7.6339518437371955E-3</v>
      </c>
      <c r="BV67" s="538">
        <f t="shared" si="60"/>
        <v>652907.82143836189</v>
      </c>
      <c r="BW67" s="538">
        <f t="shared" si="95"/>
        <v>26529175.647293787</v>
      </c>
      <c r="BX67" s="538">
        <f t="shared" si="45"/>
        <v>0</v>
      </c>
      <c r="BY67" s="538">
        <f t="shared" si="96"/>
        <v>-14.000006438067217</v>
      </c>
      <c r="BZ67" s="538">
        <f t="shared" si="61"/>
        <v>27182083.476366103</v>
      </c>
      <c r="CA67" s="641">
        <f t="shared" si="97"/>
        <v>1.1366666666666666E-2</v>
      </c>
      <c r="CB67" s="469">
        <f t="shared" si="62"/>
        <v>-13988.639771400549</v>
      </c>
      <c r="CC67" s="177">
        <f t="shared" si="63"/>
        <v>430499015.09605664</v>
      </c>
      <c r="CD67" s="5">
        <f t="shared" si="64"/>
        <v>3.41</v>
      </c>
      <c r="CE67" s="177">
        <f t="shared" si="65"/>
        <v>7.9210401264875936E-9</v>
      </c>
      <c r="CF67" s="5">
        <f t="shared" si="66"/>
        <v>7.9210401264875932E-7</v>
      </c>
      <c r="CG67">
        <f t="shared" si="102"/>
        <v>62</v>
      </c>
      <c r="CI67" s="571">
        <f t="shared" si="98"/>
        <v>-50</v>
      </c>
      <c r="CJ67">
        <f t="shared" si="99"/>
        <v>-50</v>
      </c>
    </row>
    <row r="68" spans="5:88" x14ac:dyDescent="0.25">
      <c r="E68" s="174">
        <v>63</v>
      </c>
      <c r="F68" s="221">
        <f t="shared" si="103"/>
        <v>6.3E-2</v>
      </c>
      <c r="G68" s="221">
        <f t="shared" si="100"/>
        <v>0.315</v>
      </c>
      <c r="H68" s="221">
        <f t="shared" si="70"/>
        <v>0.94500000000000006</v>
      </c>
      <c r="I68" s="221">
        <f t="shared" si="104"/>
        <v>2.52</v>
      </c>
      <c r="J68" s="551">
        <f t="shared" si="1"/>
        <v>24</v>
      </c>
      <c r="K68" s="451">
        <f t="shared" si="2"/>
        <v>695386.58000000007</v>
      </c>
      <c r="L68" s="451">
        <f t="shared" si="3"/>
        <v>695410.58000000007</v>
      </c>
      <c r="M68" s="451"/>
      <c r="N68" s="221">
        <f t="shared" si="4"/>
        <v>0.99996548801428931</v>
      </c>
      <c r="O68" s="176">
        <f t="shared" si="101"/>
        <v>2.2090146689770211</v>
      </c>
      <c r="P68" s="176">
        <f t="shared" si="71"/>
        <v>5.8907057839387225</v>
      </c>
      <c r="Q68" s="221">
        <f t="shared" si="6"/>
        <v>0.14726764459846808</v>
      </c>
      <c r="R68" s="221">
        <f t="shared" si="72"/>
        <v>0.27612683362212764</v>
      </c>
      <c r="S68" s="451">
        <f t="shared" si="73"/>
        <v>15</v>
      </c>
      <c r="T68" s="221">
        <f t="shared" si="74"/>
        <v>0.32084440631089928</v>
      </c>
      <c r="U68" s="221">
        <f t="shared" si="10"/>
        <v>0.4010555078886241</v>
      </c>
      <c r="V68" s="221">
        <f t="shared" si="11"/>
        <v>1.3841699661973599E-5</v>
      </c>
      <c r="W68" s="201">
        <f t="shared" si="12"/>
        <v>350</v>
      </c>
      <c r="X68" s="451">
        <f t="shared" si="52"/>
        <v>350</v>
      </c>
      <c r="Z68" s="221">
        <f t="shared" si="13"/>
        <v>2.2856354011755182</v>
      </c>
      <c r="AA68" s="177">
        <f t="shared" si="14"/>
        <v>9.8605673459021225E-5</v>
      </c>
      <c r="AB68" s="177">
        <f t="shared" si="75"/>
        <v>0.4914588143407696</v>
      </c>
      <c r="AC68" s="177"/>
      <c r="AD68" s="177">
        <f t="shared" si="16"/>
        <v>6.4712206554230591E-6</v>
      </c>
      <c r="AE68" s="555">
        <f t="shared" si="76"/>
        <v>10417.244444444448</v>
      </c>
      <c r="AF68" s="538">
        <f t="shared" si="77"/>
        <v>2.1166825946720815E-3</v>
      </c>
      <c r="AH68" s="177">
        <f t="shared" si="78"/>
        <v>0.81240384046359604</v>
      </c>
      <c r="AI68" s="177">
        <f t="shared" si="79"/>
        <v>0.81240384046359604</v>
      </c>
      <c r="AJ68" s="177">
        <f t="shared" si="80"/>
        <v>1.6906695114545156</v>
      </c>
      <c r="AL68" s="555">
        <f t="shared" si="81"/>
        <v>63</v>
      </c>
      <c r="AM68" s="469">
        <f t="shared" si="82"/>
        <v>350</v>
      </c>
      <c r="AO68">
        <f t="shared" si="53"/>
        <v>63</v>
      </c>
      <c r="AP68">
        <f t="shared" si="24"/>
        <v>350</v>
      </c>
      <c r="AR68" s="5">
        <f t="shared" si="54"/>
        <v>2.8571428571428572</v>
      </c>
      <c r="AS68" s="5">
        <f t="shared" si="25"/>
        <v>1.0155048005794951</v>
      </c>
      <c r="AT68" s="5">
        <f t="shared" si="55"/>
        <v>1.8416380565633621</v>
      </c>
      <c r="AU68" s="177">
        <f t="shared" si="56"/>
        <v>0.35542668020282325</v>
      </c>
      <c r="AW68" s="5">
        <f t="shared" si="83"/>
        <v>0.10724833101420155</v>
      </c>
      <c r="AX68" s="5">
        <f t="shared" si="84"/>
        <v>0.82750293869304858</v>
      </c>
      <c r="AY68" s="5">
        <f t="shared" si="85"/>
        <v>2.7494601245163159</v>
      </c>
      <c r="AZ68" s="5">
        <f t="shared" si="86"/>
        <v>2.4874650611413207</v>
      </c>
      <c r="BA68" s="5">
        <f t="shared" si="87"/>
        <v>0.24619119853364385</v>
      </c>
      <c r="BB68" s="469">
        <f t="shared" si="88"/>
        <v>30.024193824037269</v>
      </c>
      <c r="BC68" s="5"/>
      <c r="BD68" s="177">
        <f t="shared" si="57"/>
        <v>0.27963166781432519</v>
      </c>
      <c r="BE68" s="177">
        <f t="shared" si="89"/>
        <v>4692.3211177736839</v>
      </c>
      <c r="BF68" s="177">
        <f t="shared" si="90"/>
        <v>23168.573369834703</v>
      </c>
      <c r="BG68" s="177"/>
      <c r="BH68" s="538">
        <f t="shared" si="34"/>
        <v>2.7367854375617385E-2</v>
      </c>
      <c r="BI68" s="538">
        <f t="shared" si="35"/>
        <v>988.6698953092797</v>
      </c>
      <c r="BJ68" s="538">
        <f t="shared" si="36"/>
        <v>4.3749999999999995E-3</v>
      </c>
      <c r="BK68" s="538">
        <f t="shared" si="37"/>
        <v>8462927.8085788898</v>
      </c>
      <c r="BL68">
        <f t="shared" si="38"/>
        <v>6.96E-3</v>
      </c>
      <c r="BM68">
        <f t="shared" si="91"/>
        <v>1.6625000000000001E-5</v>
      </c>
      <c r="BN68">
        <f t="shared" si="92"/>
        <v>8506870.8519808054</v>
      </c>
      <c r="BO68" s="469">
        <f t="shared" si="58"/>
        <v>8506870851.9808054</v>
      </c>
      <c r="BP68" s="177">
        <f t="shared" si="93"/>
        <v>16821658.406890418</v>
      </c>
      <c r="BQ68" s="177">
        <f t="shared" si="94"/>
        <v>410102053.17321551</v>
      </c>
      <c r="BR68" s="538"/>
      <c r="BT68" s="469">
        <f t="shared" si="59"/>
        <v>426923711580.1059</v>
      </c>
      <c r="BU68" s="538">
        <f t="shared" si="43"/>
        <v>7.8193869644621102E-3</v>
      </c>
      <c r="BV68" s="538">
        <f t="shared" si="60"/>
        <v>660536.32416914613</v>
      </c>
      <c r="BW68" s="538">
        <f t="shared" si="95"/>
        <v>26839139.59967069</v>
      </c>
      <c r="BX68" s="538">
        <f t="shared" si="45"/>
        <v>0</v>
      </c>
      <c r="BY68" s="538">
        <f t="shared" si="96"/>
        <v>-14.000006363714249</v>
      </c>
      <c r="BZ68" s="538">
        <f t="shared" si="61"/>
        <v>27499675.931659222</v>
      </c>
      <c r="CA68" s="641">
        <f t="shared" si="97"/>
        <v>1.1550000000000001E-2</v>
      </c>
      <c r="CB68" s="469">
        <f t="shared" si="62"/>
        <v>-13988.456363714249</v>
      </c>
      <c r="CC68" s="177">
        <f t="shared" si="63"/>
        <v>435430568.44363034</v>
      </c>
      <c r="CD68" s="5">
        <f t="shared" si="64"/>
        <v>3.4649999999999999</v>
      </c>
      <c r="CE68" s="177">
        <f t="shared" si="65"/>
        <v>7.957640605738374E-9</v>
      </c>
      <c r="CF68" s="5">
        <f t="shared" si="66"/>
        <v>7.9576406057383744E-7</v>
      </c>
      <c r="CG68">
        <f t="shared" si="102"/>
        <v>63</v>
      </c>
      <c r="CI68" s="571">
        <f t="shared" si="98"/>
        <v>-50</v>
      </c>
      <c r="CJ68">
        <f t="shared" si="99"/>
        <v>-50</v>
      </c>
    </row>
    <row r="69" spans="5:88" x14ac:dyDescent="0.25">
      <c r="E69" s="174">
        <v>64</v>
      </c>
      <c r="F69" s="221">
        <f t="shared" si="103"/>
        <v>6.4000000000000001E-2</v>
      </c>
      <c r="G69" s="221">
        <f t="shared" si="100"/>
        <v>0.32</v>
      </c>
      <c r="H69" s="221">
        <f t="shared" ref="H69:H105" si="105">F69*Vout</f>
        <v>0.96</v>
      </c>
      <c r="I69" s="221">
        <f t="shared" si="104"/>
        <v>2.56</v>
      </c>
      <c r="J69" s="551">
        <f t="shared" ref="J69:J105" si="106">Vin</f>
        <v>24</v>
      </c>
      <c r="K69" s="451">
        <f t="shared" ref="K69:K105" si="107">(S69+Vfwd1)*Nps</f>
        <v>695386.58000000007</v>
      </c>
      <c r="L69" s="451">
        <f t="shared" ref="L69:L105" si="108">(Vout+Vfwd1)*Nps+J69</f>
        <v>695410.58000000007</v>
      </c>
      <c r="M69" s="451"/>
      <c r="N69" s="221">
        <f t="shared" ref="N69:N105" si="109">(Vout+Vfwd1)*Nps/((Vout+Vfwd1)*Nps+J69)</f>
        <v>0.99996548801428931</v>
      </c>
      <c r="O69" s="176">
        <f t="shared" si="101"/>
        <v>2.2090146689770211</v>
      </c>
      <c r="P69" s="176">
        <f t="shared" ref="P69:P105" si="110">N69*J69*Isw_max*0.5*Efficiency*(Pout2/Pout_total)</f>
        <v>5.8907057839387225</v>
      </c>
      <c r="Q69" s="221">
        <f t="shared" ref="Q69:Q105" si="111">O69/Vout</f>
        <v>0.14726764459846808</v>
      </c>
      <c r="R69" s="221">
        <f t="shared" ref="R69:R105" si="112">O69/Vout2</f>
        <v>0.27612683362212764</v>
      </c>
      <c r="S69" s="451">
        <f t="shared" ref="S69:S105" si="113">MIN(Vout,O69/F69)</f>
        <v>15</v>
      </c>
      <c r="T69" s="221">
        <f t="shared" ref="T69:T105" si="114">MIN(2*(Vout*F69+Vout2*G69)/(Efficiency*J69*N69), Isw_max)</f>
        <v>0.32593717466504052</v>
      </c>
      <c r="U69" s="221">
        <f t="shared" ref="U69:U105" si="115">L*T69/J69*1000000</f>
        <v>0.40742146833130066</v>
      </c>
      <c r="V69" s="221">
        <f t="shared" ref="V69:V105" si="116">L*T69/K69*1000000</f>
        <v>1.4061409180417623E-5</v>
      </c>
      <c r="W69" s="201">
        <f t="shared" ref="W69:W105" si="117">IF(1/((350000*L)*(1/J69+1/K69))&gt;Isw_min, 350, 0.001/((Isw_min*L)*(1/J69+1/K69)))</f>
        <v>350</v>
      </c>
      <c r="X69" s="451">
        <f t="shared" si="52"/>
        <v>350</v>
      </c>
      <c r="Z69" s="221">
        <f t="shared" ref="Z69:Z105" si="118">1/((W69*1000*L)*(1/J69+1/K69))</f>
        <v>2.2856354011755182</v>
      </c>
      <c r="AA69" s="177">
        <f t="shared" ref="AA69:AA105" si="119">L*Z69/K69*1000000</f>
        <v>9.8605673459021225E-5</v>
      </c>
      <c r="AB69" s="177">
        <f t="shared" ref="AB69:AB100" si="120">0.5*AA69*Z69*Nps*W69/1000*(Pout/Pout_total)</f>
        <v>0.4914588143407696</v>
      </c>
      <c r="AC69" s="177"/>
      <c r="AD69" s="177">
        <f t="shared" ref="AD69:AD105" si="121">L*Isw_min/K69*1000000</f>
        <v>6.4712206554230591E-6</v>
      </c>
      <c r="AE69" s="555">
        <f t="shared" ref="AE69:AE100" si="122">MAX(10, F69/(0.5*AD69/1000000*Isw_min*Nps)/1000*Pout_total/Pout)</f>
        <v>10582.597530864201</v>
      </c>
      <c r="AF69" s="538">
        <f t="shared" ref="AF69:AF105" si="123">0.5*AD69/1000000*Isw_min*Nps*W69*1000*(Pout/Pout_total)</f>
        <v>2.1166825946720815E-3</v>
      </c>
      <c r="AH69" s="177">
        <f t="shared" ref="AH69:AH105" si="124">SQRT((H69+I69)/(0.5*L*Fsw_DCM))</f>
        <v>0.81882610515065435</v>
      </c>
      <c r="AI69" s="177">
        <f t="shared" ref="AI69:AI100" si="125">MAX(IF(F69&gt;AB69,T69,AH69),Isw_min)</f>
        <v>0.81882610515065435</v>
      </c>
      <c r="AJ69" s="177">
        <f t="shared" ref="AJ69:AJ100" si="126">IF(F69&gt;AF69, (AI69-Isw_min)/1.08*0.8+1.2, AE69*0.2/350+1)</f>
        <v>1.6954267445560403</v>
      </c>
      <c r="AL69" s="555">
        <f t="shared" ref="AL69:AL105" si="127">F69*1000</f>
        <v>64</v>
      </c>
      <c r="AM69" s="469">
        <f t="shared" ref="AM69:AM105" si="128">IF(F69&gt;AF69, X69, AE69)</f>
        <v>350</v>
      </c>
      <c r="AO69">
        <f t="shared" si="53"/>
        <v>64</v>
      </c>
      <c r="AP69">
        <f t="shared" ref="AP69:AP105" si="129">IF(H69&gt;O69, "",AM69)</f>
        <v>350</v>
      </c>
      <c r="AR69" s="5">
        <f t="shared" si="54"/>
        <v>2.8571428571428572</v>
      </c>
      <c r="AS69" s="5">
        <f t="shared" ref="AS69:AS105" si="130">L*AI69/J69*1000000</f>
        <v>1.0235326314383182</v>
      </c>
      <c r="AT69" s="5">
        <f t="shared" si="55"/>
        <v>1.833610225704539</v>
      </c>
      <c r="AU69" s="177">
        <f t="shared" si="56"/>
        <v>0.35823642100341135</v>
      </c>
      <c r="AW69" s="5">
        <f t="shared" ref="AW69:AW105" si="131">L*Iout^2/(2*Vripple1_spec*Vout*Npri_sec1^2)*1000000000*((1+N69)/(1-N69))^2</f>
        <v>0.10724833101420155</v>
      </c>
      <c r="AX69" s="5">
        <f t="shared" ref="AX69:AX105" si="132">L*F69^2/(2*Cout*Vout*Nps^2)*1000000000*((1+N69)/(1-N69))^2+F69*RCoutEsr</f>
        <v>0.85093374575125402</v>
      </c>
      <c r="AY69" s="5">
        <f t="shared" ref="AY69:AY105" si="133">L*Iout2^2/(2*Vripple2_spec*Vout2*Npri_sec2^2)*1000000000*((1+N69)/(1-N69))^2</f>
        <v>2.7494601245163159</v>
      </c>
      <c r="AZ69" s="5">
        <f t="shared" ref="AZ69:AZ105" si="134">L*G69^2/(2*Cout2*Vout2*Npri_sec2^2)*1000000000*((1+N69)/(1-N69))^2+G69*CoutEsr2</f>
        <v>2.5569001991521416</v>
      </c>
      <c r="BA69" s="5">
        <f t="shared" ref="BA69:BA105" si="135">(H69+I69)/Efficiency/J69*AT69/Vinripple1</f>
        <v>0.24900879608333243</v>
      </c>
      <c r="BB69" s="469">
        <f t="shared" ref="BB69:BB105" si="136">((CD69/J69/Efficiency)*AT69/Cin+(CD69/J69/Efficiency)*RCinEsr)*1000</f>
        <v>30.369944418888785</v>
      </c>
      <c r="BC69" s="5"/>
      <c r="BD69" s="177">
        <f t="shared" si="57"/>
        <v>0.28295405448246186</v>
      </c>
      <c r="BE69" s="177">
        <f t="shared" ref="BE69:BE105" si="137">AI69*Npri_sec1*SQRT((1-AU69)/3)*(Pout/Pout_total)</f>
        <v>4719.0959568290727</v>
      </c>
      <c r="BF69" s="177">
        <f t="shared" ref="BF69:BF105" si="138">AI69*Npri_sec2*SQRT((1-AU69)/3)*(Pout2/Pout_total)</f>
        <v>23300.775494870559</v>
      </c>
      <c r="BG69" s="177"/>
      <c r="BH69" s="538">
        <f t="shared" ref="BH69:BH105" si="139">Rdson*BD69^2</f>
        <v>2.8022048931822398E-2</v>
      </c>
      <c r="BI69" s="538">
        <f t="shared" ref="BI69:BI105" si="140">0.5*L69*AI69*AM69*1000*Trise</f>
        <v>996.48558922842574</v>
      </c>
      <c r="BJ69" s="538">
        <f t="shared" ref="BJ69:BJ105" si="141">Qg*Vdd*AM69*1000</f>
        <v>4.3749999999999995E-3</v>
      </c>
      <c r="BK69" s="538">
        <f t="shared" ref="BK69:BK105" si="142">0.5*(Coss+Csw)*L69^2*AM69*1000</f>
        <v>8462927.8085788898</v>
      </c>
      <c r="BL69">
        <f t="shared" ref="BL69:BL105" si="143">J69*IQ</f>
        <v>6.96E-3</v>
      </c>
      <c r="BM69">
        <f t="shared" ref="BM69:BM105" si="144">(J69-Vdd)*Qg*AM69</f>
        <v>1.6625000000000001E-5</v>
      </c>
      <c r="BN69">
        <f t="shared" ref="BN69:BN100" si="145">(BI69+BJ69+BK69+BL69+BM69+BH69*(1+RdsonTC*(Ta-25)))/(1-BH69*RdsonTC*ThetaJA)</f>
        <v>8507910.8150138762</v>
      </c>
      <c r="BO69" s="469">
        <f t="shared" si="58"/>
        <v>8507910815.013876</v>
      </c>
      <c r="BP69" s="177">
        <f t="shared" ref="BP69:BP105" si="146">(Vfwd2*F69+BE69^2*Rdiode)*(1+Diode_TC/1000*(Ta-25))</f>
        <v>17014178.138753019</v>
      </c>
      <c r="BQ69" s="177">
        <f t="shared" ref="BQ69:BQ105" si="147">(Vfwd2*G69+BF69^2*Rdiode)*(1+Diode_TC/1000*(Ta-25))</f>
        <v>414795570.02972317</v>
      </c>
      <c r="BR69" s="538"/>
      <c r="BT69" s="469">
        <f t="shared" si="59"/>
        <v>431809748168.47614</v>
      </c>
      <c r="BU69" s="538">
        <f t="shared" ref="BU69:BU105" si="148">Rdcr_pri*BD69^2</f>
        <v>8.0062996948063996E-3</v>
      </c>
      <c r="BV69" s="538">
        <f t="shared" ref="BV69:BV105" si="149">Rdcr_sec*BE69^2</f>
        <v>668095.99949281511</v>
      </c>
      <c r="BW69" s="538">
        <f t="shared" ref="BW69:BW105" si="150">Rdcr_sec2*BF69^2</f>
        <v>27146306.933118016</v>
      </c>
      <c r="BX69" s="538">
        <f t="shared" ref="BX69:BX105" si="151">AI69^2.5*AM69^2.5*k_core</f>
        <v>0</v>
      </c>
      <c r="BY69" s="538">
        <f t="shared" ref="BY69:BY100" si="152">(BX69+(BU69+BV69+BW69)*(1+Ltc*(Ta-25)))/(1-(BU69+BV69+BW69)*Ltc*ThetaCa)</f>
        <v>-14.00000629170718</v>
      </c>
      <c r="BZ69" s="538">
        <f t="shared" si="61"/>
        <v>27814402.940617129</v>
      </c>
      <c r="CA69" s="641">
        <f t="shared" ref="CA69:CA105" si="153">0.5*Lleak*0.000000001*AI69^2*AM69*1000</f>
        <v>1.1733333333333335E-2</v>
      </c>
      <c r="CB69" s="469">
        <f t="shared" si="62"/>
        <v>-13988.272958373846</v>
      </c>
      <c r="CC69" s="177">
        <f t="shared" si="63"/>
        <v>440317644.99521708</v>
      </c>
      <c r="CD69" s="5">
        <f t="shared" si="64"/>
        <v>3.52</v>
      </c>
      <c r="CE69" s="177">
        <f t="shared" si="65"/>
        <v>7.9942287388881516E-9</v>
      </c>
      <c r="CF69" s="5">
        <f t="shared" si="66"/>
        <v>7.9942287388881516E-7</v>
      </c>
      <c r="CG69">
        <f t="shared" si="102"/>
        <v>64</v>
      </c>
      <c r="CI69" s="571">
        <f t="shared" ref="CI69:CI105" si="154">IF(ABS(F69-Ioutmax_Vinnom)&lt;Iout/200, AM69, -50)</f>
        <v>-50</v>
      </c>
      <c r="CJ69">
        <f t="shared" ref="CJ69:CJ105" si="155">IF(ABS(F69-Ioutmax_Vinnom)&lt;Iout/200, (O69+P69)*CE69, -50)</f>
        <v>-50</v>
      </c>
    </row>
    <row r="70" spans="5:88" x14ac:dyDescent="0.25">
      <c r="E70" s="174">
        <v>65</v>
      </c>
      <c r="F70" s="221">
        <f t="shared" si="103"/>
        <v>6.5000000000000002E-2</v>
      </c>
      <c r="G70" s="221">
        <f t="shared" ref="G70:G105" si="156">IF(PLOT_TYPE=1, E70/100*Iout2, min_I*EXP(Q70*rr/100))</f>
        <v>0.32500000000000001</v>
      </c>
      <c r="H70" s="221">
        <f t="shared" si="105"/>
        <v>0.97500000000000009</v>
      </c>
      <c r="I70" s="221">
        <f t="shared" si="104"/>
        <v>2.6</v>
      </c>
      <c r="J70" s="551">
        <f t="shared" si="106"/>
        <v>24</v>
      </c>
      <c r="K70" s="451">
        <f t="shared" si="107"/>
        <v>695386.58000000007</v>
      </c>
      <c r="L70" s="451">
        <f t="shared" si="108"/>
        <v>695410.58000000007</v>
      </c>
      <c r="M70" s="451"/>
      <c r="N70" s="221">
        <f t="shared" si="109"/>
        <v>0.99996548801428931</v>
      </c>
      <c r="O70" s="176">
        <f t="shared" ref="O70:O101" si="157">N70*J70*Isw_max*0.5*Efficiency*Pout/(Pout+Pout2)</f>
        <v>2.2090146689770211</v>
      </c>
      <c r="P70" s="176">
        <f t="shared" si="110"/>
        <v>5.8907057839387225</v>
      </c>
      <c r="Q70" s="221">
        <f t="shared" si="111"/>
        <v>0.14726764459846808</v>
      </c>
      <c r="R70" s="221">
        <f t="shared" si="112"/>
        <v>0.27612683362212764</v>
      </c>
      <c r="S70" s="451">
        <f t="shared" si="113"/>
        <v>15</v>
      </c>
      <c r="T70" s="221">
        <f t="shared" si="114"/>
        <v>0.33102994301918182</v>
      </c>
      <c r="U70" s="221">
        <f t="shared" si="115"/>
        <v>0.41378742877397728</v>
      </c>
      <c r="V70" s="221">
        <f t="shared" si="116"/>
        <v>1.4281118698861652E-5</v>
      </c>
      <c r="W70" s="201">
        <f t="shared" si="117"/>
        <v>350</v>
      </c>
      <c r="X70" s="451">
        <f t="shared" ref="X70:X105" si="158">MIN(1/(U70+V70)*1000, 350)</f>
        <v>350</v>
      </c>
      <c r="Z70" s="221">
        <f t="shared" si="118"/>
        <v>2.2856354011755182</v>
      </c>
      <c r="AA70" s="177">
        <f t="shared" si="119"/>
        <v>9.8605673459021225E-5</v>
      </c>
      <c r="AB70" s="177">
        <f t="shared" si="120"/>
        <v>0.4914588143407696</v>
      </c>
      <c r="AC70" s="177"/>
      <c r="AD70" s="177">
        <f t="shared" si="121"/>
        <v>6.4712206554230591E-6</v>
      </c>
      <c r="AE70" s="555">
        <f t="shared" si="122"/>
        <v>10747.950617283954</v>
      </c>
      <c r="AF70" s="538">
        <f t="shared" si="123"/>
        <v>2.1166825946720815E-3</v>
      </c>
      <c r="AH70" s="177">
        <f t="shared" si="124"/>
        <v>0.8251983888449983</v>
      </c>
      <c r="AI70" s="177">
        <f t="shared" si="125"/>
        <v>0.8251983888449983</v>
      </c>
      <c r="AJ70" s="177">
        <f t="shared" si="126"/>
        <v>1.7001469546999988</v>
      </c>
      <c r="AL70" s="555">
        <f t="shared" si="127"/>
        <v>65</v>
      </c>
      <c r="AM70" s="469">
        <f t="shared" si="128"/>
        <v>350</v>
      </c>
      <c r="AO70">
        <f t="shared" ref="AO70:AO105" si="159">IF(H70&gt;O70, "",AL70)</f>
        <v>65</v>
      </c>
      <c r="AP70">
        <f t="shared" si="129"/>
        <v>350</v>
      </c>
      <c r="AR70" s="5">
        <f t="shared" ref="AR70:AR133" si="160">1/AM70*1000</f>
        <v>2.8571428571428572</v>
      </c>
      <c r="AS70" s="5">
        <f t="shared" si="130"/>
        <v>1.0314979860562479</v>
      </c>
      <c r="AT70" s="5">
        <f t="shared" ref="AT70:AT105" si="161">AR70-AS70</f>
        <v>1.8256448710866093</v>
      </c>
      <c r="AU70" s="177">
        <f t="shared" ref="AU70:AU105" si="162">AS70/AR70</f>
        <v>0.36102429511968676</v>
      </c>
      <c r="AW70" s="5">
        <f t="shared" si="131"/>
        <v>0.10724833101420155</v>
      </c>
      <c r="AX70" s="5">
        <f t="shared" si="132"/>
        <v>0.87468629780250207</v>
      </c>
      <c r="AY70" s="5">
        <f t="shared" si="133"/>
        <v>2.7494601245163159</v>
      </c>
      <c r="AZ70" s="5">
        <f t="shared" si="134"/>
        <v>2.6272713235883294</v>
      </c>
      <c r="BA70" s="5">
        <f t="shared" si="135"/>
        <v>0.25180094190334212</v>
      </c>
      <c r="BB70" s="469">
        <f t="shared" si="136"/>
        <v>30.712640806178833</v>
      </c>
      <c r="BC70" s="5"/>
      <c r="BD70" s="177">
        <f t="shared" ref="BD70:BD105" si="163">AI70*SQRT(AU70/3)</f>
        <v>0.28626348780066579</v>
      </c>
      <c r="BE70" s="177">
        <f t="shared" si="137"/>
        <v>4745.4799099558968</v>
      </c>
      <c r="BF70" s="177">
        <f t="shared" si="138"/>
        <v>23431.047600820359</v>
      </c>
      <c r="BG70" s="177"/>
      <c r="BH70" s="538">
        <f t="shared" si="139"/>
        <v>2.8681374556730675E-2</v>
      </c>
      <c r="BI70" s="538">
        <f t="shared" si="140"/>
        <v>1004.2404578530903</v>
      </c>
      <c r="BJ70" s="538">
        <f t="shared" si="141"/>
        <v>4.3749999999999995E-3</v>
      </c>
      <c r="BK70" s="538">
        <f t="shared" si="142"/>
        <v>8462927.8085788898</v>
      </c>
      <c r="BL70">
        <f t="shared" si="143"/>
        <v>6.96E-3</v>
      </c>
      <c r="BM70">
        <f t="shared" si="144"/>
        <v>1.6625000000000001E-5</v>
      </c>
      <c r="BN70">
        <f t="shared" si="145"/>
        <v>8508959.0674092248</v>
      </c>
      <c r="BO70" s="469">
        <f t="shared" ref="BO70:BO105" si="164">BN70*1000</f>
        <v>8508959067.4092245</v>
      </c>
      <c r="BP70" s="177">
        <f t="shared" si="146"/>
        <v>17204958.814529892</v>
      </c>
      <c r="BQ70" s="177">
        <f t="shared" si="147"/>
        <v>419446689.73045123</v>
      </c>
      <c r="BR70" s="538"/>
      <c r="BT70" s="469">
        <f t="shared" ref="BT70:BT105" si="165">SUM(BP70:BS70)*1000</f>
        <v>436651648544.98114</v>
      </c>
      <c r="BU70" s="538">
        <f t="shared" si="148"/>
        <v>8.194678444780194E-3</v>
      </c>
      <c r="BV70" s="538">
        <f t="shared" si="149"/>
        <v>675587.38727385073</v>
      </c>
      <c r="BW70" s="538">
        <f t="shared" si="150"/>
        <v>27450699.583595473</v>
      </c>
      <c r="BX70" s="538">
        <f t="shared" si="151"/>
        <v>0</v>
      </c>
      <c r="BY70" s="538">
        <f t="shared" si="152"/>
        <v>-14.000006221940279</v>
      </c>
      <c r="BZ70" s="538">
        <f t="shared" ref="BZ70:BZ133" si="166">SUM(BU70:BX70)</f>
        <v>28126286.979064003</v>
      </c>
      <c r="CA70" s="641">
        <f t="shared" si="153"/>
        <v>1.1916666666666667E-2</v>
      </c>
      <c r="CB70" s="469">
        <f t="shared" ref="CB70:CB105" si="167">(BY70+CA70)*1000</f>
        <v>-13988.089555273613</v>
      </c>
      <c r="CC70" s="177">
        <f t="shared" ref="CC70:CC133" si="168">SUM(BN70,BP70:BS70,BY70, CA70)</f>
        <v>445160593.62430078</v>
      </c>
      <c r="CD70" s="5">
        <f t="shared" ref="CD70:CD105" si="169">MIN(H70+I70,O70+P70)</f>
        <v>3.5750000000000002</v>
      </c>
      <c r="CE70" s="177">
        <f t="shared" ref="CE70:CE105" si="170">CD70/(CD70+CC70)</f>
        <v>8.0308096055488349E-9</v>
      </c>
      <c r="CF70" s="5">
        <f t="shared" ref="CF70:CF105" si="171">CE70*100</f>
        <v>8.0308096055488351E-7</v>
      </c>
      <c r="CG70">
        <f t="shared" ref="CG70:CG105" si="172">F70/Iout*100</f>
        <v>65</v>
      </c>
      <c r="CI70" s="571">
        <f t="shared" si="154"/>
        <v>-50</v>
      </c>
      <c r="CJ70">
        <f t="shared" si="155"/>
        <v>-50</v>
      </c>
    </row>
    <row r="71" spans="5:88" x14ac:dyDescent="0.25">
      <c r="E71" s="174">
        <v>66</v>
      </c>
      <c r="F71" s="221">
        <f t="shared" si="103"/>
        <v>6.6000000000000003E-2</v>
      </c>
      <c r="G71" s="221">
        <f t="shared" si="156"/>
        <v>0.33</v>
      </c>
      <c r="H71" s="221">
        <f t="shared" si="105"/>
        <v>0.99</v>
      </c>
      <c r="I71" s="221">
        <f t="shared" si="104"/>
        <v>2.64</v>
      </c>
      <c r="J71" s="551">
        <f t="shared" si="106"/>
        <v>24</v>
      </c>
      <c r="K71" s="451">
        <f t="shared" si="107"/>
        <v>695386.58000000007</v>
      </c>
      <c r="L71" s="451">
        <f t="shared" si="108"/>
        <v>695410.58000000007</v>
      </c>
      <c r="M71" s="451"/>
      <c r="N71" s="221">
        <f t="shared" si="109"/>
        <v>0.99996548801428931</v>
      </c>
      <c r="O71" s="176">
        <f t="shared" si="157"/>
        <v>2.2090146689770211</v>
      </c>
      <c r="P71" s="176">
        <f t="shared" si="110"/>
        <v>5.8907057839387225</v>
      </c>
      <c r="Q71" s="221">
        <f t="shared" si="111"/>
        <v>0.14726764459846808</v>
      </c>
      <c r="R71" s="221">
        <f t="shared" si="112"/>
        <v>0.27612683362212764</v>
      </c>
      <c r="S71" s="451">
        <f t="shared" si="113"/>
        <v>15</v>
      </c>
      <c r="T71" s="221">
        <f t="shared" si="114"/>
        <v>0.33612271137332306</v>
      </c>
      <c r="U71" s="221">
        <f t="shared" si="115"/>
        <v>0.42015338921665385</v>
      </c>
      <c r="V71" s="221">
        <f t="shared" si="116"/>
        <v>1.4500828217305676E-5</v>
      </c>
      <c r="W71" s="201">
        <f t="shared" si="117"/>
        <v>350</v>
      </c>
      <c r="X71" s="451">
        <f t="shared" si="158"/>
        <v>350</v>
      </c>
      <c r="Z71" s="221">
        <f t="shared" si="118"/>
        <v>2.2856354011755182</v>
      </c>
      <c r="AA71" s="177">
        <f t="shared" si="119"/>
        <v>9.8605673459021225E-5</v>
      </c>
      <c r="AB71" s="177">
        <f t="shared" si="120"/>
        <v>0.4914588143407696</v>
      </c>
      <c r="AC71" s="177"/>
      <c r="AD71" s="177">
        <f t="shared" si="121"/>
        <v>6.4712206554230591E-6</v>
      </c>
      <c r="AE71" s="555">
        <f t="shared" si="122"/>
        <v>10913.303703703707</v>
      </c>
      <c r="AF71" s="538">
        <f t="shared" si="123"/>
        <v>2.1166825946720815E-3</v>
      </c>
      <c r="AH71" s="177">
        <f t="shared" si="124"/>
        <v>0.83152184062029988</v>
      </c>
      <c r="AI71" s="177">
        <f t="shared" si="125"/>
        <v>0.83152184062029988</v>
      </c>
      <c r="AJ71" s="177">
        <f t="shared" si="126"/>
        <v>1.7048309930520738</v>
      </c>
      <c r="AL71" s="555">
        <f t="shared" si="127"/>
        <v>66</v>
      </c>
      <c r="AM71" s="469">
        <f t="shared" si="128"/>
        <v>350</v>
      </c>
      <c r="AO71">
        <f t="shared" si="159"/>
        <v>66</v>
      </c>
      <c r="AP71">
        <f t="shared" si="129"/>
        <v>350</v>
      </c>
      <c r="AR71" s="5">
        <f t="shared" si="160"/>
        <v>2.8571428571428572</v>
      </c>
      <c r="AS71" s="5">
        <f t="shared" si="130"/>
        <v>1.0394023007753748</v>
      </c>
      <c r="AT71" s="5">
        <f t="shared" si="161"/>
        <v>1.8177405563674824</v>
      </c>
      <c r="AU71" s="177">
        <f t="shared" si="162"/>
        <v>0.36379080527138113</v>
      </c>
      <c r="AW71" s="5">
        <f t="shared" si="131"/>
        <v>0.10724833101420155</v>
      </c>
      <c r="AX71" s="5">
        <f t="shared" si="132"/>
        <v>0.89876059484679272</v>
      </c>
      <c r="AY71" s="5">
        <f t="shared" si="133"/>
        <v>2.7494601245163159</v>
      </c>
      <c r="AZ71" s="5">
        <f t="shared" si="134"/>
        <v>2.6985784344498849</v>
      </c>
      <c r="BA71" s="5">
        <f t="shared" si="135"/>
        <v>0.25456783254683485</v>
      </c>
      <c r="BB71" s="469">
        <f t="shared" si="136"/>
        <v>31.052306572286852</v>
      </c>
      <c r="BC71" s="5"/>
      <c r="BD71" s="177">
        <f t="shared" si="163"/>
        <v>0.28956021641312113</v>
      </c>
      <c r="BE71" s="177">
        <f t="shared" si="137"/>
        <v>4771.4813034271601</v>
      </c>
      <c r="BF71" s="177">
        <f t="shared" si="138"/>
        <v>23559.43079907912</v>
      </c>
      <c r="BG71" s="177"/>
      <c r="BH71" s="538">
        <f t="shared" si="139"/>
        <v>2.934579162522474E-2</v>
      </c>
      <c r="BI71" s="538">
        <f t="shared" si="140"/>
        <v>1011.935899569753</v>
      </c>
      <c r="BJ71" s="538">
        <f t="shared" si="141"/>
        <v>4.3749999999999995E-3</v>
      </c>
      <c r="BK71" s="538">
        <f t="shared" si="142"/>
        <v>8462927.8085788898</v>
      </c>
      <c r="BL71">
        <f t="shared" si="143"/>
        <v>6.96E-3</v>
      </c>
      <c r="BM71">
        <f t="shared" si="144"/>
        <v>1.6625000000000001E-5</v>
      </c>
      <c r="BN71">
        <f t="shared" si="145"/>
        <v>8510015.5540536568</v>
      </c>
      <c r="BO71" s="469">
        <f t="shared" si="164"/>
        <v>8510015554.0536566</v>
      </c>
      <c r="BP71" s="177">
        <f t="shared" si="146"/>
        <v>17394013.864230577</v>
      </c>
      <c r="BQ71" s="177">
        <f t="shared" si="147"/>
        <v>424055739.69106555</v>
      </c>
      <c r="BR71" s="538"/>
      <c r="BT71" s="469">
        <f t="shared" si="165"/>
        <v>441449753555.29614</v>
      </c>
      <c r="BU71" s="538">
        <f t="shared" si="148"/>
        <v>8.3845118929213557E-3</v>
      </c>
      <c r="BV71" s="538">
        <f t="shared" si="149"/>
        <v>683011.01486864849</v>
      </c>
      <c r="BW71" s="538">
        <f t="shared" si="150"/>
        <v>27752338.97882989</v>
      </c>
      <c r="BX71" s="538">
        <f t="shared" si="151"/>
        <v>0</v>
      </c>
      <c r="BY71" s="538">
        <f t="shared" si="152"/>
        <v>-14.000006154314153</v>
      </c>
      <c r="BZ71" s="538">
        <f t="shared" si="166"/>
        <v>28435350.002083052</v>
      </c>
      <c r="CA71" s="641">
        <f t="shared" si="153"/>
        <v>1.2100000000000001E-2</v>
      </c>
      <c r="CB71" s="469">
        <f t="shared" si="167"/>
        <v>-13987.906154314152</v>
      </c>
      <c r="CC71" s="177">
        <f t="shared" si="168"/>
        <v>449959755.12144363</v>
      </c>
      <c r="CD71" s="5">
        <f t="shared" si="169"/>
        <v>3.63</v>
      </c>
      <c r="CE71" s="177">
        <f t="shared" si="170"/>
        <v>8.0673880928209872E-9</v>
      </c>
      <c r="CF71" s="5">
        <f t="shared" si="171"/>
        <v>8.0673880928209872E-7</v>
      </c>
      <c r="CG71">
        <f t="shared" si="172"/>
        <v>66</v>
      </c>
      <c r="CI71" s="571">
        <f t="shared" si="154"/>
        <v>-50</v>
      </c>
      <c r="CJ71">
        <f t="shared" si="155"/>
        <v>-50</v>
      </c>
    </row>
    <row r="72" spans="5:88" x14ac:dyDescent="0.25">
      <c r="E72" s="174">
        <v>67</v>
      </c>
      <c r="F72" s="221">
        <f t="shared" ref="F72:F103" si="173">IF(PLOT_TYPE=1, E72/100*Iout_max, min_I*EXP(O72*rr/100))</f>
        <v>6.7000000000000004E-2</v>
      </c>
      <c r="G72" s="221">
        <f t="shared" si="156"/>
        <v>0.33500000000000002</v>
      </c>
      <c r="H72" s="221">
        <f t="shared" si="105"/>
        <v>1.0050000000000001</v>
      </c>
      <c r="I72" s="221">
        <f t="shared" ref="I72:I105" si="174">Vout2*G72</f>
        <v>2.68</v>
      </c>
      <c r="J72" s="551">
        <f t="shared" si="106"/>
        <v>24</v>
      </c>
      <c r="K72" s="451">
        <f t="shared" si="107"/>
        <v>695386.58000000007</v>
      </c>
      <c r="L72" s="451">
        <f t="shared" si="108"/>
        <v>695410.58000000007</v>
      </c>
      <c r="M72" s="451"/>
      <c r="N72" s="221">
        <f t="shared" si="109"/>
        <v>0.99996548801428931</v>
      </c>
      <c r="O72" s="176">
        <f t="shared" si="157"/>
        <v>2.2090146689770211</v>
      </c>
      <c r="P72" s="176">
        <f t="shared" si="110"/>
        <v>5.8907057839387225</v>
      </c>
      <c r="Q72" s="221">
        <f t="shared" si="111"/>
        <v>0.14726764459846808</v>
      </c>
      <c r="R72" s="221">
        <f t="shared" si="112"/>
        <v>0.27612683362212764</v>
      </c>
      <c r="S72" s="451">
        <f t="shared" si="113"/>
        <v>15</v>
      </c>
      <c r="T72" s="221">
        <f t="shared" si="114"/>
        <v>0.34121547972746435</v>
      </c>
      <c r="U72" s="221">
        <f t="shared" si="115"/>
        <v>0.42651934965933047</v>
      </c>
      <c r="V72" s="221">
        <f t="shared" si="116"/>
        <v>1.4720537735749701E-5</v>
      </c>
      <c r="W72" s="201">
        <f t="shared" si="117"/>
        <v>350</v>
      </c>
      <c r="X72" s="451">
        <f t="shared" si="158"/>
        <v>350</v>
      </c>
      <c r="Z72" s="221">
        <f t="shared" si="118"/>
        <v>2.2856354011755182</v>
      </c>
      <c r="AA72" s="177">
        <f t="shared" si="119"/>
        <v>9.8605673459021225E-5</v>
      </c>
      <c r="AB72" s="177">
        <f t="shared" si="120"/>
        <v>0.4914588143407696</v>
      </c>
      <c r="AC72" s="177"/>
      <c r="AD72" s="177">
        <f t="shared" si="121"/>
        <v>6.4712206554230591E-6</v>
      </c>
      <c r="AE72" s="555">
        <f t="shared" si="122"/>
        <v>11078.656790123459</v>
      </c>
      <c r="AF72" s="538">
        <f t="shared" si="123"/>
        <v>2.1166825946720815E-3</v>
      </c>
      <c r="AH72" s="177">
        <f t="shared" si="124"/>
        <v>0.83779756618455392</v>
      </c>
      <c r="AI72" s="177">
        <f t="shared" si="125"/>
        <v>0.83779756618455392</v>
      </c>
      <c r="AJ72" s="177">
        <f t="shared" si="126"/>
        <v>1.7094796786552249</v>
      </c>
      <c r="AL72" s="555">
        <f t="shared" si="127"/>
        <v>67</v>
      </c>
      <c r="AM72" s="469">
        <f t="shared" si="128"/>
        <v>350</v>
      </c>
      <c r="AO72">
        <f t="shared" si="159"/>
        <v>67</v>
      </c>
      <c r="AP72">
        <f t="shared" si="129"/>
        <v>350</v>
      </c>
      <c r="AR72" s="5">
        <f t="shared" si="160"/>
        <v>2.8571428571428572</v>
      </c>
      <c r="AS72" s="5">
        <f t="shared" si="130"/>
        <v>1.0472469577306924</v>
      </c>
      <c r="AT72" s="5">
        <f t="shared" si="161"/>
        <v>1.8098958994121648</v>
      </c>
      <c r="AU72" s="177">
        <f t="shared" si="162"/>
        <v>0.36653643520574236</v>
      </c>
      <c r="AW72" s="5">
        <f t="shared" si="131"/>
        <v>0.10724833101420155</v>
      </c>
      <c r="AX72" s="5">
        <f t="shared" si="132"/>
        <v>0.92315663688412597</v>
      </c>
      <c r="AY72" s="5">
        <f t="shared" si="133"/>
        <v>2.7494601245163159</v>
      </c>
      <c r="AZ72" s="5">
        <f t="shared" si="134"/>
        <v>2.7708215317368072</v>
      </c>
      <c r="BA72" s="5">
        <f t="shared" si="135"/>
        <v>0.25730966008232353</v>
      </c>
      <c r="BB72" s="469">
        <f t="shared" si="136"/>
        <v>31.388964765434388</v>
      </c>
      <c r="BC72" s="5"/>
      <c r="BD72" s="177">
        <f t="shared" si="163"/>
        <v>0.29284448050259648</v>
      </c>
      <c r="BE72" s="177">
        <f t="shared" si="137"/>
        <v>4797.1081483229518</v>
      </c>
      <c r="BF72" s="177">
        <f t="shared" si="138"/>
        <v>23685.96464476085</v>
      </c>
      <c r="BG72" s="177"/>
      <c r="BH72" s="538">
        <f t="shared" si="139"/>
        <v>3.001526141629246E-2</v>
      </c>
      <c r="BI72" s="538">
        <f t="shared" si="140"/>
        <v>1019.573259990231</v>
      </c>
      <c r="BJ72" s="538">
        <f t="shared" si="141"/>
        <v>4.3749999999999995E-3</v>
      </c>
      <c r="BK72" s="538">
        <f t="shared" si="142"/>
        <v>8462927.8085788898</v>
      </c>
      <c r="BL72">
        <f t="shared" si="143"/>
        <v>6.96E-3</v>
      </c>
      <c r="BM72">
        <f t="shared" si="144"/>
        <v>1.6625000000000001E-5</v>
      </c>
      <c r="BN72">
        <f t="shared" si="145"/>
        <v>8511080.2211971786</v>
      </c>
      <c r="BO72" s="469">
        <f t="shared" si="164"/>
        <v>8511080221.1971788</v>
      </c>
      <c r="BP72" s="177">
        <f t="shared" si="146"/>
        <v>17581356.411439233</v>
      </c>
      <c r="BQ72" s="177">
        <f t="shared" si="147"/>
        <v>428623039.85676318</v>
      </c>
      <c r="BR72" s="538"/>
      <c r="BT72" s="469">
        <f t="shared" si="165"/>
        <v>446204396268.20245</v>
      </c>
      <c r="BU72" s="538">
        <f t="shared" si="148"/>
        <v>8.5757889760835603E-3</v>
      </c>
      <c r="BV72" s="538">
        <f t="shared" si="149"/>
        <v>690367.39760119375</v>
      </c>
      <c r="BW72" s="538">
        <f t="shared" si="150"/>
        <v>28051246.057643052</v>
      </c>
      <c r="BX72" s="538">
        <f t="shared" si="151"/>
        <v>0</v>
      </c>
      <c r="BY72" s="538">
        <f t="shared" si="152"/>
        <v>-14.000006088735287</v>
      </c>
      <c r="BZ72" s="538">
        <f t="shared" si="166"/>
        <v>28741613.463820037</v>
      </c>
      <c r="CA72" s="641">
        <f t="shared" si="153"/>
        <v>1.2283333333333337E-2</v>
      </c>
      <c r="CB72" s="469">
        <f t="shared" si="167"/>
        <v>-13987.722755401954</v>
      </c>
      <c r="CC72" s="177">
        <f t="shared" si="168"/>
        <v>454715462.50167686</v>
      </c>
      <c r="CD72" s="5">
        <f t="shared" si="169"/>
        <v>3.6850000000000005</v>
      </c>
      <c r="CE72" s="177">
        <f t="shared" si="170"/>
        <v>8.103968908080151E-9</v>
      </c>
      <c r="CF72" s="5">
        <f t="shared" si="171"/>
        <v>8.1039689080801506E-7</v>
      </c>
      <c r="CG72">
        <f t="shared" si="172"/>
        <v>67</v>
      </c>
      <c r="CI72" s="571">
        <f t="shared" si="154"/>
        <v>-50</v>
      </c>
      <c r="CJ72">
        <f t="shared" si="155"/>
        <v>-50</v>
      </c>
    </row>
    <row r="73" spans="5:88" x14ac:dyDescent="0.25">
      <c r="E73" s="174">
        <v>68</v>
      </c>
      <c r="F73" s="221">
        <f t="shared" si="173"/>
        <v>6.8000000000000005E-2</v>
      </c>
      <c r="G73" s="221">
        <f t="shared" si="156"/>
        <v>0.34</v>
      </c>
      <c r="H73" s="221">
        <f t="shared" si="105"/>
        <v>1.02</v>
      </c>
      <c r="I73" s="221">
        <f t="shared" si="174"/>
        <v>2.72</v>
      </c>
      <c r="J73" s="551">
        <f t="shared" si="106"/>
        <v>24</v>
      </c>
      <c r="K73" s="451">
        <f t="shared" si="107"/>
        <v>695386.58000000007</v>
      </c>
      <c r="L73" s="451">
        <f t="shared" si="108"/>
        <v>695410.58000000007</v>
      </c>
      <c r="M73" s="451"/>
      <c r="N73" s="221">
        <f t="shared" si="109"/>
        <v>0.99996548801428931</v>
      </c>
      <c r="O73" s="176">
        <f t="shared" si="157"/>
        <v>2.2090146689770211</v>
      </c>
      <c r="P73" s="176">
        <f t="shared" si="110"/>
        <v>5.8907057839387225</v>
      </c>
      <c r="Q73" s="221">
        <f t="shared" si="111"/>
        <v>0.14726764459846808</v>
      </c>
      <c r="R73" s="221">
        <f t="shared" si="112"/>
        <v>0.27612683362212764</v>
      </c>
      <c r="S73" s="451">
        <f t="shared" si="113"/>
        <v>15</v>
      </c>
      <c r="T73" s="221">
        <f t="shared" si="114"/>
        <v>0.3463082480816056</v>
      </c>
      <c r="U73" s="221">
        <f t="shared" si="115"/>
        <v>0.43288531010200704</v>
      </c>
      <c r="V73" s="221">
        <f t="shared" si="116"/>
        <v>1.4940247254193729E-5</v>
      </c>
      <c r="W73" s="201">
        <f t="shared" si="117"/>
        <v>350</v>
      </c>
      <c r="X73" s="451">
        <f t="shared" si="158"/>
        <v>350</v>
      </c>
      <c r="Z73" s="221">
        <f t="shared" si="118"/>
        <v>2.2856354011755182</v>
      </c>
      <c r="AA73" s="177">
        <f t="shared" si="119"/>
        <v>9.8605673459021225E-5</v>
      </c>
      <c r="AB73" s="177">
        <f t="shared" si="120"/>
        <v>0.4914588143407696</v>
      </c>
      <c r="AC73" s="177"/>
      <c r="AD73" s="177">
        <f t="shared" si="121"/>
        <v>6.4712206554230591E-6</v>
      </c>
      <c r="AE73" s="555">
        <f t="shared" si="122"/>
        <v>11244.009876543214</v>
      </c>
      <c r="AF73" s="538">
        <f t="shared" si="123"/>
        <v>2.1166825946720815E-3</v>
      </c>
      <c r="AH73" s="177">
        <f t="shared" si="124"/>
        <v>0.84402663013731527</v>
      </c>
      <c r="AI73" s="177">
        <f t="shared" si="125"/>
        <v>0.84402663013731527</v>
      </c>
      <c r="AJ73" s="177">
        <f t="shared" si="126"/>
        <v>1.7140938001017147</v>
      </c>
      <c r="AL73" s="555">
        <f t="shared" si="127"/>
        <v>68</v>
      </c>
      <c r="AM73" s="469">
        <f t="shared" si="128"/>
        <v>350</v>
      </c>
      <c r="AO73">
        <f t="shared" si="159"/>
        <v>68</v>
      </c>
      <c r="AP73">
        <f t="shared" si="129"/>
        <v>350</v>
      </c>
      <c r="AR73" s="5">
        <f t="shared" si="160"/>
        <v>2.8571428571428572</v>
      </c>
      <c r="AS73" s="5">
        <f t="shared" si="130"/>
        <v>1.0550332876716442</v>
      </c>
      <c r="AT73" s="5">
        <f t="shared" si="161"/>
        <v>1.802109569471213</v>
      </c>
      <c r="AU73" s="177">
        <f t="shared" si="162"/>
        <v>0.36926165068507544</v>
      </c>
      <c r="AW73" s="5">
        <f t="shared" si="131"/>
        <v>0.10724833101420155</v>
      </c>
      <c r="AX73" s="5">
        <f t="shared" si="132"/>
        <v>0.94787442391450161</v>
      </c>
      <c r="AY73" s="5">
        <f t="shared" si="133"/>
        <v>2.7494601245163159</v>
      </c>
      <c r="AZ73" s="5">
        <f t="shared" si="134"/>
        <v>2.8440006154490978</v>
      </c>
      <c r="BA73" s="5">
        <f t="shared" si="135"/>
        <v>0.26002661226166418</v>
      </c>
      <c r="BB73" s="469">
        <f t="shared" si="136"/>
        <v>31.722637915844157</v>
      </c>
      <c r="BC73" s="5"/>
      <c r="BD73" s="177">
        <f t="shared" si="163"/>
        <v>0.2961165122001792</v>
      </c>
      <c r="BE73" s="177">
        <f t="shared" si="137"/>
        <v>4822.3681568768216</v>
      </c>
      <c r="BF73" s="177">
        <f t="shared" si="138"/>
        <v>23810.687217409646</v>
      </c>
      <c r="BG73" s="177"/>
      <c r="BH73" s="538">
        <f t="shared" si="139"/>
        <v>3.0689746079159606E-2</v>
      </c>
      <c r="BI73" s="538">
        <f t="shared" si="140"/>
        <v>1027.1538346986629</v>
      </c>
      <c r="BJ73" s="538">
        <f t="shared" si="141"/>
        <v>4.3749999999999995E-3</v>
      </c>
      <c r="BK73" s="538">
        <f t="shared" si="142"/>
        <v>8462927.8085788898</v>
      </c>
      <c r="BL73">
        <f t="shared" si="143"/>
        <v>6.96E-3</v>
      </c>
      <c r="BM73">
        <f t="shared" si="144"/>
        <v>1.6625000000000001E-5</v>
      </c>
      <c r="BN73">
        <f t="shared" si="145"/>
        <v>8512153.0164029095</v>
      </c>
      <c r="BO73" s="469">
        <f t="shared" si="164"/>
        <v>8512153016.4029093</v>
      </c>
      <c r="BP73" s="177">
        <f t="shared" si="146"/>
        <v>17766999.284793094</v>
      </c>
      <c r="BQ73" s="177">
        <f t="shared" si="147"/>
        <v>433148902.98211068</v>
      </c>
      <c r="BR73" s="538"/>
      <c r="BT73" s="469">
        <f t="shared" si="165"/>
        <v>450915902266.90375</v>
      </c>
      <c r="BU73" s="538">
        <f t="shared" si="148"/>
        <v>8.7684988797598878E-3</v>
      </c>
      <c r="BV73" s="538">
        <f t="shared" si="149"/>
        <v>697657.0392137866</v>
      </c>
      <c r="BW73" s="538">
        <f t="shared" si="150"/>
        <v>28347441.288265761</v>
      </c>
      <c r="BX73" s="538">
        <f t="shared" si="151"/>
        <v>0</v>
      </c>
      <c r="BY73" s="538">
        <f t="shared" si="152"/>
        <v>-14.000006025115608</v>
      </c>
      <c r="BZ73" s="538">
        <f t="shared" si="166"/>
        <v>29045098.336248048</v>
      </c>
      <c r="CA73" s="641">
        <f t="shared" si="153"/>
        <v>1.2466666666666668E-2</v>
      </c>
      <c r="CB73" s="469">
        <f t="shared" si="167"/>
        <v>-13987.539358448941</v>
      </c>
      <c r="CC73" s="177">
        <f t="shared" si="168"/>
        <v>459428041.29576731</v>
      </c>
      <c r="CD73" s="5">
        <f t="shared" si="169"/>
        <v>3.74</v>
      </c>
      <c r="CE73" s="177">
        <f t="shared" si="170"/>
        <v>8.1405565907689299E-9</v>
      </c>
      <c r="CF73" s="5">
        <f t="shared" si="171"/>
        <v>8.1405565907689296E-7</v>
      </c>
      <c r="CG73">
        <f t="shared" si="172"/>
        <v>68</v>
      </c>
      <c r="CI73" s="571">
        <f t="shared" si="154"/>
        <v>-50</v>
      </c>
      <c r="CJ73">
        <f t="shared" si="155"/>
        <v>-50</v>
      </c>
    </row>
    <row r="74" spans="5:88" x14ac:dyDescent="0.25">
      <c r="E74" s="174">
        <v>69</v>
      </c>
      <c r="F74" s="221">
        <f t="shared" si="173"/>
        <v>6.8999999999999992E-2</v>
      </c>
      <c r="G74" s="221">
        <f t="shared" si="156"/>
        <v>0.34499999999999997</v>
      </c>
      <c r="H74" s="221">
        <f t="shared" si="105"/>
        <v>1.0349999999999999</v>
      </c>
      <c r="I74" s="221">
        <f t="shared" si="174"/>
        <v>2.76</v>
      </c>
      <c r="J74" s="551">
        <f t="shared" si="106"/>
        <v>24</v>
      </c>
      <c r="K74" s="451">
        <f t="shared" si="107"/>
        <v>695386.58000000007</v>
      </c>
      <c r="L74" s="451">
        <f t="shared" si="108"/>
        <v>695410.58000000007</v>
      </c>
      <c r="M74" s="451"/>
      <c r="N74" s="221">
        <f t="shared" si="109"/>
        <v>0.99996548801428931</v>
      </c>
      <c r="O74" s="176">
        <f t="shared" si="157"/>
        <v>2.2090146689770211</v>
      </c>
      <c r="P74" s="176">
        <f t="shared" si="110"/>
        <v>5.8907057839387225</v>
      </c>
      <c r="Q74" s="221">
        <f t="shared" si="111"/>
        <v>0.14726764459846808</v>
      </c>
      <c r="R74" s="221">
        <f t="shared" si="112"/>
        <v>0.27612683362212764</v>
      </c>
      <c r="S74" s="451">
        <f t="shared" si="113"/>
        <v>15</v>
      </c>
      <c r="T74" s="221">
        <f t="shared" si="114"/>
        <v>0.35140101643574684</v>
      </c>
      <c r="U74" s="221">
        <f t="shared" si="115"/>
        <v>0.43925127054468355</v>
      </c>
      <c r="V74" s="221">
        <f t="shared" si="116"/>
        <v>1.5159956772637754E-5</v>
      </c>
      <c r="W74" s="201">
        <f t="shared" si="117"/>
        <v>350</v>
      </c>
      <c r="X74" s="451">
        <f t="shared" si="158"/>
        <v>350</v>
      </c>
      <c r="Z74" s="221">
        <f t="shared" si="118"/>
        <v>2.2856354011755182</v>
      </c>
      <c r="AA74" s="177">
        <f t="shared" si="119"/>
        <v>9.8605673459021225E-5</v>
      </c>
      <c r="AB74" s="177">
        <f t="shared" si="120"/>
        <v>0.4914588143407696</v>
      </c>
      <c r="AC74" s="177"/>
      <c r="AD74" s="177">
        <f t="shared" si="121"/>
        <v>6.4712206554230591E-6</v>
      </c>
      <c r="AE74" s="555">
        <f t="shared" si="122"/>
        <v>11409.362962962965</v>
      </c>
      <c r="AF74" s="538">
        <f t="shared" si="123"/>
        <v>2.1166825946720815E-3</v>
      </c>
      <c r="AH74" s="177">
        <f t="shared" si="124"/>
        <v>0.85021005807808625</v>
      </c>
      <c r="AI74" s="177">
        <f t="shared" si="125"/>
        <v>0.85021005807808625</v>
      </c>
      <c r="AJ74" s="177">
        <f t="shared" si="126"/>
        <v>1.7186741170948787</v>
      </c>
      <c r="AL74" s="555">
        <f t="shared" si="127"/>
        <v>68.999999999999986</v>
      </c>
      <c r="AM74" s="469">
        <f t="shared" si="128"/>
        <v>350</v>
      </c>
      <c r="AO74">
        <f t="shared" si="159"/>
        <v>68.999999999999986</v>
      </c>
      <c r="AP74">
        <f t="shared" si="129"/>
        <v>350</v>
      </c>
      <c r="AR74" s="5">
        <f t="shared" si="160"/>
        <v>2.8571428571428572</v>
      </c>
      <c r="AS74" s="5">
        <f t="shared" si="130"/>
        <v>1.0627625725976078</v>
      </c>
      <c r="AT74" s="5">
        <f t="shared" si="161"/>
        <v>1.7943802845452494</v>
      </c>
      <c r="AU74" s="177">
        <f t="shared" si="162"/>
        <v>0.37196690040916269</v>
      </c>
      <c r="AW74" s="5">
        <f t="shared" si="131"/>
        <v>0.10724833101420155</v>
      </c>
      <c r="AX74" s="5">
        <f t="shared" si="132"/>
        <v>0.97291395593791985</v>
      </c>
      <c r="AY74" s="5">
        <f t="shared" si="133"/>
        <v>2.7494601245163159</v>
      </c>
      <c r="AZ74" s="5">
        <f t="shared" si="134"/>
        <v>2.9181156855867538</v>
      </c>
      <c r="BA74" s="5">
        <f t="shared" si="135"/>
        <v>0.26271887267936811</v>
      </c>
      <c r="BB74" s="469">
        <f t="shared" si="136"/>
        <v>32.053348054857501</v>
      </c>
      <c r="BC74" s="5"/>
      <c r="BD74" s="177">
        <f t="shared" si="163"/>
        <v>0.29937653596944586</v>
      </c>
      <c r="BE74" s="177">
        <f t="shared" si="137"/>
        <v>4847.2687577455508</v>
      </c>
      <c r="BF74" s="177">
        <f t="shared" si="138"/>
        <v>23933.635196394902</v>
      </c>
      <c r="BG74" s="177"/>
      <c r="BH74" s="538">
        <f t="shared" si="139"/>
        <v>3.1369208601172718E-2</v>
      </c>
      <c r="BI74" s="538">
        <f t="shared" si="140"/>
        <v>1034.6788718173525</v>
      </c>
      <c r="BJ74" s="538">
        <f t="shared" si="141"/>
        <v>4.3749999999999995E-3</v>
      </c>
      <c r="BK74" s="538">
        <f t="shared" si="142"/>
        <v>8462927.8085788898</v>
      </c>
      <c r="BL74">
        <f t="shared" si="143"/>
        <v>6.96E-3</v>
      </c>
      <c r="BM74">
        <f t="shared" si="144"/>
        <v>1.6625000000000001E-5</v>
      </c>
      <c r="BN74">
        <f t="shared" si="145"/>
        <v>8513233.8884995244</v>
      </c>
      <c r="BO74" s="469">
        <f t="shared" si="164"/>
        <v>8513233888.4995241</v>
      </c>
      <c r="BP74" s="177">
        <f t="shared" si="146"/>
        <v>17950955.02886799</v>
      </c>
      <c r="BQ74" s="177">
        <f t="shared" si="147"/>
        <v>437633634.89642459</v>
      </c>
      <c r="BR74" s="538"/>
      <c r="BT74" s="469">
        <f t="shared" si="165"/>
        <v>455584589925.2926</v>
      </c>
      <c r="BU74" s="538">
        <f t="shared" si="148"/>
        <v>8.9626310289064922E-3</v>
      </c>
      <c r="BV74" s="538">
        <f t="shared" si="149"/>
        <v>704880.43229448283</v>
      </c>
      <c r="BW74" s="538">
        <f t="shared" si="150"/>
        <v>28640944.685705647</v>
      </c>
      <c r="BX74" s="538">
        <f t="shared" si="151"/>
        <v>0</v>
      </c>
      <c r="BY74" s="538">
        <f t="shared" si="152"/>
        <v>-14.000005963372095</v>
      </c>
      <c r="BZ74" s="538">
        <f t="shared" si="166"/>
        <v>29345825.126962762</v>
      </c>
      <c r="CA74" s="641">
        <f t="shared" si="153"/>
        <v>1.265E-2</v>
      </c>
      <c r="CB74" s="469">
        <f t="shared" si="167"/>
        <v>-13987.355963372094</v>
      </c>
      <c r="CC74" s="177">
        <f t="shared" si="168"/>
        <v>464097809.82643616</v>
      </c>
      <c r="CD74" s="5">
        <f t="shared" si="169"/>
        <v>3.7949999999999999</v>
      </c>
      <c r="CE74" s="177">
        <f t="shared" si="170"/>
        <v>8.1771555232871122E-9</v>
      </c>
      <c r="CF74" s="5">
        <f t="shared" si="171"/>
        <v>8.1771555232871126E-7</v>
      </c>
      <c r="CG74">
        <f t="shared" si="172"/>
        <v>68.999999999999986</v>
      </c>
      <c r="CI74" s="571">
        <f t="shared" si="154"/>
        <v>-50</v>
      </c>
      <c r="CJ74">
        <f t="shared" si="155"/>
        <v>-50</v>
      </c>
    </row>
    <row r="75" spans="5:88" x14ac:dyDescent="0.25">
      <c r="E75" s="174">
        <v>70</v>
      </c>
      <c r="F75" s="221">
        <f t="shared" si="173"/>
        <v>6.9999999999999993E-2</v>
      </c>
      <c r="G75" s="221">
        <f t="shared" si="156"/>
        <v>0.35</v>
      </c>
      <c r="H75" s="221">
        <f t="shared" si="105"/>
        <v>1.0499999999999998</v>
      </c>
      <c r="I75" s="221">
        <f t="shared" si="174"/>
        <v>2.8</v>
      </c>
      <c r="J75" s="551">
        <f t="shared" si="106"/>
        <v>24</v>
      </c>
      <c r="K75" s="451">
        <f t="shared" si="107"/>
        <v>695386.58000000007</v>
      </c>
      <c r="L75" s="451">
        <f t="shared" si="108"/>
        <v>695410.58000000007</v>
      </c>
      <c r="M75" s="451"/>
      <c r="N75" s="221">
        <f t="shared" si="109"/>
        <v>0.99996548801428931</v>
      </c>
      <c r="O75" s="176">
        <f t="shared" si="157"/>
        <v>2.2090146689770211</v>
      </c>
      <c r="P75" s="176">
        <f t="shared" si="110"/>
        <v>5.8907057839387225</v>
      </c>
      <c r="Q75" s="221">
        <f t="shared" si="111"/>
        <v>0.14726764459846808</v>
      </c>
      <c r="R75" s="221">
        <f t="shared" si="112"/>
        <v>0.27612683362212764</v>
      </c>
      <c r="S75" s="451">
        <f t="shared" si="113"/>
        <v>15</v>
      </c>
      <c r="T75" s="221">
        <f t="shared" si="114"/>
        <v>0.35649378478988808</v>
      </c>
      <c r="U75" s="221">
        <f t="shared" si="115"/>
        <v>0.44561723098736011</v>
      </c>
      <c r="V75" s="221">
        <f t="shared" si="116"/>
        <v>1.5379666291081776E-5</v>
      </c>
      <c r="W75" s="201">
        <f t="shared" si="117"/>
        <v>350</v>
      </c>
      <c r="X75" s="451">
        <f t="shared" si="158"/>
        <v>350</v>
      </c>
      <c r="Z75" s="221">
        <f t="shared" si="118"/>
        <v>2.2856354011755182</v>
      </c>
      <c r="AA75" s="177">
        <f t="shared" si="119"/>
        <v>9.8605673459021225E-5</v>
      </c>
      <c r="AB75" s="177">
        <f t="shared" si="120"/>
        <v>0.4914588143407696</v>
      </c>
      <c r="AC75" s="177"/>
      <c r="AD75" s="177">
        <f t="shared" si="121"/>
        <v>6.4712206554230591E-6</v>
      </c>
      <c r="AE75" s="555">
        <f t="shared" si="122"/>
        <v>11574.716049382718</v>
      </c>
      <c r="AF75" s="538">
        <f t="shared" si="123"/>
        <v>2.1166825946720815E-3</v>
      </c>
      <c r="AH75" s="177">
        <f t="shared" si="124"/>
        <v>0.85634883857767519</v>
      </c>
      <c r="AI75" s="177">
        <f t="shared" si="125"/>
        <v>0.85634883857767519</v>
      </c>
      <c r="AJ75" s="177">
        <f t="shared" si="126"/>
        <v>1.7232213619093888</v>
      </c>
      <c r="AL75" s="555">
        <f t="shared" si="127"/>
        <v>69.999999999999986</v>
      </c>
      <c r="AM75" s="469">
        <f t="shared" si="128"/>
        <v>350</v>
      </c>
      <c r="AO75">
        <f t="shared" si="159"/>
        <v>69.999999999999986</v>
      </c>
      <c r="AP75">
        <f t="shared" si="129"/>
        <v>350</v>
      </c>
      <c r="AR75" s="5">
        <f t="shared" si="160"/>
        <v>2.8571428571428572</v>
      </c>
      <c r="AS75" s="5">
        <f t="shared" si="130"/>
        <v>1.070436048222094</v>
      </c>
      <c r="AT75" s="5">
        <f t="shared" si="161"/>
        <v>1.7867068089207632</v>
      </c>
      <c r="AU75" s="177">
        <f t="shared" si="162"/>
        <v>0.37465261687773288</v>
      </c>
      <c r="AW75" s="5">
        <f t="shared" si="131"/>
        <v>0.10724833101420155</v>
      </c>
      <c r="AX75" s="5">
        <f t="shared" si="132"/>
        <v>0.99827523295438081</v>
      </c>
      <c r="AY75" s="5">
        <f t="shared" si="133"/>
        <v>2.7494601245163159</v>
      </c>
      <c r="AZ75" s="5">
        <f t="shared" si="134"/>
        <v>2.9931667421497785</v>
      </c>
      <c r="BA75" s="5">
        <f t="shared" si="135"/>
        <v>0.26538662092380155</v>
      </c>
      <c r="BB75" s="469">
        <f t="shared" si="136"/>
        <v>32.381116733078414</v>
      </c>
      <c r="BC75" s="5"/>
      <c r="BD75" s="177">
        <f t="shared" si="163"/>
        <v>0.30262476896700757</v>
      </c>
      <c r="BE75" s="177">
        <f t="shared" si="137"/>
        <v>4871.8171102877104</v>
      </c>
      <c r="BF75" s="177">
        <f t="shared" si="138"/>
        <v>24054.843931412484</v>
      </c>
      <c r="BG75" s="177"/>
      <c r="BH75" s="538">
        <f t="shared" si="139"/>
        <v>3.205361277731715E-2</v>
      </c>
      <c r="BI75" s="538">
        <f t="shared" si="140"/>
        <v>1042.1495744058482</v>
      </c>
      <c r="BJ75" s="538">
        <f t="shared" si="141"/>
        <v>4.3749999999999995E-3</v>
      </c>
      <c r="BK75" s="538">
        <f t="shared" si="142"/>
        <v>8462927.8085788898</v>
      </c>
      <c r="BL75">
        <f t="shared" si="143"/>
        <v>6.96E-3</v>
      </c>
      <c r="BM75">
        <f t="shared" si="144"/>
        <v>1.6625000000000001E-5</v>
      </c>
      <c r="BN75">
        <f t="shared" si="145"/>
        <v>8514322.7875360865</v>
      </c>
      <c r="BO75" s="469">
        <f t="shared" si="164"/>
        <v>8514322787.5360861</v>
      </c>
      <c r="BP75" s="177">
        <f t="shared" si="146"/>
        <v>18133235.91450936</v>
      </c>
      <c r="BQ75" s="177">
        <f t="shared" si="147"/>
        <v>442077534.75563848</v>
      </c>
      <c r="BR75" s="538"/>
      <c r="BT75" s="469">
        <f t="shared" si="165"/>
        <v>460210770670.14783</v>
      </c>
      <c r="BU75" s="538">
        <f t="shared" si="148"/>
        <v>9.1581750792334715E-3</v>
      </c>
      <c r="BV75" s="538">
        <f t="shared" si="149"/>
        <v>712038.0586827629</v>
      </c>
      <c r="BW75" s="538">
        <f t="shared" si="150"/>
        <v>28931775.828230605</v>
      </c>
      <c r="BX75" s="538">
        <f t="shared" si="151"/>
        <v>0</v>
      </c>
      <c r="BY75" s="538">
        <f t="shared" si="152"/>
        <v>-14.000005903426409</v>
      </c>
      <c r="BZ75" s="538">
        <f t="shared" si="166"/>
        <v>29643813.896071542</v>
      </c>
      <c r="CA75" s="641">
        <f t="shared" si="153"/>
        <v>1.2833333333333334E-2</v>
      </c>
      <c r="CB75" s="469">
        <f t="shared" si="167"/>
        <v>-13987.172570093077</v>
      </c>
      <c r="CC75" s="177">
        <f t="shared" si="168"/>
        <v>468725079.47051138</v>
      </c>
      <c r="CD75" s="5">
        <f t="shared" si="169"/>
        <v>3.8499999999999996</v>
      </c>
      <c r="CE75" s="177">
        <f t="shared" si="170"/>
        <v>8.2137699410624295E-9</v>
      </c>
      <c r="CF75" s="5">
        <f t="shared" si="171"/>
        <v>8.2137699410624299E-7</v>
      </c>
      <c r="CG75">
        <f t="shared" si="172"/>
        <v>69.999999999999986</v>
      </c>
      <c r="CI75" s="571">
        <f t="shared" si="154"/>
        <v>-50</v>
      </c>
      <c r="CJ75">
        <f t="shared" si="155"/>
        <v>-50</v>
      </c>
    </row>
    <row r="76" spans="5:88" x14ac:dyDescent="0.25">
      <c r="E76" s="174">
        <v>71</v>
      </c>
      <c r="F76" s="221">
        <f t="shared" si="173"/>
        <v>7.0999999999999994E-2</v>
      </c>
      <c r="G76" s="221">
        <f t="shared" si="156"/>
        <v>0.35499999999999998</v>
      </c>
      <c r="H76" s="221">
        <f t="shared" si="105"/>
        <v>1.0649999999999999</v>
      </c>
      <c r="I76" s="221">
        <f t="shared" si="174"/>
        <v>2.84</v>
      </c>
      <c r="J76" s="551">
        <f t="shared" si="106"/>
        <v>24</v>
      </c>
      <c r="K76" s="451">
        <f t="shared" si="107"/>
        <v>695386.58000000007</v>
      </c>
      <c r="L76" s="451">
        <f t="shared" si="108"/>
        <v>695410.58000000007</v>
      </c>
      <c r="M76" s="451"/>
      <c r="N76" s="221">
        <f t="shared" si="109"/>
        <v>0.99996548801428931</v>
      </c>
      <c r="O76" s="176">
        <f t="shared" si="157"/>
        <v>2.2090146689770211</v>
      </c>
      <c r="P76" s="176">
        <f t="shared" si="110"/>
        <v>5.8907057839387225</v>
      </c>
      <c r="Q76" s="221">
        <f t="shared" si="111"/>
        <v>0.14726764459846808</v>
      </c>
      <c r="R76" s="221">
        <f t="shared" si="112"/>
        <v>0.27612683362212764</v>
      </c>
      <c r="S76" s="451">
        <f t="shared" si="113"/>
        <v>15</v>
      </c>
      <c r="T76" s="221">
        <f t="shared" si="114"/>
        <v>0.36158655314402932</v>
      </c>
      <c r="U76" s="221">
        <f t="shared" si="115"/>
        <v>0.45198319143003662</v>
      </c>
      <c r="V76" s="221">
        <f t="shared" si="116"/>
        <v>1.55993758095258E-5</v>
      </c>
      <c r="W76" s="201">
        <f t="shared" si="117"/>
        <v>350</v>
      </c>
      <c r="X76" s="451">
        <f t="shared" si="158"/>
        <v>350</v>
      </c>
      <c r="Z76" s="221">
        <f t="shared" si="118"/>
        <v>2.2856354011755182</v>
      </c>
      <c r="AA76" s="177">
        <f t="shared" si="119"/>
        <v>9.8605673459021225E-5</v>
      </c>
      <c r="AB76" s="177">
        <f t="shared" si="120"/>
        <v>0.4914588143407696</v>
      </c>
      <c r="AC76" s="177"/>
      <c r="AD76" s="177">
        <f t="shared" si="121"/>
        <v>6.4712206554230591E-6</v>
      </c>
      <c r="AE76" s="555">
        <f t="shared" si="122"/>
        <v>11740.069135802471</v>
      </c>
      <c r="AF76" s="538">
        <f t="shared" si="123"/>
        <v>2.1166825946720815E-3</v>
      </c>
      <c r="AH76" s="177">
        <f t="shared" si="124"/>
        <v>0.8624439250232584</v>
      </c>
      <c r="AI76" s="177">
        <f t="shared" si="125"/>
        <v>0.8624439250232584</v>
      </c>
      <c r="AJ76" s="177">
        <f t="shared" si="126"/>
        <v>1.7277362407579691</v>
      </c>
      <c r="AL76" s="555">
        <f t="shared" si="127"/>
        <v>71</v>
      </c>
      <c r="AM76" s="469">
        <f t="shared" si="128"/>
        <v>350</v>
      </c>
      <c r="AO76">
        <f t="shared" si="159"/>
        <v>71</v>
      </c>
      <c r="AP76">
        <f t="shared" si="129"/>
        <v>350</v>
      </c>
      <c r="AR76" s="5">
        <f t="shared" si="160"/>
        <v>2.8571428571428572</v>
      </c>
      <c r="AS76" s="5">
        <f t="shared" si="130"/>
        <v>1.078054906279073</v>
      </c>
      <c r="AT76" s="5">
        <f t="shared" si="161"/>
        <v>1.7790879508637842</v>
      </c>
      <c r="AU76" s="177">
        <f t="shared" si="162"/>
        <v>0.37731921719767553</v>
      </c>
      <c r="AW76" s="5">
        <f t="shared" si="131"/>
        <v>0.10724833101420155</v>
      </c>
      <c r="AX76" s="5">
        <f t="shared" si="132"/>
        <v>1.0239582549638846</v>
      </c>
      <c r="AY76" s="5">
        <f t="shared" si="133"/>
        <v>2.7494601245163159</v>
      </c>
      <c r="AZ76" s="5">
        <f t="shared" si="134"/>
        <v>3.0691537851381701</v>
      </c>
      <c r="BA76" s="5">
        <f t="shared" si="135"/>
        <v>0.26803003272079767</v>
      </c>
      <c r="BB76" s="469">
        <f t="shared" si="136"/>
        <v>32.705965037606838</v>
      </c>
      <c r="BC76" s="5"/>
      <c r="BD76" s="177">
        <f t="shared" si="163"/>
        <v>0.30586142138120076</v>
      </c>
      <c r="BE76" s="177">
        <f t="shared" si="137"/>
        <v>4896.0201179286023</v>
      </c>
      <c r="BF76" s="177">
        <f t="shared" si="138"/>
        <v>24174.347508474726</v>
      </c>
      <c r="BG76" s="177"/>
      <c r="BH76" s="538">
        <f t="shared" si="139"/>
        <v>3.2742923181264962E-2</v>
      </c>
      <c r="BI76" s="538">
        <f t="shared" si="140"/>
        <v>1049.5671027063263</v>
      </c>
      <c r="BJ76" s="538">
        <f t="shared" si="141"/>
        <v>4.3749999999999995E-3</v>
      </c>
      <c r="BK76" s="538">
        <f t="shared" si="142"/>
        <v>8462927.8085788898</v>
      </c>
      <c r="BL76">
        <f t="shared" si="143"/>
        <v>6.96E-3</v>
      </c>
      <c r="BM76">
        <f t="shared" si="144"/>
        <v>1.6625000000000001E-5</v>
      </c>
      <c r="BN76">
        <f t="shared" si="145"/>
        <v>8515419.664739145</v>
      </c>
      <c r="BO76" s="469">
        <f t="shared" si="164"/>
        <v>8515419664.7391453</v>
      </c>
      <c r="BP76" s="177">
        <f t="shared" si="146"/>
        <v>18313853.948644962</v>
      </c>
      <c r="BQ76" s="177">
        <f t="shared" si="147"/>
        <v>446480895.28152806</v>
      </c>
      <c r="BR76" s="538"/>
      <c r="BT76" s="469">
        <f t="shared" si="165"/>
        <v>464794749230.17297</v>
      </c>
      <c r="BU76" s="538">
        <f t="shared" si="148"/>
        <v>9.3551209089328454E-3</v>
      </c>
      <c r="BV76" s="538">
        <f t="shared" si="149"/>
        <v>719130.38985484815</v>
      </c>
      <c r="BW76" s="538">
        <f t="shared" si="150"/>
        <v>29219953.873024911</v>
      </c>
      <c r="BX76" s="538">
        <f t="shared" si="151"/>
        <v>0</v>
      </c>
      <c r="BY76" s="538">
        <f t="shared" si="152"/>
        <v>-14.000005845204599</v>
      </c>
      <c r="BZ76" s="538">
        <f t="shared" si="166"/>
        <v>29939084.272234879</v>
      </c>
      <c r="CA76" s="641">
        <f t="shared" si="153"/>
        <v>1.3016666666666666E-2</v>
      </c>
      <c r="CB76" s="469">
        <f t="shared" si="167"/>
        <v>-13986.989178537933</v>
      </c>
      <c r="CC76" s="177">
        <f t="shared" si="168"/>
        <v>473310154.90792298</v>
      </c>
      <c r="CD76" s="5">
        <f t="shared" si="169"/>
        <v>3.9049999999999998</v>
      </c>
      <c r="CE76" s="177">
        <f t="shared" si="170"/>
        <v>8.2504039418757993E-9</v>
      </c>
      <c r="CF76" s="5">
        <f t="shared" si="171"/>
        <v>8.2504039418757993E-7</v>
      </c>
      <c r="CG76">
        <f t="shared" si="172"/>
        <v>70.999999999999986</v>
      </c>
      <c r="CI76" s="571">
        <f t="shared" si="154"/>
        <v>-50</v>
      </c>
      <c r="CJ76">
        <f t="shared" si="155"/>
        <v>-50</v>
      </c>
    </row>
    <row r="77" spans="5:88" x14ac:dyDescent="0.25">
      <c r="E77" s="174">
        <v>72</v>
      </c>
      <c r="F77" s="221">
        <f t="shared" si="173"/>
        <v>7.1999999999999995E-2</v>
      </c>
      <c r="G77" s="221">
        <f t="shared" si="156"/>
        <v>0.36</v>
      </c>
      <c r="H77" s="221">
        <f t="shared" si="105"/>
        <v>1.0799999999999998</v>
      </c>
      <c r="I77" s="221">
        <f t="shared" si="174"/>
        <v>2.88</v>
      </c>
      <c r="J77" s="551">
        <f t="shared" si="106"/>
        <v>24</v>
      </c>
      <c r="K77" s="451">
        <f t="shared" si="107"/>
        <v>695386.58000000007</v>
      </c>
      <c r="L77" s="451">
        <f t="shared" si="108"/>
        <v>695410.58000000007</v>
      </c>
      <c r="M77" s="451"/>
      <c r="N77" s="221">
        <f t="shared" si="109"/>
        <v>0.99996548801428931</v>
      </c>
      <c r="O77" s="176">
        <f t="shared" si="157"/>
        <v>2.2090146689770211</v>
      </c>
      <c r="P77" s="176">
        <f t="shared" si="110"/>
        <v>5.8907057839387225</v>
      </c>
      <c r="Q77" s="221">
        <f t="shared" si="111"/>
        <v>0.14726764459846808</v>
      </c>
      <c r="R77" s="221">
        <f t="shared" si="112"/>
        <v>0.27612683362212764</v>
      </c>
      <c r="S77" s="451">
        <f t="shared" si="113"/>
        <v>15</v>
      </c>
      <c r="T77" s="221">
        <f t="shared" si="114"/>
        <v>0.36667932149817062</v>
      </c>
      <c r="U77" s="221">
        <f t="shared" si="115"/>
        <v>0.4583491518727133</v>
      </c>
      <c r="V77" s="221">
        <f t="shared" si="116"/>
        <v>1.5819085327969827E-5</v>
      </c>
      <c r="W77" s="201">
        <f t="shared" si="117"/>
        <v>350</v>
      </c>
      <c r="X77" s="451">
        <f t="shared" si="158"/>
        <v>350</v>
      </c>
      <c r="Z77" s="221">
        <f t="shared" si="118"/>
        <v>2.2856354011755182</v>
      </c>
      <c r="AA77" s="177">
        <f t="shared" si="119"/>
        <v>9.8605673459021225E-5</v>
      </c>
      <c r="AB77" s="177">
        <f t="shared" si="120"/>
        <v>0.4914588143407696</v>
      </c>
      <c r="AC77" s="177"/>
      <c r="AD77" s="177">
        <f t="shared" si="121"/>
        <v>6.4712206554230591E-6</v>
      </c>
      <c r="AE77" s="555">
        <f t="shared" si="122"/>
        <v>11905.422222222223</v>
      </c>
      <c r="AF77" s="538">
        <f t="shared" si="123"/>
        <v>2.1166825946720815E-3</v>
      </c>
      <c r="AH77" s="177">
        <f t="shared" si="124"/>
        <v>0.86849623734689507</v>
      </c>
      <c r="AI77" s="177">
        <f t="shared" si="125"/>
        <v>0.86849623734689507</v>
      </c>
      <c r="AJ77" s="177">
        <f t="shared" si="126"/>
        <v>1.7322194350717739</v>
      </c>
      <c r="AL77" s="555">
        <f t="shared" si="127"/>
        <v>72</v>
      </c>
      <c r="AM77" s="469">
        <f t="shared" si="128"/>
        <v>350</v>
      </c>
      <c r="AO77">
        <f t="shared" si="159"/>
        <v>72</v>
      </c>
      <c r="AP77">
        <f t="shared" si="129"/>
        <v>350</v>
      </c>
      <c r="AR77" s="5">
        <f t="shared" si="160"/>
        <v>2.8571428571428572</v>
      </c>
      <c r="AS77" s="5">
        <f t="shared" si="130"/>
        <v>1.0856202966836188</v>
      </c>
      <c r="AT77" s="5">
        <f t="shared" si="161"/>
        <v>1.7715225604592384</v>
      </c>
      <c r="AU77" s="177">
        <f t="shared" si="162"/>
        <v>0.37996710383926657</v>
      </c>
      <c r="AW77" s="5">
        <f t="shared" si="131"/>
        <v>0.10724833101420155</v>
      </c>
      <c r="AX77" s="5">
        <f t="shared" si="132"/>
        <v>1.0499630219664309</v>
      </c>
      <c r="AY77" s="5">
        <f t="shared" si="133"/>
        <v>2.7494601245163159</v>
      </c>
      <c r="AZ77" s="5">
        <f t="shared" si="134"/>
        <v>3.1460768145519289</v>
      </c>
      <c r="BA77" s="5">
        <f t="shared" si="135"/>
        <v>0.27064928007016137</v>
      </c>
      <c r="BB77" s="469">
        <f t="shared" si="136"/>
        <v>33.027913608419375</v>
      </c>
      <c r="BC77" s="5"/>
      <c r="BD77" s="177">
        <f t="shared" si="163"/>
        <v>0.30908669675053707</v>
      </c>
      <c r="BE77" s="177">
        <f t="shared" si="137"/>
        <v>4919.8844406819981</v>
      </c>
      <c r="BF77" s="177">
        <f t="shared" si="138"/>
        <v>24292.178811737231</v>
      </c>
      <c r="BG77" s="177"/>
      <c r="BH77" s="538">
        <f t="shared" si="139"/>
        <v>3.3437105137855458E-2</v>
      </c>
      <c r="BI77" s="538">
        <f t="shared" si="140"/>
        <v>1056.9325762471385</v>
      </c>
      <c r="BJ77" s="538">
        <f t="shared" si="141"/>
        <v>4.3749999999999995E-3</v>
      </c>
      <c r="BK77" s="538">
        <f t="shared" si="142"/>
        <v>8462927.8085788898</v>
      </c>
      <c r="BL77">
        <f t="shared" si="143"/>
        <v>6.96E-3</v>
      </c>
      <c r="BM77">
        <f t="shared" si="144"/>
        <v>1.6625000000000001E-5</v>
      </c>
      <c r="BN77">
        <f t="shared" si="145"/>
        <v>8516524.4724718835</v>
      </c>
      <c r="BO77" s="469">
        <f t="shared" si="164"/>
        <v>8516524472.4718838</v>
      </c>
      <c r="BP77" s="177">
        <f t="shared" si="146"/>
        <v>18492820.883611914</v>
      </c>
      <c r="BQ77" s="177">
        <f t="shared" si="147"/>
        <v>450844002.98910105</v>
      </c>
      <c r="BR77" s="538"/>
      <c r="BT77" s="469">
        <f t="shared" si="165"/>
        <v>469336823872.71295</v>
      </c>
      <c r="BU77" s="538">
        <f t="shared" si="148"/>
        <v>9.5534586108158466E-3</v>
      </c>
      <c r="BV77" s="538">
        <f t="shared" si="149"/>
        <v>726157.88728994445</v>
      </c>
      <c r="BW77" s="538">
        <f t="shared" si="150"/>
        <v>29505497.57107076</v>
      </c>
      <c r="BX77" s="538">
        <f t="shared" si="151"/>
        <v>0</v>
      </c>
      <c r="BY77" s="538">
        <f t="shared" si="152"/>
        <v>-14.000005788636766</v>
      </c>
      <c r="BZ77" s="538">
        <f t="shared" si="166"/>
        <v>30231655.467914164</v>
      </c>
      <c r="CA77" s="641">
        <f t="shared" si="153"/>
        <v>1.3200000000000002E-2</v>
      </c>
      <c r="CB77" s="469">
        <f t="shared" si="167"/>
        <v>-13986.805788636768</v>
      </c>
      <c r="CC77" s="177">
        <f t="shared" si="168"/>
        <v>477853334.35837907</v>
      </c>
      <c r="CD77" s="5">
        <f t="shared" si="169"/>
        <v>3.96</v>
      </c>
      <c r="CE77" s="177">
        <f t="shared" si="170"/>
        <v>8.2870614945072823E-9</v>
      </c>
      <c r="CF77" s="5">
        <f t="shared" si="171"/>
        <v>8.2870614945072822E-7</v>
      </c>
      <c r="CG77">
        <f t="shared" si="172"/>
        <v>71.999999999999986</v>
      </c>
      <c r="CI77" s="571">
        <f t="shared" si="154"/>
        <v>-50</v>
      </c>
      <c r="CJ77">
        <f t="shared" si="155"/>
        <v>-50</v>
      </c>
    </row>
    <row r="78" spans="5:88" x14ac:dyDescent="0.25">
      <c r="E78" s="174">
        <v>73</v>
      </c>
      <c r="F78" s="221">
        <f t="shared" si="173"/>
        <v>7.2999999999999995E-2</v>
      </c>
      <c r="G78" s="221">
        <f t="shared" si="156"/>
        <v>0.36499999999999999</v>
      </c>
      <c r="H78" s="221">
        <f t="shared" si="105"/>
        <v>1.095</v>
      </c>
      <c r="I78" s="221">
        <f t="shared" si="174"/>
        <v>2.92</v>
      </c>
      <c r="J78" s="551">
        <f t="shared" si="106"/>
        <v>24</v>
      </c>
      <c r="K78" s="451">
        <f t="shared" si="107"/>
        <v>695386.58000000007</v>
      </c>
      <c r="L78" s="451">
        <f t="shared" si="108"/>
        <v>695410.58000000007</v>
      </c>
      <c r="M78" s="451"/>
      <c r="N78" s="221">
        <f t="shared" si="109"/>
        <v>0.99996548801428931</v>
      </c>
      <c r="O78" s="176">
        <f t="shared" si="157"/>
        <v>2.2090146689770211</v>
      </c>
      <c r="P78" s="176">
        <f t="shared" si="110"/>
        <v>5.8907057839387225</v>
      </c>
      <c r="Q78" s="221">
        <f t="shared" si="111"/>
        <v>0.14726764459846808</v>
      </c>
      <c r="R78" s="221">
        <f t="shared" si="112"/>
        <v>0.27612683362212764</v>
      </c>
      <c r="S78" s="451">
        <f t="shared" si="113"/>
        <v>15</v>
      </c>
      <c r="T78" s="221">
        <f t="shared" si="114"/>
        <v>0.37177208985231186</v>
      </c>
      <c r="U78" s="221">
        <f t="shared" si="115"/>
        <v>0.46471511231538987</v>
      </c>
      <c r="V78" s="221">
        <f t="shared" si="116"/>
        <v>1.6038794846413854E-5</v>
      </c>
      <c r="W78" s="201">
        <f t="shared" si="117"/>
        <v>350</v>
      </c>
      <c r="X78" s="451">
        <f t="shared" si="158"/>
        <v>350</v>
      </c>
      <c r="Z78" s="221">
        <f t="shared" si="118"/>
        <v>2.2856354011755182</v>
      </c>
      <c r="AA78" s="177">
        <f t="shared" si="119"/>
        <v>9.8605673459021225E-5</v>
      </c>
      <c r="AB78" s="177">
        <f t="shared" si="120"/>
        <v>0.4914588143407696</v>
      </c>
      <c r="AC78" s="177"/>
      <c r="AD78" s="177">
        <f t="shared" si="121"/>
        <v>6.4712206554230591E-6</v>
      </c>
      <c r="AE78" s="555">
        <f t="shared" si="122"/>
        <v>12070.775308641976</v>
      </c>
      <c r="AF78" s="538">
        <f t="shared" si="123"/>
        <v>2.1166825946720815E-3</v>
      </c>
      <c r="AH78" s="177">
        <f t="shared" si="124"/>
        <v>0.87450666364636964</v>
      </c>
      <c r="AI78" s="177">
        <f t="shared" si="125"/>
        <v>0.87450666364636964</v>
      </c>
      <c r="AJ78" s="177">
        <f t="shared" si="126"/>
        <v>1.7366716027010143</v>
      </c>
      <c r="AL78" s="555">
        <f t="shared" si="127"/>
        <v>73</v>
      </c>
      <c r="AM78" s="469">
        <f t="shared" si="128"/>
        <v>350</v>
      </c>
      <c r="AO78">
        <f t="shared" si="159"/>
        <v>73</v>
      </c>
      <c r="AP78">
        <f t="shared" si="129"/>
        <v>350</v>
      </c>
      <c r="AR78" s="5">
        <f t="shared" si="160"/>
        <v>2.8571428571428572</v>
      </c>
      <c r="AS78" s="5">
        <f t="shared" si="130"/>
        <v>1.0931333295579619</v>
      </c>
      <c r="AT78" s="5">
        <f t="shared" si="161"/>
        <v>1.7640095275848953</v>
      </c>
      <c r="AU78" s="177">
        <f t="shared" si="162"/>
        <v>0.38259666534528669</v>
      </c>
      <c r="AW78" s="5">
        <f t="shared" si="131"/>
        <v>0.10724833101420155</v>
      </c>
      <c r="AX78" s="5">
        <f t="shared" si="132"/>
        <v>1.0762895339620195</v>
      </c>
      <c r="AY78" s="5">
        <f t="shared" si="133"/>
        <v>2.7494601245163159</v>
      </c>
      <c r="AZ78" s="5">
        <f t="shared" si="134"/>
        <v>3.2239358303910546</v>
      </c>
      <c r="BA78" s="5">
        <f t="shared" si="135"/>
        <v>0.27324453137551513</v>
      </c>
      <c r="BB78" s="469">
        <f t="shared" si="136"/>
        <v>33.346982653950711</v>
      </c>
      <c r="BC78" s="5"/>
      <c r="BD78" s="177">
        <f t="shared" si="163"/>
        <v>0.31230079226338531</v>
      </c>
      <c r="BE78" s="177">
        <f t="shared" si="137"/>
        <v>4943.4165068928569</v>
      </c>
      <c r="BF78" s="177">
        <f t="shared" si="138"/>
        <v>24408.369581479081</v>
      </c>
      <c r="BG78" s="177"/>
      <c r="BH78" s="538">
        <f t="shared" si="139"/>
        <v>3.4136124696918346E-2</v>
      </c>
      <c r="BI78" s="538">
        <f t="shared" si="140"/>
        <v>1064.2470758153272</v>
      </c>
      <c r="BJ78" s="538">
        <f t="shared" si="141"/>
        <v>4.3749999999999995E-3</v>
      </c>
      <c r="BK78" s="538">
        <f t="shared" si="142"/>
        <v>8462927.8085788898</v>
      </c>
      <c r="BL78">
        <f t="shared" si="143"/>
        <v>6.96E-3</v>
      </c>
      <c r="BM78">
        <f t="shared" si="144"/>
        <v>1.6625000000000001E-5</v>
      </c>
      <c r="BN78">
        <f t="shared" si="145"/>
        <v>8517637.1641952656</v>
      </c>
      <c r="BO78" s="469">
        <f t="shared" si="164"/>
        <v>8517637164.1952658</v>
      </c>
      <c r="BP78" s="177">
        <f t="shared" si="146"/>
        <v>18670148.226028766</v>
      </c>
      <c r="BQ78" s="177">
        <f t="shared" si="147"/>
        <v>455167138.40289235</v>
      </c>
      <c r="BR78" s="538"/>
      <c r="BT78" s="469">
        <f t="shared" si="165"/>
        <v>473837286628.92108</v>
      </c>
      <c r="BU78" s="538">
        <f t="shared" si="148"/>
        <v>9.753178484833815E-3</v>
      </c>
      <c r="BV78" s="538">
        <f t="shared" si="149"/>
        <v>733121.00281862332</v>
      </c>
      <c r="BW78" s="538">
        <f t="shared" si="150"/>
        <v>29788425.281303663</v>
      </c>
      <c r="BX78" s="538">
        <f t="shared" si="151"/>
        <v>0</v>
      </c>
      <c r="BY78" s="538">
        <f t="shared" si="152"/>
        <v>-14.00000573365681</v>
      </c>
      <c r="BZ78" s="538">
        <f t="shared" si="166"/>
        <v>30521546.293875463</v>
      </c>
      <c r="CA78" s="641">
        <f t="shared" si="153"/>
        <v>1.338333333333333E-2</v>
      </c>
      <c r="CB78" s="469">
        <f t="shared" si="167"/>
        <v>-13986.622400323477</v>
      </c>
      <c r="CC78" s="177">
        <f t="shared" si="168"/>
        <v>482354909.806494</v>
      </c>
      <c r="CD78" s="5">
        <f t="shared" si="169"/>
        <v>4.0149999999999997</v>
      </c>
      <c r="CE78" s="177">
        <f t="shared" si="170"/>
        <v>8.3237464467623076E-9</v>
      </c>
      <c r="CF78" s="5">
        <f t="shared" si="171"/>
        <v>8.3237464467623076E-7</v>
      </c>
      <c r="CG78">
        <f t="shared" si="172"/>
        <v>72.999999999999986</v>
      </c>
      <c r="CI78" s="571">
        <f t="shared" si="154"/>
        <v>-50</v>
      </c>
      <c r="CJ78">
        <f t="shared" si="155"/>
        <v>-50</v>
      </c>
    </row>
    <row r="79" spans="5:88" x14ac:dyDescent="0.25">
      <c r="E79" s="174">
        <v>74</v>
      </c>
      <c r="F79" s="221">
        <f t="shared" si="173"/>
        <v>7.3999999999999996E-2</v>
      </c>
      <c r="G79" s="221">
        <f t="shared" si="156"/>
        <v>0.37</v>
      </c>
      <c r="H79" s="221">
        <f t="shared" si="105"/>
        <v>1.1099999999999999</v>
      </c>
      <c r="I79" s="221">
        <f t="shared" si="174"/>
        <v>2.96</v>
      </c>
      <c r="J79" s="551">
        <f t="shared" si="106"/>
        <v>24</v>
      </c>
      <c r="K79" s="451">
        <f t="shared" si="107"/>
        <v>695386.58000000007</v>
      </c>
      <c r="L79" s="451">
        <f t="shared" si="108"/>
        <v>695410.58000000007</v>
      </c>
      <c r="M79" s="451"/>
      <c r="N79" s="221">
        <f t="shared" si="109"/>
        <v>0.99996548801428931</v>
      </c>
      <c r="O79" s="176">
        <f t="shared" si="157"/>
        <v>2.2090146689770211</v>
      </c>
      <c r="P79" s="176">
        <f t="shared" si="110"/>
        <v>5.8907057839387225</v>
      </c>
      <c r="Q79" s="221">
        <f t="shared" si="111"/>
        <v>0.14726764459846808</v>
      </c>
      <c r="R79" s="221">
        <f t="shared" si="112"/>
        <v>0.27612683362212764</v>
      </c>
      <c r="S79" s="451">
        <f t="shared" si="113"/>
        <v>15</v>
      </c>
      <c r="T79" s="221">
        <f t="shared" si="114"/>
        <v>0.37686485820645316</v>
      </c>
      <c r="U79" s="221">
        <f t="shared" si="115"/>
        <v>0.47108107275806649</v>
      </c>
      <c r="V79" s="221">
        <f t="shared" si="116"/>
        <v>1.6258504364857881E-5</v>
      </c>
      <c r="W79" s="201">
        <f t="shared" si="117"/>
        <v>350</v>
      </c>
      <c r="X79" s="451">
        <f t="shared" si="158"/>
        <v>350</v>
      </c>
      <c r="Z79" s="221">
        <f t="shared" si="118"/>
        <v>2.2856354011755182</v>
      </c>
      <c r="AA79" s="177">
        <f t="shared" si="119"/>
        <v>9.8605673459021225E-5</v>
      </c>
      <c r="AB79" s="177">
        <f t="shared" si="120"/>
        <v>0.4914588143407696</v>
      </c>
      <c r="AC79" s="177"/>
      <c r="AD79" s="177">
        <f t="shared" si="121"/>
        <v>6.4712206554230591E-6</v>
      </c>
      <c r="AE79" s="555">
        <f t="shared" si="122"/>
        <v>12236.128395061731</v>
      </c>
      <c r="AF79" s="538">
        <f t="shared" si="123"/>
        <v>2.1166825946720815E-3</v>
      </c>
      <c r="AH79" s="177">
        <f t="shared" si="124"/>
        <v>0.8804760617064471</v>
      </c>
      <c r="AI79" s="177">
        <f t="shared" si="125"/>
        <v>0.8804760617064471</v>
      </c>
      <c r="AJ79" s="177">
        <f t="shared" si="126"/>
        <v>1.7410933790418126</v>
      </c>
      <c r="AL79" s="555">
        <f t="shared" si="127"/>
        <v>74</v>
      </c>
      <c r="AM79" s="469">
        <f t="shared" si="128"/>
        <v>350</v>
      </c>
      <c r="AO79">
        <f t="shared" si="159"/>
        <v>74</v>
      </c>
      <c r="AP79">
        <f t="shared" si="129"/>
        <v>350</v>
      </c>
      <c r="AR79" s="5">
        <f t="shared" si="160"/>
        <v>2.8571428571428572</v>
      </c>
      <c r="AS79" s="5">
        <f t="shared" si="130"/>
        <v>1.1005950771330588</v>
      </c>
      <c r="AT79" s="5">
        <f t="shared" si="161"/>
        <v>1.7565477800097984</v>
      </c>
      <c r="AU79" s="177">
        <f t="shared" si="162"/>
        <v>0.38520827699657056</v>
      </c>
      <c r="AW79" s="5">
        <f t="shared" si="131"/>
        <v>0.10724833101420155</v>
      </c>
      <c r="AX79" s="5">
        <f t="shared" si="132"/>
        <v>1.102937790950651</v>
      </c>
      <c r="AY79" s="5">
        <f t="shared" si="133"/>
        <v>2.7494601245163159</v>
      </c>
      <c r="AZ79" s="5">
        <f t="shared" si="134"/>
        <v>3.3027308326555485</v>
      </c>
      <c r="BA79" s="5">
        <f t="shared" si="135"/>
        <v>0.27581595156789651</v>
      </c>
      <c r="BB79" s="469">
        <f t="shared" si="136"/>
        <v>33.663191965925364</v>
      </c>
      <c r="BC79" s="5"/>
      <c r="BD79" s="177">
        <f t="shared" si="163"/>
        <v>0.31550389904023368</v>
      </c>
      <c r="BE79" s="177">
        <f t="shared" si="137"/>
        <v>4966.622524259431</v>
      </c>
      <c r="BF79" s="177">
        <f t="shared" si="138"/>
        <v>24522.950468525076</v>
      </c>
      <c r="BG79" s="177"/>
      <c r="BH79" s="538">
        <f t="shared" si="139"/>
        <v>3.4839948608356486E-2</v>
      </c>
      <c r="BI79" s="538">
        <f t="shared" si="140"/>
        <v>1071.5116453079436</v>
      </c>
      <c r="BJ79" s="538">
        <f t="shared" si="141"/>
        <v>4.3749999999999995E-3</v>
      </c>
      <c r="BK79" s="538">
        <f t="shared" si="142"/>
        <v>8462927.8085788898</v>
      </c>
      <c r="BL79">
        <f t="shared" si="143"/>
        <v>6.96E-3</v>
      </c>
      <c r="BM79">
        <f t="shared" si="144"/>
        <v>1.6625000000000001E-5</v>
      </c>
      <c r="BN79">
        <f t="shared" si="145"/>
        <v>8518757.6944310106</v>
      </c>
      <c r="BO79" s="469">
        <f t="shared" si="164"/>
        <v>8518757694.4310102</v>
      </c>
      <c r="BP79" s="177">
        <f t="shared" si="146"/>
        <v>18845847.245240573</v>
      </c>
      <c r="BQ79" s="177">
        <f t="shared" si="147"/>
        <v>459450576.26284981</v>
      </c>
      <c r="BR79" s="538"/>
      <c r="BT79" s="469">
        <f t="shared" si="165"/>
        <v>478296423508.09039</v>
      </c>
      <c r="BU79" s="538">
        <f t="shared" si="148"/>
        <v>9.9542710309589982E-3</v>
      </c>
      <c r="BV79" s="538">
        <f t="shared" si="149"/>
        <v>740020.17895443365</v>
      </c>
      <c r="BW79" s="538">
        <f t="shared" si="150"/>
        <v>30068754.984086711</v>
      </c>
      <c r="BX79" s="538">
        <f t="shared" si="151"/>
        <v>0</v>
      </c>
      <c r="BY79" s="538">
        <f t="shared" si="152"/>
        <v>-14.000005680202152</v>
      </c>
      <c r="BZ79" s="538">
        <f t="shared" si="166"/>
        <v>30808775.172995415</v>
      </c>
      <c r="CA79" s="641">
        <f t="shared" si="153"/>
        <v>1.3566666666666668E-2</v>
      </c>
      <c r="CB79" s="469">
        <f t="shared" si="167"/>
        <v>-13986.439013535486</v>
      </c>
      <c r="CC79" s="177">
        <f t="shared" si="168"/>
        <v>486815167.21608239</v>
      </c>
      <c r="CD79" s="5">
        <f t="shared" si="169"/>
        <v>4.07</v>
      </c>
      <c r="CE79" s="177">
        <f t="shared" si="170"/>
        <v>8.3604625329316602E-9</v>
      </c>
      <c r="CF79" s="5">
        <f t="shared" si="171"/>
        <v>8.3604625329316603E-7</v>
      </c>
      <c r="CG79">
        <f t="shared" si="172"/>
        <v>73.999999999999986</v>
      </c>
      <c r="CI79" s="571">
        <f t="shared" si="154"/>
        <v>-50</v>
      </c>
      <c r="CJ79">
        <f t="shared" si="155"/>
        <v>-50</v>
      </c>
    </row>
    <row r="80" spans="5:88" x14ac:dyDescent="0.25">
      <c r="E80" s="174">
        <v>75</v>
      </c>
      <c r="F80" s="221">
        <f t="shared" si="173"/>
        <v>7.5000000000000011E-2</v>
      </c>
      <c r="G80" s="221">
        <f t="shared" si="156"/>
        <v>0.375</v>
      </c>
      <c r="H80" s="221">
        <f t="shared" si="105"/>
        <v>1.1250000000000002</v>
      </c>
      <c r="I80" s="221">
        <f t="shared" si="174"/>
        <v>3</v>
      </c>
      <c r="J80" s="551">
        <f t="shared" si="106"/>
        <v>24</v>
      </c>
      <c r="K80" s="451">
        <f t="shared" si="107"/>
        <v>695386.58000000007</v>
      </c>
      <c r="L80" s="451">
        <f t="shared" si="108"/>
        <v>695410.58000000007</v>
      </c>
      <c r="M80" s="451"/>
      <c r="N80" s="221">
        <f t="shared" si="109"/>
        <v>0.99996548801428931</v>
      </c>
      <c r="O80" s="176">
        <f t="shared" si="157"/>
        <v>2.2090146689770211</v>
      </c>
      <c r="P80" s="176">
        <f t="shared" si="110"/>
        <v>5.8907057839387225</v>
      </c>
      <c r="Q80" s="221">
        <f t="shared" si="111"/>
        <v>0.14726764459846808</v>
      </c>
      <c r="R80" s="221">
        <f t="shared" si="112"/>
        <v>0.27612683362212764</v>
      </c>
      <c r="S80" s="451">
        <f t="shared" si="113"/>
        <v>15</v>
      </c>
      <c r="T80" s="221">
        <f t="shared" si="114"/>
        <v>0.3819576265605944</v>
      </c>
      <c r="U80" s="221">
        <f t="shared" si="115"/>
        <v>0.477447033200743</v>
      </c>
      <c r="V80" s="221">
        <f t="shared" si="116"/>
        <v>1.6478213883301902E-5</v>
      </c>
      <c r="W80" s="201">
        <f t="shared" si="117"/>
        <v>350</v>
      </c>
      <c r="X80" s="451">
        <f t="shared" si="158"/>
        <v>350</v>
      </c>
      <c r="Z80" s="221">
        <f t="shared" si="118"/>
        <v>2.2856354011755182</v>
      </c>
      <c r="AA80" s="177">
        <f t="shared" si="119"/>
        <v>9.8605673459021225E-5</v>
      </c>
      <c r="AB80" s="177">
        <f t="shared" si="120"/>
        <v>0.4914588143407696</v>
      </c>
      <c r="AC80" s="177"/>
      <c r="AD80" s="177">
        <f t="shared" si="121"/>
        <v>6.4712206554230591E-6</v>
      </c>
      <c r="AE80" s="555">
        <f t="shared" si="122"/>
        <v>12401.481481481487</v>
      </c>
      <c r="AF80" s="538">
        <f t="shared" si="123"/>
        <v>2.1166825946720815E-3</v>
      </c>
      <c r="AH80" s="177">
        <f t="shared" si="124"/>
        <v>0.88640526042791834</v>
      </c>
      <c r="AI80" s="177">
        <f t="shared" si="125"/>
        <v>0.88640526042791834</v>
      </c>
      <c r="AJ80" s="177">
        <f t="shared" si="126"/>
        <v>1.7454853780947541</v>
      </c>
      <c r="AL80" s="555">
        <f t="shared" si="127"/>
        <v>75.000000000000014</v>
      </c>
      <c r="AM80" s="469">
        <f t="shared" si="128"/>
        <v>350</v>
      </c>
      <c r="AO80">
        <f t="shared" si="159"/>
        <v>75.000000000000014</v>
      </c>
      <c r="AP80">
        <f t="shared" si="129"/>
        <v>350</v>
      </c>
      <c r="AR80" s="5">
        <f t="shared" si="160"/>
        <v>2.8571428571428572</v>
      </c>
      <c r="AS80" s="5">
        <f t="shared" si="130"/>
        <v>1.108006575534898</v>
      </c>
      <c r="AT80" s="5">
        <f t="shared" si="161"/>
        <v>1.7491362816079592</v>
      </c>
      <c r="AU80" s="177">
        <f t="shared" si="162"/>
        <v>0.38780230143721428</v>
      </c>
      <c r="AW80" s="5">
        <f t="shared" si="131"/>
        <v>0.10724833101420155</v>
      </c>
      <c r="AX80" s="5">
        <f t="shared" si="132"/>
        <v>1.1299077929323256</v>
      </c>
      <c r="AY80" s="5">
        <f t="shared" si="133"/>
        <v>2.7494601245163159</v>
      </c>
      <c r="AZ80" s="5">
        <f t="shared" si="134"/>
        <v>3.3824618213454092</v>
      </c>
      <c r="BA80" s="5">
        <f t="shared" si="135"/>
        <v>0.27836370222348877</v>
      </c>
      <c r="BB80" s="469">
        <f t="shared" si="136"/>
        <v>33.976560933485324</v>
      </c>
      <c r="BC80" s="5"/>
      <c r="BD80" s="177">
        <f t="shared" si="163"/>
        <v>0.31869620239976554</v>
      </c>
      <c r="BE80" s="177">
        <f t="shared" si="137"/>
        <v>4989.50849018812</v>
      </c>
      <c r="BF80" s="177">
        <f t="shared" si="138"/>
        <v>24635.951085373294</v>
      </c>
      <c r="BG80" s="177"/>
      <c r="BH80" s="538">
        <f t="shared" si="139"/>
        <v>3.5548544298411311E-2</v>
      </c>
      <c r="BI80" s="538">
        <f t="shared" si="140"/>
        <v>1078.7272934711521</v>
      </c>
      <c r="BJ80" s="538">
        <f t="shared" si="141"/>
        <v>4.3749999999999995E-3</v>
      </c>
      <c r="BK80" s="538">
        <f t="shared" si="142"/>
        <v>8462927.8085788898</v>
      </c>
      <c r="BL80">
        <f t="shared" si="143"/>
        <v>6.96E-3</v>
      </c>
      <c r="BM80">
        <f t="shared" si="144"/>
        <v>1.6625000000000001E-5</v>
      </c>
      <c r="BN80">
        <f t="shared" si="145"/>
        <v>8519886.0187263172</v>
      </c>
      <c r="BO80" s="469">
        <f t="shared" si="164"/>
        <v>8519886018.7263174</v>
      </c>
      <c r="BP80" s="177">
        <f t="shared" si="146"/>
        <v>19019928.981363226</v>
      </c>
      <c r="BQ80" s="177">
        <f t="shared" si="147"/>
        <v>463694585.72044921</v>
      </c>
      <c r="BR80" s="538"/>
      <c r="BT80" s="469">
        <f t="shared" si="165"/>
        <v>482714514701.81244</v>
      </c>
      <c r="BU80" s="538">
        <f t="shared" si="148"/>
        <v>1.0156726942403233E-2</v>
      </c>
      <c r="BV80" s="538">
        <f t="shared" si="149"/>
        <v>746855.84920977999</v>
      </c>
      <c r="BW80" s="538">
        <f t="shared" si="150"/>
        <v>30346504.294045277</v>
      </c>
      <c r="BX80" s="538">
        <f t="shared" si="151"/>
        <v>0</v>
      </c>
      <c r="BY80" s="538">
        <f t="shared" si="152"/>
        <v>-14.000005628213534</v>
      </c>
      <c r="BZ80" s="538">
        <f t="shared" si="166"/>
        <v>31093360.153411783</v>
      </c>
      <c r="CA80" s="641">
        <f t="shared" si="153"/>
        <v>1.3750000000000002E-2</v>
      </c>
      <c r="CB80" s="469">
        <f t="shared" si="167"/>
        <v>-13986.255628213534</v>
      </c>
      <c r="CC80" s="177">
        <f t="shared" si="168"/>
        <v>491234386.73428315</v>
      </c>
      <c r="CD80" s="5">
        <f t="shared" si="169"/>
        <v>4.125</v>
      </c>
      <c r="CE80" s="177">
        <f t="shared" si="170"/>
        <v>8.3972133807334126E-9</v>
      </c>
      <c r="CF80" s="5">
        <f t="shared" si="171"/>
        <v>8.3972133807334129E-7</v>
      </c>
      <c r="CG80">
        <f t="shared" si="172"/>
        <v>75.000000000000014</v>
      </c>
      <c r="CI80" s="571">
        <f t="shared" si="154"/>
        <v>-50</v>
      </c>
      <c r="CJ80">
        <f t="shared" si="155"/>
        <v>-50</v>
      </c>
    </row>
    <row r="81" spans="5:88" x14ac:dyDescent="0.25">
      <c r="E81" s="174">
        <v>76</v>
      </c>
      <c r="F81" s="221">
        <f t="shared" si="173"/>
        <v>7.6000000000000012E-2</v>
      </c>
      <c r="G81" s="221">
        <f t="shared" si="156"/>
        <v>0.38</v>
      </c>
      <c r="H81" s="221">
        <f t="shared" si="105"/>
        <v>1.1400000000000001</v>
      </c>
      <c r="I81" s="221">
        <f t="shared" si="174"/>
        <v>3.04</v>
      </c>
      <c r="J81" s="551">
        <f t="shared" si="106"/>
        <v>24</v>
      </c>
      <c r="K81" s="451">
        <f t="shared" si="107"/>
        <v>695386.58000000007</v>
      </c>
      <c r="L81" s="451">
        <f t="shared" si="108"/>
        <v>695410.58000000007</v>
      </c>
      <c r="M81" s="451"/>
      <c r="N81" s="221">
        <f t="shared" si="109"/>
        <v>0.99996548801428931</v>
      </c>
      <c r="O81" s="176">
        <f t="shared" si="157"/>
        <v>2.2090146689770211</v>
      </c>
      <c r="P81" s="176">
        <f t="shared" si="110"/>
        <v>5.8907057839387225</v>
      </c>
      <c r="Q81" s="221">
        <f t="shared" si="111"/>
        <v>0.14726764459846808</v>
      </c>
      <c r="R81" s="221">
        <f t="shared" si="112"/>
        <v>0.27612683362212764</v>
      </c>
      <c r="S81" s="451">
        <f t="shared" si="113"/>
        <v>15</v>
      </c>
      <c r="T81" s="221">
        <f t="shared" si="114"/>
        <v>0.38705039491473564</v>
      </c>
      <c r="U81" s="221">
        <f t="shared" si="115"/>
        <v>0.48381299364341962</v>
      </c>
      <c r="V81" s="221">
        <f t="shared" si="116"/>
        <v>1.6697923401745932E-5</v>
      </c>
      <c r="W81" s="201">
        <f t="shared" si="117"/>
        <v>350</v>
      </c>
      <c r="X81" s="451">
        <f t="shared" si="158"/>
        <v>350</v>
      </c>
      <c r="Z81" s="221">
        <f t="shared" si="118"/>
        <v>2.2856354011755182</v>
      </c>
      <c r="AA81" s="177">
        <f t="shared" si="119"/>
        <v>9.8605673459021225E-5</v>
      </c>
      <c r="AB81" s="177">
        <f t="shared" si="120"/>
        <v>0.4914588143407696</v>
      </c>
      <c r="AC81" s="177"/>
      <c r="AD81" s="177">
        <f t="shared" si="121"/>
        <v>6.4712206554230591E-6</v>
      </c>
      <c r="AE81" s="555">
        <f t="shared" si="122"/>
        <v>12566.834567901242</v>
      </c>
      <c r="AF81" s="538">
        <f t="shared" si="123"/>
        <v>2.1166825946720815E-3</v>
      </c>
      <c r="AH81" s="177">
        <f t="shared" si="124"/>
        <v>0.89229506117117785</v>
      </c>
      <c r="AI81" s="177">
        <f t="shared" si="125"/>
        <v>0.89229506117117785</v>
      </c>
      <c r="AJ81" s="177">
        <f t="shared" si="126"/>
        <v>1.7498481934601315</v>
      </c>
      <c r="AL81" s="555">
        <f t="shared" si="127"/>
        <v>76.000000000000014</v>
      </c>
      <c r="AM81" s="469">
        <f t="shared" si="128"/>
        <v>350</v>
      </c>
      <c r="AO81">
        <f t="shared" si="159"/>
        <v>76.000000000000014</v>
      </c>
      <c r="AP81">
        <f t="shared" si="129"/>
        <v>350</v>
      </c>
      <c r="AR81" s="5">
        <f t="shared" si="160"/>
        <v>2.8571428571428572</v>
      </c>
      <c r="AS81" s="5">
        <f t="shared" si="130"/>
        <v>1.1153688264639725</v>
      </c>
      <c r="AT81" s="5">
        <f t="shared" si="161"/>
        <v>1.7417740306788847</v>
      </c>
      <c r="AU81" s="177">
        <f t="shared" si="162"/>
        <v>0.39037908926239034</v>
      </c>
      <c r="AW81" s="5">
        <f t="shared" si="131"/>
        <v>0.10724833101420155</v>
      </c>
      <c r="AX81" s="5">
        <f t="shared" si="132"/>
        <v>1.1571995399070421</v>
      </c>
      <c r="AY81" s="5">
        <f t="shared" si="133"/>
        <v>2.7494601245163159</v>
      </c>
      <c r="AZ81" s="5">
        <f t="shared" si="134"/>
        <v>3.4631287964606372</v>
      </c>
      <c r="BA81" s="5">
        <f t="shared" si="135"/>
        <v>0.28088794167583858</v>
      </c>
      <c r="BB81" s="469">
        <f t="shared" si="136"/>
        <v>34.287108556656193</v>
      </c>
      <c r="BC81" s="5"/>
      <c r="BD81" s="177">
        <f t="shared" si="163"/>
        <v>0.32187788210988078</v>
      </c>
      <c r="BE81" s="177">
        <f t="shared" si="137"/>
        <v>5012.0802015297677</v>
      </c>
      <c r="BF81" s="177">
        <f t="shared" si="138"/>
        <v>24747.400054268634</v>
      </c>
      <c r="BG81" s="177"/>
      <c r="BH81" s="538">
        <f t="shared" si="139"/>
        <v>3.6261879847039803E-2</v>
      </c>
      <c r="BI81" s="538">
        <f t="shared" si="140"/>
        <v>1085.8949955353226</v>
      </c>
      <c r="BJ81" s="538">
        <f t="shared" si="141"/>
        <v>4.3749999999999995E-3</v>
      </c>
      <c r="BK81" s="538">
        <f t="shared" si="142"/>
        <v>8462927.8085788898</v>
      </c>
      <c r="BL81">
        <f t="shared" si="143"/>
        <v>6.96E-3</v>
      </c>
      <c r="BM81">
        <f t="shared" si="144"/>
        <v>1.6625000000000001E-5</v>
      </c>
      <c r="BN81">
        <f t="shared" si="145"/>
        <v>8521022.0936201923</v>
      </c>
      <c r="BO81" s="469">
        <f t="shared" si="164"/>
        <v>8521022093.6201925</v>
      </c>
      <c r="BP81" s="177">
        <f t="shared" si="146"/>
        <v>19192404.252950933</v>
      </c>
      <c r="BQ81" s="177">
        <f t="shared" si="147"/>
        <v>467899430.52562547</v>
      </c>
      <c r="BR81" s="538"/>
      <c r="BT81" s="469">
        <f t="shared" si="165"/>
        <v>487091834778.57635</v>
      </c>
      <c r="BU81" s="538">
        <f t="shared" si="148"/>
        <v>1.0360537099154231E-2</v>
      </c>
      <c r="BV81" s="538">
        <f t="shared" si="149"/>
        <v>753628.43839700019</v>
      </c>
      <c r="BW81" s="538">
        <f t="shared" si="150"/>
        <v>30621690.472300757</v>
      </c>
      <c r="BX81" s="538">
        <f t="shared" si="151"/>
        <v>0</v>
      </c>
      <c r="BY81" s="538">
        <f t="shared" si="152"/>
        <v>-14.000005577634772</v>
      </c>
      <c r="BZ81" s="538">
        <f t="shared" si="166"/>
        <v>31375318.921058293</v>
      </c>
      <c r="CA81" s="641">
        <f t="shared" si="153"/>
        <v>1.3933333333333331E-2</v>
      </c>
      <c r="CB81" s="469">
        <f t="shared" si="167"/>
        <v>-13986.072244301438</v>
      </c>
      <c r="CC81" s="177">
        <f t="shared" si="168"/>
        <v>495612842.88612437</v>
      </c>
      <c r="CD81" s="5">
        <f t="shared" si="169"/>
        <v>4.18</v>
      </c>
      <c r="CE81" s="177">
        <f t="shared" si="170"/>
        <v>8.4340025177803883E-9</v>
      </c>
      <c r="CF81" s="5">
        <f t="shared" si="171"/>
        <v>8.4340025177803884E-7</v>
      </c>
      <c r="CG81">
        <f t="shared" si="172"/>
        <v>76.000000000000014</v>
      </c>
      <c r="CI81" s="571">
        <f t="shared" si="154"/>
        <v>-50</v>
      </c>
      <c r="CJ81">
        <f t="shared" si="155"/>
        <v>-50</v>
      </c>
    </row>
    <row r="82" spans="5:88" x14ac:dyDescent="0.25">
      <c r="E82" s="174">
        <v>77</v>
      </c>
      <c r="F82" s="221">
        <f t="shared" si="173"/>
        <v>7.7000000000000013E-2</v>
      </c>
      <c r="G82" s="221">
        <f t="shared" si="156"/>
        <v>0.38500000000000001</v>
      </c>
      <c r="H82" s="221">
        <f t="shared" si="105"/>
        <v>1.1550000000000002</v>
      </c>
      <c r="I82" s="221">
        <f t="shared" si="174"/>
        <v>3.08</v>
      </c>
      <c r="J82" s="551">
        <f t="shared" si="106"/>
        <v>24</v>
      </c>
      <c r="K82" s="451">
        <f t="shared" si="107"/>
        <v>695386.58000000007</v>
      </c>
      <c r="L82" s="451">
        <f t="shared" si="108"/>
        <v>695410.58000000007</v>
      </c>
      <c r="M82" s="451"/>
      <c r="N82" s="221">
        <f t="shared" si="109"/>
        <v>0.99996548801428931</v>
      </c>
      <c r="O82" s="176">
        <f t="shared" si="157"/>
        <v>2.2090146689770211</v>
      </c>
      <c r="P82" s="176">
        <f t="shared" si="110"/>
        <v>5.8907057839387225</v>
      </c>
      <c r="Q82" s="221">
        <f t="shared" si="111"/>
        <v>0.14726764459846808</v>
      </c>
      <c r="R82" s="221">
        <f t="shared" si="112"/>
        <v>0.27612683362212764</v>
      </c>
      <c r="S82" s="451">
        <f t="shared" si="113"/>
        <v>15</v>
      </c>
      <c r="T82" s="221">
        <f t="shared" si="114"/>
        <v>0.39214316326887694</v>
      </c>
      <c r="U82" s="221">
        <f t="shared" si="115"/>
        <v>0.49017895408609624</v>
      </c>
      <c r="V82" s="221">
        <f t="shared" si="116"/>
        <v>1.6917632920189956E-5</v>
      </c>
      <c r="W82" s="201">
        <f t="shared" si="117"/>
        <v>350</v>
      </c>
      <c r="X82" s="451">
        <f t="shared" si="158"/>
        <v>350</v>
      </c>
      <c r="Z82" s="221">
        <f t="shared" si="118"/>
        <v>2.2856354011755182</v>
      </c>
      <c r="AA82" s="177">
        <f t="shared" si="119"/>
        <v>9.8605673459021225E-5</v>
      </c>
      <c r="AB82" s="177">
        <f t="shared" si="120"/>
        <v>0.4914588143407696</v>
      </c>
      <c r="AC82" s="177"/>
      <c r="AD82" s="177">
        <f t="shared" si="121"/>
        <v>6.4712206554230591E-6</v>
      </c>
      <c r="AE82" s="555">
        <f t="shared" si="122"/>
        <v>12732.187654320993</v>
      </c>
      <c r="AF82" s="538">
        <f t="shared" si="123"/>
        <v>2.1166825946720815E-3</v>
      </c>
      <c r="AH82" s="177">
        <f t="shared" si="124"/>
        <v>0.89814623902049873</v>
      </c>
      <c r="AI82" s="177">
        <f t="shared" si="125"/>
        <v>0.89814623902049873</v>
      </c>
      <c r="AJ82" s="177">
        <f t="shared" si="126"/>
        <v>1.7541823992744434</v>
      </c>
      <c r="AL82" s="555">
        <f t="shared" si="127"/>
        <v>77.000000000000014</v>
      </c>
      <c r="AM82" s="469">
        <f t="shared" si="128"/>
        <v>350</v>
      </c>
      <c r="AO82">
        <f t="shared" si="159"/>
        <v>77.000000000000014</v>
      </c>
      <c r="AP82">
        <f t="shared" si="129"/>
        <v>350</v>
      </c>
      <c r="AR82" s="5">
        <f t="shared" si="160"/>
        <v>2.8571428571428572</v>
      </c>
      <c r="AS82" s="5">
        <f t="shared" si="130"/>
        <v>1.1226827987756236</v>
      </c>
      <c r="AT82" s="5">
        <f t="shared" si="161"/>
        <v>1.7344600583672336</v>
      </c>
      <c r="AU82" s="177">
        <f t="shared" si="162"/>
        <v>0.39293897957146823</v>
      </c>
      <c r="AW82" s="5">
        <f t="shared" si="131"/>
        <v>0.10724833101420155</v>
      </c>
      <c r="AX82" s="5">
        <f t="shared" si="132"/>
        <v>1.1848130318748014</v>
      </c>
      <c r="AY82" s="5">
        <f t="shared" si="133"/>
        <v>2.7494601245163159</v>
      </c>
      <c r="AZ82" s="5">
        <f t="shared" si="134"/>
        <v>3.5447317580012321</v>
      </c>
      <c r="BA82" s="5">
        <f t="shared" si="135"/>
        <v>0.2833888251228871</v>
      </c>
      <c r="BB82" s="469">
        <f t="shared" si="136"/>
        <v>34.594853459190908</v>
      </c>
      <c r="BC82" s="5"/>
      <c r="BD82" s="177">
        <f t="shared" si="163"/>
        <v>0.32504911262470154</v>
      </c>
      <c r="BE82" s="177">
        <f t="shared" si="137"/>
        <v>5034.3432637420128</v>
      </c>
      <c r="BF82" s="177">
        <f t="shared" si="138"/>
        <v>24857.325052442317</v>
      </c>
      <c r="BG82" s="177"/>
      <c r="BH82" s="538">
        <f t="shared" si="139"/>
        <v>3.6979923966337064E-2</v>
      </c>
      <c r="BI82" s="538">
        <f t="shared" si="140"/>
        <v>1093.0156947536116</v>
      </c>
      <c r="BJ82" s="538">
        <f t="shared" si="141"/>
        <v>4.3749999999999995E-3</v>
      </c>
      <c r="BK82" s="538">
        <f t="shared" si="142"/>
        <v>8462927.8085788898</v>
      </c>
      <c r="BL82">
        <f t="shared" si="143"/>
        <v>6.96E-3</v>
      </c>
      <c r="BM82">
        <f t="shared" si="144"/>
        <v>1.6625000000000001E-5</v>
      </c>
      <c r="BN82">
        <f t="shared" si="145"/>
        <v>8522165.8766113464</v>
      </c>
      <c r="BO82" s="469">
        <f t="shared" si="164"/>
        <v>8522165876.6113462</v>
      </c>
      <c r="BP82" s="177">
        <f t="shared" si="146"/>
        <v>19363283.664309517</v>
      </c>
      <c r="BQ82" s="177">
        <f t="shared" si="147"/>
        <v>472065369.20506352</v>
      </c>
      <c r="BR82" s="538"/>
      <c r="BT82" s="469">
        <f t="shared" si="165"/>
        <v>491428652869.37305</v>
      </c>
      <c r="BU82" s="538">
        <f t="shared" si="148"/>
        <v>1.0565692561810593E-2</v>
      </c>
      <c r="BV82" s="538">
        <f t="shared" si="149"/>
        <v>760338.36291553744</v>
      </c>
      <c r="BW82" s="538">
        <f t="shared" si="150"/>
        <v>30894330.43813882</v>
      </c>
      <c r="BX82" s="538">
        <f t="shared" si="151"/>
        <v>0</v>
      </c>
      <c r="BY82" s="538">
        <f t="shared" si="152"/>
        <v>-14.000005528412576</v>
      </c>
      <c r="BZ82" s="538">
        <f t="shared" si="166"/>
        <v>31654668.811620049</v>
      </c>
      <c r="CA82" s="641">
        <f t="shared" si="153"/>
        <v>1.411666666666667E-2</v>
      </c>
      <c r="CB82" s="469">
        <f t="shared" si="167"/>
        <v>-13985.888861745909</v>
      </c>
      <c r="CC82" s="177">
        <f t="shared" si="168"/>
        <v>499950804.76009548</v>
      </c>
      <c r="CD82" s="5">
        <f t="shared" si="169"/>
        <v>4.2350000000000003</v>
      </c>
      <c r="CE82" s="177">
        <f t="shared" si="170"/>
        <v>8.4708333776124478E-9</v>
      </c>
      <c r="CF82" s="5">
        <f t="shared" si="171"/>
        <v>8.4708333776124473E-7</v>
      </c>
      <c r="CG82">
        <f t="shared" si="172"/>
        <v>77.000000000000014</v>
      </c>
      <c r="CI82" s="571">
        <f t="shared" si="154"/>
        <v>-50</v>
      </c>
      <c r="CJ82">
        <f t="shared" si="155"/>
        <v>-50</v>
      </c>
    </row>
    <row r="83" spans="5:88" x14ac:dyDescent="0.25">
      <c r="E83" s="174">
        <v>78</v>
      </c>
      <c r="F83" s="221">
        <f t="shared" si="173"/>
        <v>7.8000000000000014E-2</v>
      </c>
      <c r="G83" s="221">
        <f t="shared" si="156"/>
        <v>0.39</v>
      </c>
      <c r="H83" s="221">
        <f t="shared" si="105"/>
        <v>1.1700000000000002</v>
      </c>
      <c r="I83" s="221">
        <f t="shared" si="174"/>
        <v>3.12</v>
      </c>
      <c r="J83" s="551">
        <f t="shared" si="106"/>
        <v>24</v>
      </c>
      <c r="K83" s="451">
        <f t="shared" si="107"/>
        <v>695386.58000000007</v>
      </c>
      <c r="L83" s="451">
        <f t="shared" si="108"/>
        <v>695410.58000000007</v>
      </c>
      <c r="M83" s="451"/>
      <c r="N83" s="221">
        <f t="shared" si="109"/>
        <v>0.99996548801428931</v>
      </c>
      <c r="O83" s="176">
        <f t="shared" si="157"/>
        <v>2.2090146689770211</v>
      </c>
      <c r="P83" s="176">
        <f t="shared" si="110"/>
        <v>5.8907057839387225</v>
      </c>
      <c r="Q83" s="221">
        <f t="shared" si="111"/>
        <v>0.14726764459846808</v>
      </c>
      <c r="R83" s="221">
        <f t="shared" si="112"/>
        <v>0.27612683362212764</v>
      </c>
      <c r="S83" s="451">
        <f t="shared" si="113"/>
        <v>15</v>
      </c>
      <c r="T83" s="221">
        <f t="shared" si="114"/>
        <v>0.39723593162301818</v>
      </c>
      <c r="U83" s="221">
        <f t="shared" si="115"/>
        <v>0.4965449145287727</v>
      </c>
      <c r="V83" s="221">
        <f t="shared" si="116"/>
        <v>1.713734243863398E-5</v>
      </c>
      <c r="W83" s="201">
        <f t="shared" si="117"/>
        <v>350</v>
      </c>
      <c r="X83" s="451">
        <f t="shared" si="158"/>
        <v>350</v>
      </c>
      <c r="Z83" s="221">
        <f t="shared" si="118"/>
        <v>2.2856354011755182</v>
      </c>
      <c r="AA83" s="177">
        <f t="shared" si="119"/>
        <v>9.8605673459021225E-5</v>
      </c>
      <c r="AB83" s="177">
        <f t="shared" si="120"/>
        <v>0.4914588143407696</v>
      </c>
      <c r="AC83" s="177"/>
      <c r="AD83" s="177">
        <f t="shared" si="121"/>
        <v>6.4712206554230591E-6</v>
      </c>
      <c r="AE83" s="555">
        <f t="shared" si="122"/>
        <v>12897.540740740746</v>
      </c>
      <c r="AF83" s="538">
        <f t="shared" si="123"/>
        <v>2.1166825946720815E-3</v>
      </c>
      <c r="AH83" s="177">
        <f t="shared" si="124"/>
        <v>0.90395954397464995</v>
      </c>
      <c r="AI83" s="177">
        <f t="shared" si="125"/>
        <v>0.90395954397464995</v>
      </c>
      <c r="AJ83" s="177">
        <f t="shared" si="126"/>
        <v>1.7584885510923334</v>
      </c>
      <c r="AL83" s="555">
        <f t="shared" si="127"/>
        <v>78.000000000000014</v>
      </c>
      <c r="AM83" s="469">
        <f t="shared" si="128"/>
        <v>350</v>
      </c>
      <c r="AO83">
        <f t="shared" si="159"/>
        <v>78.000000000000014</v>
      </c>
      <c r="AP83">
        <f t="shared" si="129"/>
        <v>350</v>
      </c>
      <c r="AR83" s="5">
        <f t="shared" si="160"/>
        <v>2.8571428571428572</v>
      </c>
      <c r="AS83" s="5">
        <f t="shared" si="130"/>
        <v>1.1299494299683124</v>
      </c>
      <c r="AT83" s="5">
        <f t="shared" si="161"/>
        <v>1.7271934271745448</v>
      </c>
      <c r="AU83" s="177">
        <f t="shared" si="162"/>
        <v>0.39548230048890931</v>
      </c>
      <c r="AW83" s="5">
        <f t="shared" si="131"/>
        <v>0.10724833101420155</v>
      </c>
      <c r="AX83" s="5">
        <f t="shared" si="132"/>
        <v>1.2127482688356033</v>
      </c>
      <c r="AY83" s="5">
        <f t="shared" si="133"/>
        <v>2.7494601245163159</v>
      </c>
      <c r="AZ83" s="5">
        <f t="shared" si="134"/>
        <v>3.6272707059671943</v>
      </c>
      <c r="BA83" s="5">
        <f t="shared" si="135"/>
        <v>0.28586650472912023</v>
      </c>
      <c r="BB83" s="469">
        <f t="shared" si="136"/>
        <v>34.899813900827759</v>
      </c>
      <c r="BC83" s="5"/>
      <c r="BD83" s="177">
        <f t="shared" si="163"/>
        <v>0.32821006330851449</v>
      </c>
      <c r="BE83" s="177">
        <f t="shared" si="137"/>
        <v>5056.3030995184799</v>
      </c>
      <c r="BF83" s="177">
        <f t="shared" si="138"/>
        <v>24965.75285471899</v>
      </c>
      <c r="BG83" s="177"/>
      <c r="BH83" s="538">
        <f t="shared" si="139"/>
        <v>3.7702645979942682E-2</v>
      </c>
      <c r="BI83" s="538">
        <f t="shared" si="140"/>
        <v>1100.090303850907</v>
      </c>
      <c r="BJ83" s="538">
        <f t="shared" si="141"/>
        <v>4.3749999999999995E-3</v>
      </c>
      <c r="BK83" s="538">
        <f t="shared" si="142"/>
        <v>8462927.8085788898</v>
      </c>
      <c r="BL83">
        <f t="shared" si="143"/>
        <v>6.96E-3</v>
      </c>
      <c r="BM83">
        <f t="shared" si="144"/>
        <v>1.6625000000000001E-5</v>
      </c>
      <c r="BN83">
        <f t="shared" si="145"/>
        <v>8523317.3261275217</v>
      </c>
      <c r="BO83" s="469">
        <f t="shared" si="164"/>
        <v>8523317326.1275215</v>
      </c>
      <c r="BP83" s="177">
        <f t="shared" si="146"/>
        <v>19532577.612475939</v>
      </c>
      <c r="BQ83" s="177">
        <f t="shared" si="147"/>
        <v>476192655.23235768</v>
      </c>
      <c r="BR83" s="538"/>
      <c r="BT83" s="469">
        <f t="shared" si="165"/>
        <v>495725232844.83362</v>
      </c>
      <c r="BU83" s="538">
        <f t="shared" si="148"/>
        <v>1.0772184565697909E-2</v>
      </c>
      <c r="BV83" s="538">
        <f t="shared" si="149"/>
        <v>766986.03102600563</v>
      </c>
      <c r="BW83" s="538">
        <f t="shared" si="150"/>
        <v>31164440.780145474</v>
      </c>
      <c r="BX83" s="538">
        <f t="shared" si="151"/>
        <v>0</v>
      </c>
      <c r="BY83" s="538">
        <f t="shared" si="152"/>
        <v>-14.000005480496363</v>
      </c>
      <c r="BZ83" s="538">
        <f t="shared" si="166"/>
        <v>31931426.821943663</v>
      </c>
      <c r="CA83" s="641">
        <f t="shared" si="153"/>
        <v>1.4299999999999998E-2</v>
      </c>
      <c r="CB83" s="469">
        <f t="shared" si="167"/>
        <v>-13985.705480496363</v>
      </c>
      <c r="CC83" s="177">
        <f t="shared" si="168"/>
        <v>504248536.18525565</v>
      </c>
      <c r="CD83" s="5">
        <f t="shared" si="169"/>
        <v>4.29</v>
      </c>
      <c r="CE83" s="177">
        <f t="shared" si="170"/>
        <v>8.5077093053291996E-9</v>
      </c>
      <c r="CF83" s="5">
        <f t="shared" si="171"/>
        <v>8.5077093053291996E-7</v>
      </c>
      <c r="CG83">
        <f t="shared" si="172"/>
        <v>78.000000000000014</v>
      </c>
      <c r="CI83" s="571">
        <f t="shared" si="154"/>
        <v>-50</v>
      </c>
      <c r="CJ83">
        <f t="shared" si="155"/>
        <v>-50</v>
      </c>
    </row>
    <row r="84" spans="5:88" x14ac:dyDescent="0.25">
      <c r="E84" s="174">
        <v>79</v>
      </c>
      <c r="F84" s="221">
        <f t="shared" si="173"/>
        <v>7.9000000000000015E-2</v>
      </c>
      <c r="G84" s="221">
        <f t="shared" si="156"/>
        <v>0.39500000000000002</v>
      </c>
      <c r="H84" s="221">
        <f t="shared" si="105"/>
        <v>1.1850000000000003</v>
      </c>
      <c r="I84" s="221">
        <f t="shared" si="174"/>
        <v>3.16</v>
      </c>
      <c r="J84" s="551">
        <f t="shared" si="106"/>
        <v>24</v>
      </c>
      <c r="K84" s="451">
        <f t="shared" si="107"/>
        <v>695386.58000000007</v>
      </c>
      <c r="L84" s="451">
        <f t="shared" si="108"/>
        <v>695410.58000000007</v>
      </c>
      <c r="M84" s="451"/>
      <c r="N84" s="221">
        <f t="shared" si="109"/>
        <v>0.99996548801428931</v>
      </c>
      <c r="O84" s="176">
        <f t="shared" si="157"/>
        <v>2.2090146689770211</v>
      </c>
      <c r="P84" s="176">
        <f t="shared" si="110"/>
        <v>5.8907057839387225</v>
      </c>
      <c r="Q84" s="221">
        <f t="shared" si="111"/>
        <v>0.14726764459846808</v>
      </c>
      <c r="R84" s="221">
        <f t="shared" si="112"/>
        <v>0.27612683362212764</v>
      </c>
      <c r="S84" s="451">
        <f t="shared" si="113"/>
        <v>15</v>
      </c>
      <c r="T84" s="221">
        <f t="shared" si="114"/>
        <v>0.40232869997715948</v>
      </c>
      <c r="U84" s="221">
        <f t="shared" si="115"/>
        <v>0.50291087497144937</v>
      </c>
      <c r="V84" s="221">
        <f t="shared" si="116"/>
        <v>1.735705195707801E-5</v>
      </c>
      <c r="W84" s="201">
        <f t="shared" si="117"/>
        <v>350</v>
      </c>
      <c r="X84" s="451">
        <f t="shared" si="158"/>
        <v>350</v>
      </c>
      <c r="Z84" s="221">
        <f t="shared" si="118"/>
        <v>2.2856354011755182</v>
      </c>
      <c r="AA84" s="177">
        <f t="shared" si="119"/>
        <v>9.8605673459021225E-5</v>
      </c>
      <c r="AB84" s="177">
        <f t="shared" si="120"/>
        <v>0.4914588143407696</v>
      </c>
      <c r="AC84" s="177"/>
      <c r="AD84" s="177">
        <f t="shared" si="121"/>
        <v>6.4712206554230591E-6</v>
      </c>
      <c r="AE84" s="555">
        <f t="shared" si="122"/>
        <v>13062.8938271605</v>
      </c>
      <c r="AF84" s="538">
        <f t="shared" si="123"/>
        <v>2.1166825946720815E-3</v>
      </c>
      <c r="AH84" s="177">
        <f t="shared" si="124"/>
        <v>0.9097357020690392</v>
      </c>
      <c r="AI84" s="177">
        <f t="shared" si="125"/>
        <v>0.9097357020690392</v>
      </c>
      <c r="AJ84" s="177">
        <f t="shared" si="126"/>
        <v>1.7627671867178067</v>
      </c>
      <c r="AL84" s="555">
        <f t="shared" si="127"/>
        <v>79.000000000000014</v>
      </c>
      <c r="AM84" s="469">
        <f t="shared" si="128"/>
        <v>350</v>
      </c>
      <c r="AO84">
        <f t="shared" si="159"/>
        <v>79.000000000000014</v>
      </c>
      <c r="AP84">
        <f t="shared" si="129"/>
        <v>350</v>
      </c>
      <c r="AR84" s="5">
        <f t="shared" si="160"/>
        <v>2.8571428571428572</v>
      </c>
      <c r="AS84" s="5">
        <f t="shared" si="130"/>
        <v>1.137169627586299</v>
      </c>
      <c r="AT84" s="5">
        <f t="shared" si="161"/>
        <v>1.7199732295565582</v>
      </c>
      <c r="AU84" s="177">
        <f t="shared" si="162"/>
        <v>0.39800936965520467</v>
      </c>
      <c r="AW84" s="5">
        <f t="shared" si="131"/>
        <v>0.10724833101420155</v>
      </c>
      <c r="AX84" s="5">
        <f t="shared" si="132"/>
        <v>1.241005250789448</v>
      </c>
      <c r="AY84" s="5">
        <f t="shared" si="133"/>
        <v>2.7494601245163159</v>
      </c>
      <c r="AZ84" s="5">
        <f t="shared" si="134"/>
        <v>3.7107456403585242</v>
      </c>
      <c r="BA84" s="5">
        <f t="shared" si="135"/>
        <v>0.28832112972311902</v>
      </c>
      <c r="BB84" s="469">
        <f t="shared" si="136"/>
        <v>35.202007788996511</v>
      </c>
      <c r="BC84" s="5"/>
      <c r="BD84" s="177">
        <f t="shared" si="163"/>
        <v>0.33136089864753099</v>
      </c>
      <c r="BE84" s="177">
        <f t="shared" si="137"/>
        <v>5077.9649569222902</v>
      </c>
      <c r="BF84" s="177">
        <f t="shared" si="138"/>
        <v>25072.709373676324</v>
      </c>
      <c r="BG84" s="177"/>
      <c r="BH84" s="538">
        <f t="shared" si="139"/>
        <v>3.8430015803374754E-2</v>
      </c>
      <c r="BI84" s="538">
        <f t="shared" si="140"/>
        <v>1107.1197063894413</v>
      </c>
      <c r="BJ84" s="538">
        <f t="shared" si="141"/>
        <v>4.3749999999999995E-3</v>
      </c>
      <c r="BK84" s="538">
        <f t="shared" si="142"/>
        <v>8462927.8085788898</v>
      </c>
      <c r="BL84">
        <f t="shared" si="143"/>
        <v>6.96E-3</v>
      </c>
      <c r="BM84">
        <f t="shared" si="144"/>
        <v>1.6625000000000001E-5</v>
      </c>
      <c r="BN84">
        <f t="shared" si="145"/>
        <v>8524476.401496185</v>
      </c>
      <c r="BO84" s="469">
        <f t="shared" si="164"/>
        <v>8524476401.4961853</v>
      </c>
      <c r="BP84" s="177">
        <f t="shared" si="146"/>
        <v>19700296.293883823</v>
      </c>
      <c r="BQ84" s="177">
        <f t="shared" si="147"/>
        <v>480281537.19051051</v>
      </c>
      <c r="BR84" s="538"/>
      <c r="BT84" s="469">
        <f t="shared" si="165"/>
        <v>499981833484.39429</v>
      </c>
      <c r="BU84" s="538">
        <f t="shared" si="148"/>
        <v>1.0980004515249931E-2</v>
      </c>
      <c r="BV84" s="538">
        <f t="shared" si="149"/>
        <v>773571.8431119239</v>
      </c>
      <c r="BW84" s="538">
        <f t="shared" si="150"/>
        <v>31432037.766841829</v>
      </c>
      <c r="BX84" s="538">
        <f t="shared" si="151"/>
        <v>0</v>
      </c>
      <c r="BY84" s="538">
        <f t="shared" si="152"/>
        <v>-14.00000543383808</v>
      </c>
      <c r="BZ84" s="538">
        <f t="shared" si="166"/>
        <v>32205609.620933756</v>
      </c>
      <c r="CA84" s="641">
        <f t="shared" si="153"/>
        <v>1.4483333333333336E-2</v>
      </c>
      <c r="CB84" s="469">
        <f t="shared" si="167"/>
        <v>-13985.522100504748</v>
      </c>
      <c r="CC84" s="177">
        <f t="shared" si="168"/>
        <v>508506295.90036845</v>
      </c>
      <c r="CD84" s="5">
        <f t="shared" si="169"/>
        <v>4.3450000000000006</v>
      </c>
      <c r="CE84" s="177">
        <f t="shared" si="170"/>
        <v>8.5446335628554004E-9</v>
      </c>
      <c r="CF84" s="5">
        <f t="shared" si="171"/>
        <v>8.5446335628554009E-7</v>
      </c>
      <c r="CG84">
        <f t="shared" si="172"/>
        <v>79.000000000000014</v>
      </c>
      <c r="CI84" s="571">
        <f t="shared" si="154"/>
        <v>-50</v>
      </c>
      <c r="CJ84">
        <f t="shared" si="155"/>
        <v>-50</v>
      </c>
    </row>
    <row r="85" spans="5:88" x14ac:dyDescent="0.25">
      <c r="E85" s="174">
        <v>80</v>
      </c>
      <c r="F85" s="221">
        <f t="shared" si="173"/>
        <v>8.0000000000000016E-2</v>
      </c>
      <c r="G85" s="221">
        <f t="shared" si="156"/>
        <v>0.4</v>
      </c>
      <c r="H85" s="221">
        <f t="shared" si="105"/>
        <v>1.2000000000000002</v>
      </c>
      <c r="I85" s="221">
        <f t="shared" si="174"/>
        <v>3.2</v>
      </c>
      <c r="J85" s="551">
        <f t="shared" si="106"/>
        <v>24</v>
      </c>
      <c r="K85" s="451">
        <f t="shared" si="107"/>
        <v>695386.58000000007</v>
      </c>
      <c r="L85" s="451">
        <f t="shared" si="108"/>
        <v>695410.58000000007</v>
      </c>
      <c r="M85" s="451"/>
      <c r="N85" s="221">
        <f t="shared" si="109"/>
        <v>0.99996548801428931</v>
      </c>
      <c r="O85" s="176">
        <f t="shared" si="157"/>
        <v>2.2090146689770211</v>
      </c>
      <c r="P85" s="176">
        <f t="shared" si="110"/>
        <v>5.8907057839387225</v>
      </c>
      <c r="Q85" s="221">
        <f t="shared" si="111"/>
        <v>0.14726764459846808</v>
      </c>
      <c r="R85" s="221">
        <f t="shared" si="112"/>
        <v>0.27612683362212764</v>
      </c>
      <c r="S85" s="451">
        <f t="shared" si="113"/>
        <v>15</v>
      </c>
      <c r="T85" s="221">
        <f t="shared" si="114"/>
        <v>0.40742146833130072</v>
      </c>
      <c r="U85" s="221">
        <f t="shared" si="115"/>
        <v>0.50927683541412594</v>
      </c>
      <c r="V85" s="221">
        <f t="shared" si="116"/>
        <v>1.7576761475522034E-5</v>
      </c>
      <c r="W85" s="201">
        <f t="shared" si="117"/>
        <v>350</v>
      </c>
      <c r="X85" s="451">
        <f t="shared" si="158"/>
        <v>350</v>
      </c>
      <c r="Z85" s="221">
        <f t="shared" si="118"/>
        <v>2.2856354011755182</v>
      </c>
      <c r="AA85" s="177">
        <f t="shared" si="119"/>
        <v>9.8605673459021225E-5</v>
      </c>
      <c r="AB85" s="177">
        <f t="shared" si="120"/>
        <v>0.4914588143407696</v>
      </c>
      <c r="AC85" s="177"/>
      <c r="AD85" s="177">
        <f t="shared" si="121"/>
        <v>6.4712206554230591E-6</v>
      </c>
      <c r="AE85" s="555">
        <f t="shared" si="122"/>
        <v>13228.246913580253</v>
      </c>
      <c r="AF85" s="538">
        <f t="shared" si="123"/>
        <v>2.1166825946720815E-3</v>
      </c>
      <c r="AH85" s="177">
        <f t="shared" si="124"/>
        <v>0.91547541643412689</v>
      </c>
      <c r="AI85" s="177">
        <f t="shared" si="125"/>
        <v>0.91547541643412689</v>
      </c>
      <c r="AJ85" s="177">
        <f t="shared" si="126"/>
        <v>1.7670188269882421</v>
      </c>
      <c r="AL85" s="555">
        <f t="shared" si="127"/>
        <v>80.000000000000014</v>
      </c>
      <c r="AM85" s="469">
        <f t="shared" si="128"/>
        <v>350</v>
      </c>
      <c r="AO85">
        <f t="shared" si="159"/>
        <v>80.000000000000014</v>
      </c>
      <c r="AP85">
        <f t="shared" si="129"/>
        <v>350</v>
      </c>
      <c r="AR85" s="5">
        <f t="shared" si="160"/>
        <v>2.8571428571428572</v>
      </c>
      <c r="AS85" s="5">
        <f t="shared" si="130"/>
        <v>1.1443442705426587</v>
      </c>
      <c r="AT85" s="5">
        <f t="shared" si="161"/>
        <v>1.7127985866001985</v>
      </c>
      <c r="AU85" s="177">
        <f t="shared" si="162"/>
        <v>0.40052049468993056</v>
      </c>
      <c r="AW85" s="5">
        <f t="shared" si="131"/>
        <v>0.10724833101420155</v>
      </c>
      <c r="AX85" s="5">
        <f t="shared" si="132"/>
        <v>1.2695839777363349</v>
      </c>
      <c r="AY85" s="5">
        <f t="shared" si="133"/>
        <v>2.7494601245163159</v>
      </c>
      <c r="AZ85" s="5">
        <f t="shared" si="134"/>
        <v>3.7951565611752214</v>
      </c>
      <c r="BA85" s="5">
        <f t="shared" si="135"/>
        <v>0.29075284649077443</v>
      </c>
      <c r="BB85" s="469">
        <f t="shared" si="136"/>
        <v>35.501452690004051</v>
      </c>
      <c r="BC85" s="5"/>
      <c r="BD85" s="177">
        <f t="shared" si="163"/>
        <v>0.33450177845026968</v>
      </c>
      <c r="BE85" s="177">
        <f t="shared" si="137"/>
        <v>5099.3339170582294</v>
      </c>
      <c r="BF85" s="177">
        <f t="shared" si="138"/>
        <v>25178.219697526769</v>
      </c>
      <c r="BG85" s="177"/>
      <c r="BH85" s="538">
        <f t="shared" si="139"/>
        <v>3.9162003925237658E-2</v>
      </c>
      <c r="BI85" s="538">
        <f t="shared" si="140"/>
        <v>1114.1047580568461</v>
      </c>
      <c r="BJ85" s="538">
        <f t="shared" si="141"/>
        <v>4.3749999999999995E-3</v>
      </c>
      <c r="BK85" s="538">
        <f t="shared" si="142"/>
        <v>8462927.8085788898</v>
      </c>
      <c r="BL85">
        <f t="shared" si="143"/>
        <v>6.96E-3</v>
      </c>
      <c r="BM85">
        <f t="shared" si="144"/>
        <v>1.6625000000000001E-5</v>
      </c>
      <c r="BN85">
        <f t="shared" si="145"/>
        <v>8525643.0629164949</v>
      </c>
      <c r="BO85" s="469">
        <f t="shared" si="164"/>
        <v>8525643062.9164953</v>
      </c>
      <c r="BP85" s="177">
        <f t="shared" si="146"/>
        <v>19866449.710732561</v>
      </c>
      <c r="BQ85" s="177">
        <f t="shared" si="147"/>
        <v>484332258.92721057</v>
      </c>
      <c r="BR85" s="538"/>
      <c r="BT85" s="469">
        <f t="shared" si="165"/>
        <v>504198708637.94318</v>
      </c>
      <c r="BU85" s="538">
        <f t="shared" si="148"/>
        <v>1.1189143978639331E-2</v>
      </c>
      <c r="BV85" s="538">
        <f t="shared" si="149"/>
        <v>780096.19192981278</v>
      </c>
      <c r="BW85" s="538">
        <f t="shared" si="150"/>
        <v>31697137.356846251</v>
      </c>
      <c r="BX85" s="538">
        <f t="shared" si="151"/>
        <v>0</v>
      </c>
      <c r="BY85" s="538">
        <f t="shared" si="152"/>
        <v>-14.000005388392058</v>
      </c>
      <c r="BZ85" s="538">
        <f t="shared" si="166"/>
        <v>32477233.559965208</v>
      </c>
      <c r="CA85" s="641">
        <f t="shared" si="153"/>
        <v>1.4666666666666666E-2</v>
      </c>
      <c r="CB85" s="469">
        <f t="shared" si="167"/>
        <v>-13985.338721725391</v>
      </c>
      <c r="CC85" s="177">
        <f t="shared" si="168"/>
        <v>512724337.71552092</v>
      </c>
      <c r="CD85" s="5">
        <f t="shared" si="169"/>
        <v>4.4000000000000004</v>
      </c>
      <c r="CE85" s="177">
        <f t="shared" si="170"/>
        <v>8.5816093338682268E-9</v>
      </c>
      <c r="CF85" s="5">
        <f t="shared" si="171"/>
        <v>8.5816093338682263E-7</v>
      </c>
      <c r="CG85">
        <f t="shared" si="172"/>
        <v>80.000000000000014</v>
      </c>
      <c r="CI85" s="571">
        <f t="shared" si="154"/>
        <v>-50</v>
      </c>
      <c r="CJ85">
        <f t="shared" si="155"/>
        <v>-50</v>
      </c>
    </row>
    <row r="86" spans="5:88" x14ac:dyDescent="0.25">
      <c r="E86" s="174">
        <v>81</v>
      </c>
      <c r="F86" s="221">
        <f t="shared" si="173"/>
        <v>8.1000000000000016E-2</v>
      </c>
      <c r="G86" s="221">
        <f t="shared" si="156"/>
        <v>0.40500000000000003</v>
      </c>
      <c r="H86" s="221">
        <f t="shared" si="105"/>
        <v>1.2150000000000003</v>
      </c>
      <c r="I86" s="221">
        <f t="shared" si="174"/>
        <v>3.24</v>
      </c>
      <c r="J86" s="551">
        <f t="shared" si="106"/>
        <v>24</v>
      </c>
      <c r="K86" s="451">
        <f t="shared" si="107"/>
        <v>695386.58000000007</v>
      </c>
      <c r="L86" s="451">
        <f t="shared" si="108"/>
        <v>695410.58000000007</v>
      </c>
      <c r="M86" s="451"/>
      <c r="N86" s="221">
        <f t="shared" si="109"/>
        <v>0.99996548801428931</v>
      </c>
      <c r="O86" s="176">
        <f t="shared" si="157"/>
        <v>2.2090146689770211</v>
      </c>
      <c r="P86" s="176">
        <f t="shared" si="110"/>
        <v>5.8907057839387225</v>
      </c>
      <c r="Q86" s="221">
        <f t="shared" si="111"/>
        <v>0.14726764459846808</v>
      </c>
      <c r="R86" s="221">
        <f t="shared" si="112"/>
        <v>0.27612683362212764</v>
      </c>
      <c r="S86" s="451">
        <f t="shared" si="113"/>
        <v>15</v>
      </c>
      <c r="T86" s="221">
        <f t="shared" si="114"/>
        <v>0.41251423668544196</v>
      </c>
      <c r="U86" s="221">
        <f t="shared" si="115"/>
        <v>0.51564279585680239</v>
      </c>
      <c r="V86" s="221">
        <f t="shared" si="116"/>
        <v>1.7796470993966058E-5</v>
      </c>
      <c r="W86" s="201">
        <f t="shared" si="117"/>
        <v>350</v>
      </c>
      <c r="X86" s="451">
        <f t="shared" si="158"/>
        <v>350</v>
      </c>
      <c r="Z86" s="221">
        <f t="shared" si="118"/>
        <v>2.2856354011755182</v>
      </c>
      <c r="AA86" s="177">
        <f t="shared" si="119"/>
        <v>9.8605673459021225E-5</v>
      </c>
      <c r="AB86" s="177">
        <f t="shared" si="120"/>
        <v>0.4914588143407696</v>
      </c>
      <c r="AC86" s="177"/>
      <c r="AD86" s="177">
        <f t="shared" si="121"/>
        <v>6.4712206554230591E-6</v>
      </c>
      <c r="AE86" s="555">
        <f t="shared" si="122"/>
        <v>13393.600000000008</v>
      </c>
      <c r="AF86" s="538">
        <f t="shared" si="123"/>
        <v>2.1166825946720815E-3</v>
      </c>
      <c r="AH86" s="177">
        <f t="shared" si="124"/>
        <v>0.9211793682944861</v>
      </c>
      <c r="AI86" s="177">
        <f t="shared" si="125"/>
        <v>0.9211793682944861</v>
      </c>
      <c r="AJ86" s="177">
        <f t="shared" si="126"/>
        <v>1.7712439765144339</v>
      </c>
      <c r="AL86" s="555">
        <f t="shared" si="127"/>
        <v>81.000000000000014</v>
      </c>
      <c r="AM86" s="469">
        <f t="shared" si="128"/>
        <v>350</v>
      </c>
      <c r="AO86">
        <f t="shared" si="159"/>
        <v>81.000000000000014</v>
      </c>
      <c r="AP86">
        <f t="shared" si="129"/>
        <v>350</v>
      </c>
      <c r="AR86" s="5">
        <f t="shared" si="160"/>
        <v>2.8571428571428572</v>
      </c>
      <c r="AS86" s="5">
        <f t="shared" si="130"/>
        <v>1.1514742103681077</v>
      </c>
      <c r="AT86" s="5">
        <f t="shared" si="161"/>
        <v>1.7056686467747495</v>
      </c>
      <c r="AU86" s="177">
        <f t="shared" si="162"/>
        <v>0.40301597362883768</v>
      </c>
      <c r="AW86" s="5">
        <f t="shared" si="131"/>
        <v>0.10724833101420155</v>
      </c>
      <c r="AX86" s="5">
        <f t="shared" si="132"/>
        <v>1.2984844496762646</v>
      </c>
      <c r="AY86" s="5">
        <f t="shared" si="133"/>
        <v>2.7494601245163159</v>
      </c>
      <c r="AZ86" s="5">
        <f t="shared" si="134"/>
        <v>3.8805034684172859</v>
      </c>
      <c r="BA86" s="5">
        <f t="shared" si="135"/>
        <v>0.29316179866441006</v>
      </c>
      <c r="BB86" s="469">
        <f t="shared" si="136"/>
        <v>35.798165839729208</v>
      </c>
      <c r="BC86" s="5"/>
      <c r="BD86" s="177">
        <f t="shared" si="163"/>
        <v>0.33763285803731047</v>
      </c>
      <c r="BE86" s="177">
        <f t="shared" si="137"/>
        <v>5120.4149013151591</v>
      </c>
      <c r="BF86" s="177">
        <f t="shared" si="138"/>
        <v>25282.308125877295</v>
      </c>
      <c r="BG86" s="177"/>
      <c r="BH86" s="538">
        <f t="shared" si="139"/>
        <v>3.9898581389254922E-2</v>
      </c>
      <c r="BI86" s="538">
        <f t="shared" si="140"/>
        <v>1121.0462878819792</v>
      </c>
      <c r="BJ86" s="538">
        <f t="shared" si="141"/>
        <v>4.3749999999999995E-3</v>
      </c>
      <c r="BK86" s="538">
        <f t="shared" si="142"/>
        <v>8462927.8085788898</v>
      </c>
      <c r="BL86">
        <f t="shared" si="143"/>
        <v>6.96E-3</v>
      </c>
      <c r="BM86">
        <f t="shared" si="144"/>
        <v>1.6625000000000001E-5</v>
      </c>
      <c r="BN86">
        <f t="shared" si="145"/>
        <v>8526817.2714325171</v>
      </c>
      <c r="BO86" s="469">
        <f t="shared" si="164"/>
        <v>8526817271.4325171</v>
      </c>
      <c r="BP86" s="177">
        <f t="shared" si="146"/>
        <v>20031047.677076787</v>
      </c>
      <c r="BQ86" s="177">
        <f t="shared" si="147"/>
        <v>488345059.70328838</v>
      </c>
      <c r="BR86" s="538"/>
      <c r="BT86" s="469">
        <f t="shared" si="165"/>
        <v>508376107380.36511</v>
      </c>
      <c r="BU86" s="538">
        <f t="shared" si="148"/>
        <v>1.1399594682644265E-2</v>
      </c>
      <c r="BV86" s="538">
        <f t="shared" si="149"/>
        <v>786559.46284830989</v>
      </c>
      <c r="BW86" s="538">
        <f t="shared" si="150"/>
        <v>31959755.208590057</v>
      </c>
      <c r="BX86" s="538">
        <f t="shared" si="151"/>
        <v>0</v>
      </c>
      <c r="BY86" s="538">
        <f t="shared" si="152"/>
        <v>-14.000005344114857</v>
      </c>
      <c r="BZ86" s="538">
        <f t="shared" si="166"/>
        <v>32746314.682837963</v>
      </c>
      <c r="CA86" s="641">
        <f t="shared" si="153"/>
        <v>1.4849999999999999E-2</v>
      </c>
      <c r="CB86" s="469">
        <f t="shared" si="167"/>
        <v>-13985.155344114859</v>
      </c>
      <c r="CC86" s="177">
        <f t="shared" si="168"/>
        <v>516902910.66664231</v>
      </c>
      <c r="CD86" s="5">
        <f t="shared" si="169"/>
        <v>4.4550000000000001</v>
      </c>
      <c r="CE86" s="177">
        <f t="shared" si="170"/>
        <v>8.6186397284132341E-9</v>
      </c>
      <c r="CF86" s="5">
        <f t="shared" si="171"/>
        <v>8.6186397284132344E-7</v>
      </c>
      <c r="CG86">
        <f t="shared" si="172"/>
        <v>81.000000000000014</v>
      </c>
      <c r="CI86" s="571">
        <f t="shared" si="154"/>
        <v>-50</v>
      </c>
      <c r="CJ86">
        <f t="shared" si="155"/>
        <v>-50</v>
      </c>
    </row>
    <row r="87" spans="5:88" x14ac:dyDescent="0.25">
      <c r="E87" s="174">
        <v>82</v>
      </c>
      <c r="F87" s="221">
        <f t="shared" si="173"/>
        <v>8.2000000000000003E-2</v>
      </c>
      <c r="G87" s="221">
        <f t="shared" si="156"/>
        <v>0.41</v>
      </c>
      <c r="H87" s="221">
        <f t="shared" si="105"/>
        <v>1.23</v>
      </c>
      <c r="I87" s="221">
        <f t="shared" si="174"/>
        <v>3.28</v>
      </c>
      <c r="J87" s="551">
        <f t="shared" si="106"/>
        <v>24</v>
      </c>
      <c r="K87" s="451">
        <f t="shared" si="107"/>
        <v>695386.58000000007</v>
      </c>
      <c r="L87" s="451">
        <f t="shared" si="108"/>
        <v>695410.58000000007</v>
      </c>
      <c r="M87" s="451"/>
      <c r="N87" s="221">
        <f t="shared" si="109"/>
        <v>0.99996548801428931</v>
      </c>
      <c r="O87" s="176">
        <f t="shared" si="157"/>
        <v>2.2090146689770211</v>
      </c>
      <c r="P87" s="176">
        <f t="shared" si="110"/>
        <v>5.8907057839387225</v>
      </c>
      <c r="Q87" s="221">
        <f t="shared" si="111"/>
        <v>0.14726764459846808</v>
      </c>
      <c r="R87" s="221">
        <f t="shared" si="112"/>
        <v>0.27612683362212764</v>
      </c>
      <c r="S87" s="451">
        <f t="shared" si="113"/>
        <v>15</v>
      </c>
      <c r="T87" s="221">
        <f t="shared" si="114"/>
        <v>0.41760700503958315</v>
      </c>
      <c r="U87" s="221">
        <f t="shared" si="115"/>
        <v>0.52200875629947896</v>
      </c>
      <c r="V87" s="221">
        <f t="shared" si="116"/>
        <v>1.8016180512410078E-5</v>
      </c>
      <c r="W87" s="201">
        <f t="shared" si="117"/>
        <v>350</v>
      </c>
      <c r="X87" s="451">
        <f t="shared" si="158"/>
        <v>350</v>
      </c>
      <c r="Z87" s="221">
        <f t="shared" si="118"/>
        <v>2.2856354011755182</v>
      </c>
      <c r="AA87" s="177">
        <f t="shared" si="119"/>
        <v>9.8605673459021225E-5</v>
      </c>
      <c r="AB87" s="177">
        <f t="shared" si="120"/>
        <v>0.4914588143407696</v>
      </c>
      <c r="AC87" s="177"/>
      <c r="AD87" s="177">
        <f t="shared" si="121"/>
        <v>6.4712206554230591E-6</v>
      </c>
      <c r="AE87" s="555">
        <f t="shared" si="122"/>
        <v>13558.953086419757</v>
      </c>
      <c r="AF87" s="538">
        <f t="shared" si="123"/>
        <v>2.1166825946720815E-3</v>
      </c>
      <c r="AH87" s="177">
        <f t="shared" si="124"/>
        <v>0.9268482179125227</v>
      </c>
      <c r="AI87" s="177">
        <f t="shared" si="125"/>
        <v>0.9268482179125227</v>
      </c>
      <c r="AJ87" s="177">
        <f t="shared" si="126"/>
        <v>1.7754431243796462</v>
      </c>
      <c r="AL87" s="555">
        <f t="shared" si="127"/>
        <v>82</v>
      </c>
      <c r="AM87" s="469">
        <f t="shared" si="128"/>
        <v>350</v>
      </c>
      <c r="AO87">
        <f t="shared" si="159"/>
        <v>82</v>
      </c>
      <c r="AP87">
        <f t="shared" si="129"/>
        <v>350</v>
      </c>
      <c r="AR87" s="5">
        <f t="shared" si="160"/>
        <v>2.8571428571428572</v>
      </c>
      <c r="AS87" s="5">
        <f t="shared" si="130"/>
        <v>1.1585602723906534</v>
      </c>
      <c r="AT87" s="5">
        <f t="shared" si="161"/>
        <v>1.6985825847522038</v>
      </c>
      <c r="AU87" s="177">
        <f t="shared" si="162"/>
        <v>0.4054960953367287</v>
      </c>
      <c r="AW87" s="5">
        <f t="shared" si="131"/>
        <v>0.10724833101420155</v>
      </c>
      <c r="AX87" s="5">
        <f t="shared" si="132"/>
        <v>1.3277066666092365</v>
      </c>
      <c r="AY87" s="5">
        <f t="shared" si="133"/>
        <v>2.7494601245163159</v>
      </c>
      <c r="AZ87" s="5">
        <f t="shared" si="134"/>
        <v>3.9667863620847155</v>
      </c>
      <c r="BA87" s="5">
        <f t="shared" si="135"/>
        <v>0.29554812720804158</v>
      </c>
      <c r="BB87" s="469">
        <f t="shared" si="136"/>
        <v>36.092164153853879</v>
      </c>
      <c r="BC87" s="5"/>
      <c r="BD87" s="177">
        <f t="shared" si="163"/>
        <v>0.34075428842110611</v>
      </c>
      <c r="BE87" s="177">
        <f t="shared" si="137"/>
        <v>5141.2126782077648</v>
      </c>
      <c r="BF87" s="177">
        <f t="shared" si="138"/>
        <v>25384.998203510851</v>
      </c>
      <c r="BG87" s="177"/>
      <c r="BH87" s="538">
        <f t="shared" si="139"/>
        <v>4.0639719777081029E-2</v>
      </c>
      <c r="BI87" s="538">
        <f t="shared" si="140"/>
        <v>1127.9450993833993</v>
      </c>
      <c r="BJ87" s="538">
        <f t="shared" si="141"/>
        <v>4.3749999999999995E-3</v>
      </c>
      <c r="BK87" s="538">
        <f t="shared" si="142"/>
        <v>8462927.8085788898</v>
      </c>
      <c r="BL87">
        <f t="shared" si="143"/>
        <v>6.96E-3</v>
      </c>
      <c r="BM87">
        <f t="shared" si="144"/>
        <v>1.6625000000000001E-5</v>
      </c>
      <c r="BN87">
        <f t="shared" si="145"/>
        <v>8527998.988907557</v>
      </c>
      <c r="BO87" s="469">
        <f t="shared" si="164"/>
        <v>8527998988.9075565</v>
      </c>
      <c r="BP87" s="177">
        <f t="shared" si="146"/>
        <v>20194099.824652091</v>
      </c>
      <c r="BQ87" s="177">
        <f t="shared" si="147"/>
        <v>492320174.33474326</v>
      </c>
      <c r="BR87" s="538"/>
      <c r="BT87" s="469">
        <f t="shared" si="165"/>
        <v>512514274159.39532</v>
      </c>
      <c r="BU87" s="538">
        <f t="shared" si="148"/>
        <v>1.1611348507737438E-2</v>
      </c>
      <c r="BV87" s="538">
        <f t="shared" si="149"/>
        <v>792962.03407692781</v>
      </c>
      <c r="BW87" s="538">
        <f t="shared" si="150"/>
        <v>32219906.689612463</v>
      </c>
      <c r="BX87" s="538">
        <f t="shared" si="151"/>
        <v>0</v>
      </c>
      <c r="BY87" s="538">
        <f t="shared" si="152"/>
        <v>-14.000005300965141</v>
      </c>
      <c r="BZ87" s="538">
        <f t="shared" si="166"/>
        <v>33012868.735300738</v>
      </c>
      <c r="CA87" s="641">
        <f t="shared" si="153"/>
        <v>1.5033333333333338E-2</v>
      </c>
      <c r="CB87" s="469">
        <f t="shared" si="167"/>
        <v>-13984.971967631807</v>
      </c>
      <c r="CC87" s="177">
        <f t="shared" si="168"/>
        <v>521042259.16333091</v>
      </c>
      <c r="CD87" s="5">
        <f t="shared" si="169"/>
        <v>4.51</v>
      </c>
      <c r="CE87" s="177">
        <f t="shared" si="170"/>
        <v>8.6557277872329346E-9</v>
      </c>
      <c r="CF87" s="5">
        <f t="shared" si="171"/>
        <v>8.6557277872329346E-7</v>
      </c>
      <c r="CG87">
        <f t="shared" si="172"/>
        <v>82</v>
      </c>
      <c r="CI87" s="571">
        <f t="shared" si="154"/>
        <v>-50</v>
      </c>
      <c r="CJ87">
        <f t="shared" si="155"/>
        <v>-50</v>
      </c>
    </row>
    <row r="88" spans="5:88" x14ac:dyDescent="0.25">
      <c r="E88" s="174">
        <v>83</v>
      </c>
      <c r="F88" s="221">
        <f t="shared" si="173"/>
        <v>8.3000000000000004E-2</v>
      </c>
      <c r="G88" s="221">
        <f t="shared" si="156"/>
        <v>0.41499999999999998</v>
      </c>
      <c r="H88" s="221">
        <f t="shared" si="105"/>
        <v>1.2450000000000001</v>
      </c>
      <c r="I88" s="221">
        <f t="shared" si="174"/>
        <v>3.32</v>
      </c>
      <c r="J88" s="551">
        <f t="shared" si="106"/>
        <v>24</v>
      </c>
      <c r="K88" s="451">
        <f t="shared" si="107"/>
        <v>695386.58000000007</v>
      </c>
      <c r="L88" s="451">
        <f t="shared" si="108"/>
        <v>695410.58000000007</v>
      </c>
      <c r="M88" s="451"/>
      <c r="N88" s="221">
        <f t="shared" si="109"/>
        <v>0.99996548801428931</v>
      </c>
      <c r="O88" s="176">
        <f t="shared" si="157"/>
        <v>2.2090146689770211</v>
      </c>
      <c r="P88" s="176">
        <f t="shared" si="110"/>
        <v>5.8907057839387225</v>
      </c>
      <c r="Q88" s="221">
        <f t="shared" si="111"/>
        <v>0.14726764459846808</v>
      </c>
      <c r="R88" s="221">
        <f t="shared" si="112"/>
        <v>0.27612683362212764</v>
      </c>
      <c r="S88" s="451">
        <f t="shared" si="113"/>
        <v>15</v>
      </c>
      <c r="T88" s="221">
        <f t="shared" si="114"/>
        <v>0.42269977339372439</v>
      </c>
      <c r="U88" s="221">
        <f t="shared" si="115"/>
        <v>0.52837471674215553</v>
      </c>
      <c r="V88" s="221">
        <f t="shared" si="116"/>
        <v>1.8235890030854109E-5</v>
      </c>
      <c r="W88" s="201">
        <f t="shared" si="117"/>
        <v>350</v>
      </c>
      <c r="X88" s="451">
        <f t="shared" si="158"/>
        <v>350</v>
      </c>
      <c r="Z88" s="221">
        <f t="shared" si="118"/>
        <v>2.2856354011755182</v>
      </c>
      <c r="AA88" s="177">
        <f t="shared" si="119"/>
        <v>9.8605673459021225E-5</v>
      </c>
      <c r="AB88" s="177">
        <f t="shared" si="120"/>
        <v>0.4914588143407696</v>
      </c>
      <c r="AC88" s="177"/>
      <c r="AD88" s="177">
        <f t="shared" si="121"/>
        <v>6.4712206554230591E-6</v>
      </c>
      <c r="AE88" s="555">
        <f t="shared" si="122"/>
        <v>13724.30617283951</v>
      </c>
      <c r="AF88" s="538">
        <f t="shared" si="123"/>
        <v>2.1166825946720815E-3</v>
      </c>
      <c r="AH88" s="177">
        <f t="shared" si="124"/>
        <v>0.93248260548055772</v>
      </c>
      <c r="AI88" s="177">
        <f t="shared" si="125"/>
        <v>0.93248260548055772</v>
      </c>
      <c r="AJ88" s="177">
        <f t="shared" si="126"/>
        <v>1.779616744800413</v>
      </c>
      <c r="AL88" s="555">
        <f t="shared" si="127"/>
        <v>83</v>
      </c>
      <c r="AM88" s="469">
        <f t="shared" si="128"/>
        <v>350</v>
      </c>
      <c r="AO88">
        <f t="shared" si="159"/>
        <v>83</v>
      </c>
      <c r="AP88">
        <f t="shared" si="129"/>
        <v>350</v>
      </c>
      <c r="AR88" s="5">
        <f t="shared" si="160"/>
        <v>2.8571428571428572</v>
      </c>
      <c r="AS88" s="5">
        <f t="shared" si="130"/>
        <v>1.1656032568506973</v>
      </c>
      <c r="AT88" s="5">
        <f t="shared" si="161"/>
        <v>1.6915396002921599</v>
      </c>
      <c r="AU88" s="177">
        <f t="shared" si="162"/>
        <v>0.40796113989774407</v>
      </c>
      <c r="AW88" s="5">
        <f t="shared" si="131"/>
        <v>0.10724833101420155</v>
      </c>
      <c r="AX88" s="5">
        <f t="shared" si="132"/>
        <v>1.3572506285352515</v>
      </c>
      <c r="AY88" s="5">
        <f t="shared" si="133"/>
        <v>2.7494601245163159</v>
      </c>
      <c r="AZ88" s="5">
        <f t="shared" si="134"/>
        <v>4.0540052421775155</v>
      </c>
      <c r="BA88" s="5">
        <f t="shared" si="135"/>
        <v>0.29791197049898566</v>
      </c>
      <c r="BB88" s="469">
        <f t="shared" si="136"/>
        <v>36.383464237656057</v>
      </c>
      <c r="BC88" s="5"/>
      <c r="BD88" s="177">
        <f t="shared" si="163"/>
        <v>0.34386621647648674</v>
      </c>
      <c r="BE88" s="177">
        <f t="shared" si="137"/>
        <v>5161.7318698443505</v>
      </c>
      <c r="BF88" s="177">
        <f t="shared" si="138"/>
        <v>25486.312752321497</v>
      </c>
      <c r="BG88" s="177"/>
      <c r="BH88" s="538">
        <f t="shared" si="139"/>
        <v>4.1385391191848912E-2</v>
      </c>
      <c r="BI88" s="538">
        <f t="shared" si="140"/>
        <v>1134.8019716550054</v>
      </c>
      <c r="BJ88" s="538">
        <f t="shared" si="141"/>
        <v>4.3749999999999995E-3</v>
      </c>
      <c r="BK88" s="538">
        <f t="shared" si="142"/>
        <v>8462927.8085788898</v>
      </c>
      <c r="BL88">
        <f t="shared" si="143"/>
        <v>6.96E-3</v>
      </c>
      <c r="BM88">
        <f t="shared" si="144"/>
        <v>1.6625000000000001E-5</v>
      </c>
      <c r="BN88">
        <f t="shared" si="145"/>
        <v>8529188.1779995896</v>
      </c>
      <c r="BO88" s="469">
        <f t="shared" si="164"/>
        <v>8529188177.9995899</v>
      </c>
      <c r="BP88" s="177">
        <f t="shared" si="146"/>
        <v>20355615.608450972</v>
      </c>
      <c r="BQ88" s="177">
        <f t="shared" si="147"/>
        <v>496257833.32868439</v>
      </c>
      <c r="BR88" s="538"/>
      <c r="BT88" s="469">
        <f t="shared" si="165"/>
        <v>516613448937.13531</v>
      </c>
      <c r="BU88" s="538">
        <f t="shared" si="148"/>
        <v>1.1824397483385405E-2</v>
      </c>
      <c r="BV88" s="538">
        <f t="shared" si="149"/>
        <v>799304.27688500553</v>
      </c>
      <c r="BW88" s="538">
        <f t="shared" si="150"/>
        <v>32477606.885457266</v>
      </c>
      <c r="BX88" s="538">
        <f t="shared" si="151"/>
        <v>0</v>
      </c>
      <c r="BY88" s="538">
        <f t="shared" si="152"/>
        <v>-14.000005258903533</v>
      </c>
      <c r="BZ88" s="538">
        <f t="shared" si="166"/>
        <v>33276911.174166668</v>
      </c>
      <c r="CA88" s="641">
        <f t="shared" si="153"/>
        <v>1.5216666666666668E-2</v>
      </c>
      <c r="CB88" s="469">
        <f t="shared" si="167"/>
        <v>-13984.788592236866</v>
      </c>
      <c r="CC88" s="177">
        <f t="shared" si="168"/>
        <v>525142623.13034636</v>
      </c>
      <c r="CD88" s="5">
        <f t="shared" si="169"/>
        <v>4.5649999999999995</v>
      </c>
      <c r="CE88" s="177">
        <f t="shared" si="170"/>
        <v>8.6928764858302762E-9</v>
      </c>
      <c r="CF88" s="5">
        <f t="shared" si="171"/>
        <v>8.6928764858302756E-7</v>
      </c>
      <c r="CG88">
        <f t="shared" si="172"/>
        <v>83</v>
      </c>
      <c r="CI88" s="571">
        <f t="shared" si="154"/>
        <v>-50</v>
      </c>
      <c r="CJ88">
        <f t="shared" si="155"/>
        <v>-50</v>
      </c>
    </row>
    <row r="89" spans="5:88" x14ac:dyDescent="0.25">
      <c r="E89" s="174">
        <v>84</v>
      </c>
      <c r="F89" s="221">
        <f t="shared" si="173"/>
        <v>8.4000000000000005E-2</v>
      </c>
      <c r="G89" s="221">
        <f t="shared" si="156"/>
        <v>0.42</v>
      </c>
      <c r="H89" s="221">
        <f t="shared" si="105"/>
        <v>1.26</v>
      </c>
      <c r="I89" s="221">
        <f t="shared" si="174"/>
        <v>3.36</v>
      </c>
      <c r="J89" s="551">
        <f t="shared" si="106"/>
        <v>24</v>
      </c>
      <c r="K89" s="451">
        <f t="shared" si="107"/>
        <v>695386.58000000007</v>
      </c>
      <c r="L89" s="451">
        <f t="shared" si="108"/>
        <v>695410.58000000007</v>
      </c>
      <c r="M89" s="451"/>
      <c r="N89" s="221">
        <f t="shared" si="109"/>
        <v>0.99996548801428931</v>
      </c>
      <c r="O89" s="176">
        <f t="shared" si="157"/>
        <v>2.2090146689770211</v>
      </c>
      <c r="P89" s="176">
        <f t="shared" si="110"/>
        <v>5.8907057839387225</v>
      </c>
      <c r="Q89" s="221">
        <f t="shared" si="111"/>
        <v>0.14726764459846808</v>
      </c>
      <c r="R89" s="221">
        <f t="shared" si="112"/>
        <v>0.27612683362212764</v>
      </c>
      <c r="S89" s="451">
        <f t="shared" si="113"/>
        <v>15</v>
      </c>
      <c r="T89" s="221">
        <f t="shared" si="114"/>
        <v>0.42779254174786574</v>
      </c>
      <c r="U89" s="221">
        <f t="shared" si="115"/>
        <v>0.5347406771848322</v>
      </c>
      <c r="V89" s="221">
        <f t="shared" si="116"/>
        <v>1.8455599549298136E-5</v>
      </c>
      <c r="W89" s="201">
        <f t="shared" si="117"/>
        <v>350</v>
      </c>
      <c r="X89" s="451">
        <f t="shared" si="158"/>
        <v>350</v>
      </c>
      <c r="Z89" s="221">
        <f t="shared" si="118"/>
        <v>2.2856354011755182</v>
      </c>
      <c r="AA89" s="177">
        <f t="shared" si="119"/>
        <v>9.8605673459021225E-5</v>
      </c>
      <c r="AB89" s="177">
        <f t="shared" si="120"/>
        <v>0.4914588143407696</v>
      </c>
      <c r="AC89" s="177"/>
      <c r="AD89" s="177">
        <f t="shared" si="121"/>
        <v>6.4712206554230591E-6</v>
      </c>
      <c r="AE89" s="555">
        <f t="shared" si="122"/>
        <v>13889.659259259262</v>
      </c>
      <c r="AF89" s="538">
        <f t="shared" si="123"/>
        <v>2.1166825946720815E-3</v>
      </c>
      <c r="AH89" s="177">
        <f t="shared" si="124"/>
        <v>0.93808315196468595</v>
      </c>
      <c r="AI89" s="177">
        <f t="shared" si="125"/>
        <v>0.93808315196468595</v>
      </c>
      <c r="AJ89" s="177">
        <f t="shared" si="126"/>
        <v>1.7837652977516192</v>
      </c>
      <c r="AL89" s="555">
        <f t="shared" si="127"/>
        <v>84</v>
      </c>
      <c r="AM89" s="469">
        <f t="shared" si="128"/>
        <v>350</v>
      </c>
      <c r="AO89">
        <f t="shared" si="159"/>
        <v>84</v>
      </c>
      <c r="AP89">
        <f t="shared" si="129"/>
        <v>350</v>
      </c>
      <c r="AR89" s="5">
        <f t="shared" si="160"/>
        <v>2.8571428571428572</v>
      </c>
      <c r="AS89" s="5">
        <f t="shared" si="130"/>
        <v>1.1726039399558574</v>
      </c>
      <c r="AT89" s="5">
        <f t="shared" si="161"/>
        <v>1.6845389171869998</v>
      </c>
      <c r="AU89" s="177">
        <f t="shared" si="162"/>
        <v>0.4104113789845501</v>
      </c>
      <c r="AW89" s="5">
        <f t="shared" si="131"/>
        <v>0.10724833101420155</v>
      </c>
      <c r="AX89" s="5">
        <f t="shared" si="132"/>
        <v>1.3871163354543088</v>
      </c>
      <c r="AY89" s="5">
        <f t="shared" si="133"/>
        <v>2.7494601245163159</v>
      </c>
      <c r="AZ89" s="5">
        <f t="shared" si="134"/>
        <v>4.1421601086956805</v>
      </c>
      <c r="BA89" s="5">
        <f t="shared" si="135"/>
        <v>0.30025346440601614</v>
      </c>
      <c r="BB89" s="469">
        <f t="shared" si="136"/>
        <v>36.672082395388607</v>
      </c>
      <c r="BC89" s="5"/>
      <c r="BD89" s="177">
        <f t="shared" si="163"/>
        <v>0.346968785102447</v>
      </c>
      <c r="BE89" s="177">
        <f t="shared" si="137"/>
        <v>5181.976958045424</v>
      </c>
      <c r="BF89" s="177">
        <f t="shared" si="138"/>
        <v>25586.273901525175</v>
      </c>
      <c r="BG89" s="177"/>
      <c r="BH89" s="538">
        <f t="shared" si="139"/>
        <v>4.2135568242413809E-2</v>
      </c>
      <c r="BI89" s="538">
        <f t="shared" si="140"/>
        <v>1141.6176603929832</v>
      </c>
      <c r="BJ89" s="538">
        <f t="shared" si="141"/>
        <v>4.3749999999999995E-3</v>
      </c>
      <c r="BK89" s="538">
        <f t="shared" si="142"/>
        <v>8462927.8085788898</v>
      </c>
      <c r="BL89">
        <f t="shared" si="143"/>
        <v>6.96E-3</v>
      </c>
      <c r="BM89">
        <f t="shared" si="144"/>
        <v>1.6625000000000001E-5</v>
      </c>
      <c r="BN89">
        <f t="shared" si="145"/>
        <v>8530384.8021377344</v>
      </c>
      <c r="BO89" s="469">
        <f t="shared" si="164"/>
        <v>8530384802.1377344</v>
      </c>
      <c r="BP89" s="177">
        <f t="shared" si="146"/>
        <v>20515604.312063262</v>
      </c>
      <c r="BQ89" s="177">
        <f t="shared" si="147"/>
        <v>500158263.01352525</v>
      </c>
      <c r="BR89" s="538"/>
      <c r="BT89" s="469">
        <f t="shared" si="165"/>
        <v>520673867325.5885</v>
      </c>
      <c r="BU89" s="538">
        <f t="shared" si="148"/>
        <v>1.2038733783546805E-2</v>
      </c>
      <c r="BV89" s="538">
        <f t="shared" si="149"/>
        <v>805586.55581141112</v>
      </c>
      <c r="BW89" s="538">
        <f t="shared" si="150"/>
        <v>32732870.608193416</v>
      </c>
      <c r="BX89" s="538">
        <f t="shared" si="151"/>
        <v>0</v>
      </c>
      <c r="BY89" s="538">
        <f t="shared" si="152"/>
        <v>-14.000005217892532</v>
      </c>
      <c r="BZ89" s="538">
        <f t="shared" si="166"/>
        <v>33538457.176043563</v>
      </c>
      <c r="CA89" s="641">
        <f t="shared" si="153"/>
        <v>1.5400000000000006E-2</v>
      </c>
      <c r="CB89" s="469">
        <f t="shared" si="167"/>
        <v>-13984.605217892533</v>
      </c>
      <c r="CC89" s="177">
        <f t="shared" si="168"/>
        <v>529204238.143121</v>
      </c>
      <c r="CD89" s="5">
        <f t="shared" si="169"/>
        <v>4.62</v>
      </c>
      <c r="CE89" s="177">
        <f t="shared" si="170"/>
        <v>8.7300887382869575E-9</v>
      </c>
      <c r="CF89" s="5">
        <f t="shared" si="171"/>
        <v>8.7300887382869579E-7</v>
      </c>
      <c r="CG89">
        <f t="shared" si="172"/>
        <v>84</v>
      </c>
      <c r="CI89" s="571">
        <f t="shared" si="154"/>
        <v>-50</v>
      </c>
      <c r="CJ89">
        <f t="shared" si="155"/>
        <v>-50</v>
      </c>
    </row>
    <row r="90" spans="5:88" x14ac:dyDescent="0.25">
      <c r="E90" s="174">
        <v>85</v>
      </c>
      <c r="F90" s="221">
        <f t="shared" si="173"/>
        <v>8.5000000000000006E-2</v>
      </c>
      <c r="G90" s="221">
        <f t="shared" si="156"/>
        <v>0.42499999999999999</v>
      </c>
      <c r="H90" s="221">
        <f t="shared" si="105"/>
        <v>1.2750000000000001</v>
      </c>
      <c r="I90" s="221">
        <f t="shared" si="174"/>
        <v>3.4</v>
      </c>
      <c r="J90" s="551">
        <f t="shared" si="106"/>
        <v>24</v>
      </c>
      <c r="K90" s="451">
        <f t="shared" si="107"/>
        <v>695386.58000000007</v>
      </c>
      <c r="L90" s="451">
        <f t="shared" si="108"/>
        <v>695410.58000000007</v>
      </c>
      <c r="M90" s="451"/>
      <c r="N90" s="221">
        <f t="shared" si="109"/>
        <v>0.99996548801428931</v>
      </c>
      <c r="O90" s="176">
        <f t="shared" si="157"/>
        <v>2.2090146689770211</v>
      </c>
      <c r="P90" s="176">
        <f t="shared" si="110"/>
        <v>5.8907057839387225</v>
      </c>
      <c r="Q90" s="221">
        <f t="shared" si="111"/>
        <v>0.14726764459846808</v>
      </c>
      <c r="R90" s="221">
        <f t="shared" si="112"/>
        <v>0.27612683362212764</v>
      </c>
      <c r="S90" s="451">
        <f t="shared" si="113"/>
        <v>15</v>
      </c>
      <c r="T90" s="221">
        <f t="shared" si="114"/>
        <v>0.43288531010200693</v>
      </c>
      <c r="U90" s="221">
        <f t="shared" si="115"/>
        <v>0.54110663762750866</v>
      </c>
      <c r="V90" s="221">
        <f t="shared" si="116"/>
        <v>1.8675309067742156E-5</v>
      </c>
      <c r="W90" s="201">
        <f t="shared" si="117"/>
        <v>350</v>
      </c>
      <c r="X90" s="451">
        <f t="shared" si="158"/>
        <v>350</v>
      </c>
      <c r="Z90" s="221">
        <f t="shared" si="118"/>
        <v>2.2856354011755182</v>
      </c>
      <c r="AA90" s="177">
        <f t="shared" si="119"/>
        <v>9.8605673459021225E-5</v>
      </c>
      <c r="AB90" s="177">
        <f t="shared" si="120"/>
        <v>0.4914588143407696</v>
      </c>
      <c r="AC90" s="177"/>
      <c r="AD90" s="177">
        <f t="shared" si="121"/>
        <v>6.4712206554230591E-6</v>
      </c>
      <c r="AE90" s="555">
        <f t="shared" si="122"/>
        <v>14055.012345679017</v>
      </c>
      <c r="AF90" s="538">
        <f t="shared" si="123"/>
        <v>2.1166825946720815E-3</v>
      </c>
      <c r="AH90" s="177">
        <f t="shared" si="124"/>
        <v>0.94365045990355478</v>
      </c>
      <c r="AI90" s="177">
        <f t="shared" si="125"/>
        <v>0.94365045990355478</v>
      </c>
      <c r="AJ90" s="177">
        <f t="shared" si="126"/>
        <v>1.7878892295581887</v>
      </c>
      <c r="AL90" s="555">
        <f t="shared" si="127"/>
        <v>85</v>
      </c>
      <c r="AM90" s="469">
        <f t="shared" si="128"/>
        <v>350</v>
      </c>
      <c r="AO90">
        <f t="shared" si="159"/>
        <v>85</v>
      </c>
      <c r="AP90">
        <f t="shared" si="129"/>
        <v>350</v>
      </c>
      <c r="AR90" s="5">
        <f t="shared" si="160"/>
        <v>2.8571428571428572</v>
      </c>
      <c r="AS90" s="5">
        <f t="shared" si="130"/>
        <v>1.1795630748794435</v>
      </c>
      <c r="AT90" s="5">
        <f t="shared" si="161"/>
        <v>1.6775797822634138</v>
      </c>
      <c r="AU90" s="177">
        <f t="shared" si="162"/>
        <v>0.4128470762078052</v>
      </c>
      <c r="AW90" s="5">
        <f t="shared" si="131"/>
        <v>0.10724833101420155</v>
      </c>
      <c r="AX90" s="5">
        <f t="shared" si="132"/>
        <v>1.4173037873664089</v>
      </c>
      <c r="AY90" s="5">
        <f t="shared" si="133"/>
        <v>2.7494601245163159</v>
      </c>
      <c r="AZ90" s="5">
        <f t="shared" si="134"/>
        <v>4.2312509616392138</v>
      </c>
      <c r="BA90" s="5">
        <f t="shared" si="135"/>
        <v>0.30257274236425374</v>
      </c>
      <c r="BB90" s="469">
        <f t="shared" si="136"/>
        <v>36.95803463926601</v>
      </c>
      <c r="BC90" s="5"/>
      <c r="BD90" s="177">
        <f t="shared" si="163"/>
        <v>0.35006213337575748</v>
      </c>
      <c r="BE90" s="177">
        <f t="shared" si="137"/>
        <v>5201.9522901357786</v>
      </c>
      <c r="BF90" s="177">
        <f t="shared" si="138"/>
        <v>25684.903116258418</v>
      </c>
      <c r="BG90" s="177"/>
      <c r="BH90" s="538">
        <f t="shared" si="139"/>
        <v>4.2890224028255312E-2</v>
      </c>
      <c r="BI90" s="538">
        <f t="shared" si="140"/>
        <v>1148.3928988678963</v>
      </c>
      <c r="BJ90" s="538">
        <f t="shared" si="141"/>
        <v>4.3749999999999995E-3</v>
      </c>
      <c r="BK90" s="538">
        <f t="shared" si="142"/>
        <v>8462927.8085788898</v>
      </c>
      <c r="BL90">
        <f t="shared" si="143"/>
        <v>6.96E-3</v>
      </c>
      <c r="BM90">
        <f t="shared" si="144"/>
        <v>1.6625000000000001E-5</v>
      </c>
      <c r="BN90">
        <f t="shared" si="145"/>
        <v>8531588.8254996538</v>
      </c>
      <c r="BO90" s="469">
        <f t="shared" si="164"/>
        <v>8531588825.4996538</v>
      </c>
      <c r="BP90" s="177">
        <f t="shared" si="146"/>
        <v>20674075.052793033</v>
      </c>
      <c r="BQ90" s="177">
        <f t="shared" si="147"/>
        <v>504021685.6637305</v>
      </c>
      <c r="BR90" s="538"/>
      <c r="BT90" s="469">
        <f t="shared" si="165"/>
        <v>524695760716.5235</v>
      </c>
      <c r="BU90" s="538">
        <f t="shared" si="148"/>
        <v>1.2254349722358664E-2</v>
      </c>
      <c r="BV90" s="538">
        <f t="shared" si="149"/>
        <v>811809.2288654662</v>
      </c>
      <c r="BW90" s="538">
        <f t="shared" si="150"/>
        <v>32985712.404579069</v>
      </c>
      <c r="BX90" s="538">
        <f t="shared" si="151"/>
        <v>0</v>
      </c>
      <c r="BY90" s="538">
        <f t="shared" si="152"/>
        <v>-14.000005177896373</v>
      </c>
      <c r="BZ90" s="538">
        <f t="shared" si="166"/>
        <v>33797521.645698883</v>
      </c>
      <c r="CA90" s="641">
        <f t="shared" si="153"/>
        <v>1.5583333333333334E-2</v>
      </c>
      <c r="CB90" s="469">
        <f t="shared" si="167"/>
        <v>-13984.421844563039</v>
      </c>
      <c r="CC90" s="177">
        <f t="shared" si="168"/>
        <v>533227335.55760133</v>
      </c>
      <c r="CD90" s="5">
        <f t="shared" si="169"/>
        <v>4.6749999999999998</v>
      </c>
      <c r="CE90" s="177">
        <f t="shared" si="170"/>
        <v>8.7673674008551373E-9</v>
      </c>
      <c r="CF90" s="5">
        <f t="shared" si="171"/>
        <v>8.7673674008551378E-7</v>
      </c>
      <c r="CG90">
        <f t="shared" si="172"/>
        <v>85</v>
      </c>
      <c r="CI90" s="571">
        <f t="shared" si="154"/>
        <v>-50</v>
      </c>
      <c r="CJ90">
        <f t="shared" si="155"/>
        <v>-50</v>
      </c>
    </row>
    <row r="91" spans="5:88" x14ac:dyDescent="0.25">
      <c r="E91" s="174">
        <v>86</v>
      </c>
      <c r="F91" s="221">
        <f t="shared" si="173"/>
        <v>8.6000000000000007E-2</v>
      </c>
      <c r="G91" s="221">
        <f t="shared" si="156"/>
        <v>0.43</v>
      </c>
      <c r="H91" s="221">
        <f t="shared" si="105"/>
        <v>1.29</v>
      </c>
      <c r="I91" s="221">
        <f t="shared" si="174"/>
        <v>3.44</v>
      </c>
      <c r="J91" s="551">
        <f t="shared" si="106"/>
        <v>24</v>
      </c>
      <c r="K91" s="451">
        <f t="shared" si="107"/>
        <v>695386.58000000007</v>
      </c>
      <c r="L91" s="451">
        <f t="shared" si="108"/>
        <v>695410.58000000007</v>
      </c>
      <c r="M91" s="451"/>
      <c r="N91" s="221">
        <f t="shared" si="109"/>
        <v>0.99996548801428931</v>
      </c>
      <c r="O91" s="176">
        <f t="shared" si="157"/>
        <v>2.2090146689770211</v>
      </c>
      <c r="P91" s="176">
        <f t="shared" si="110"/>
        <v>5.8907057839387225</v>
      </c>
      <c r="Q91" s="221">
        <f t="shared" si="111"/>
        <v>0.14726764459846808</v>
      </c>
      <c r="R91" s="221">
        <f t="shared" si="112"/>
        <v>0.27612683362212764</v>
      </c>
      <c r="S91" s="451">
        <f t="shared" si="113"/>
        <v>15</v>
      </c>
      <c r="T91" s="221">
        <f t="shared" si="114"/>
        <v>0.43797807845614828</v>
      </c>
      <c r="U91" s="221">
        <f t="shared" si="115"/>
        <v>0.54747259807018533</v>
      </c>
      <c r="V91" s="221">
        <f t="shared" si="116"/>
        <v>1.8895018586186184E-5</v>
      </c>
      <c r="W91" s="201">
        <f t="shared" si="117"/>
        <v>350</v>
      </c>
      <c r="X91" s="451">
        <f t="shared" si="158"/>
        <v>350</v>
      </c>
      <c r="Z91" s="221">
        <f t="shared" si="118"/>
        <v>2.2856354011755182</v>
      </c>
      <c r="AA91" s="177">
        <f t="shared" si="119"/>
        <v>9.8605673459021225E-5</v>
      </c>
      <c r="AB91" s="177">
        <f t="shared" si="120"/>
        <v>0.4914588143407696</v>
      </c>
      <c r="AC91" s="177"/>
      <c r="AD91" s="177">
        <f t="shared" si="121"/>
        <v>6.4712206554230591E-6</v>
      </c>
      <c r="AE91" s="555">
        <f t="shared" si="122"/>
        <v>14220.36543209877</v>
      </c>
      <c r="AF91" s="538">
        <f t="shared" si="123"/>
        <v>2.1166825946720815E-3</v>
      </c>
      <c r="AH91" s="177">
        <f t="shared" si="124"/>
        <v>0.94918511416497731</v>
      </c>
      <c r="AI91" s="177">
        <f t="shared" si="125"/>
        <v>0.94918511416497731</v>
      </c>
      <c r="AJ91" s="177">
        <f t="shared" si="126"/>
        <v>1.7919889734555388</v>
      </c>
      <c r="AL91" s="555">
        <f t="shared" si="127"/>
        <v>86</v>
      </c>
      <c r="AM91" s="469">
        <f t="shared" si="128"/>
        <v>350</v>
      </c>
      <c r="AO91">
        <f t="shared" si="159"/>
        <v>86</v>
      </c>
      <c r="AP91">
        <f t="shared" si="129"/>
        <v>350</v>
      </c>
      <c r="AR91" s="5">
        <f t="shared" si="160"/>
        <v>2.8571428571428572</v>
      </c>
      <c r="AS91" s="5">
        <f t="shared" si="130"/>
        <v>1.1864813927062217</v>
      </c>
      <c r="AT91" s="5">
        <f t="shared" si="161"/>
        <v>1.6706614644366355</v>
      </c>
      <c r="AU91" s="177">
        <f t="shared" si="162"/>
        <v>0.41526848744717759</v>
      </c>
      <c r="AW91" s="5">
        <f t="shared" si="131"/>
        <v>0.10724833101420155</v>
      </c>
      <c r="AX91" s="5">
        <f t="shared" si="132"/>
        <v>1.4478129842715517</v>
      </c>
      <c r="AY91" s="5">
        <f t="shared" si="133"/>
        <v>2.7494601245163159</v>
      </c>
      <c r="AZ91" s="5">
        <f t="shared" si="134"/>
        <v>4.3212778010081152</v>
      </c>
      <c r="BA91" s="5">
        <f t="shared" si="135"/>
        <v>0.30486993544696317</v>
      </c>
      <c r="BB91" s="469">
        <f t="shared" si="136"/>
        <v>37.24133669808004</v>
      </c>
      <c r="BC91" s="5"/>
      <c r="BD91" s="177">
        <f t="shared" si="163"/>
        <v>0.35314639669690751</v>
      </c>
      <c r="BE91" s="177">
        <f t="shared" si="137"/>
        <v>5221.6620844311692</v>
      </c>
      <c r="BF91" s="177">
        <f t="shared" si="138"/>
        <v>25782.221224669072</v>
      </c>
      <c r="BG91" s="177"/>
      <c r="BH91" s="538">
        <f t="shared" si="139"/>
        <v>4.3649332125003347E-2</v>
      </c>
      <c r="BI91" s="538">
        <f t="shared" si="140"/>
        <v>1155.1283988454582</v>
      </c>
      <c r="BJ91" s="538">
        <f t="shared" si="141"/>
        <v>4.3749999999999995E-3</v>
      </c>
      <c r="BK91" s="538">
        <f t="shared" si="142"/>
        <v>8462927.8085788898</v>
      </c>
      <c r="BL91">
        <f t="shared" si="143"/>
        <v>6.96E-3</v>
      </c>
      <c r="BM91">
        <f t="shared" si="144"/>
        <v>1.6625000000000001E-5</v>
      </c>
      <c r="BN91">
        <f t="shared" si="145"/>
        <v>8532800.2129899487</v>
      </c>
      <c r="BO91" s="469">
        <f t="shared" si="164"/>
        <v>8532800212.9899483</v>
      </c>
      <c r="BP91" s="177">
        <f t="shared" si="146"/>
        <v>20831036.786564346</v>
      </c>
      <c r="BQ91" s="177">
        <f t="shared" si="147"/>
        <v>507848319.619416</v>
      </c>
      <c r="BR91" s="538"/>
      <c r="BT91" s="469">
        <f t="shared" si="165"/>
        <v>528679356405.98035</v>
      </c>
      <c r="BU91" s="538">
        <f t="shared" si="148"/>
        <v>1.2471237750000957E-2</v>
      </c>
      <c r="BV91" s="538">
        <f t="shared" si="149"/>
        <v>817972.64771958184</v>
      </c>
      <c r="BW91" s="538">
        <f t="shared" si="150"/>
        <v>33236146.563888818</v>
      </c>
      <c r="BX91" s="538">
        <f t="shared" si="151"/>
        <v>0</v>
      </c>
      <c r="BY91" s="538">
        <f t="shared" si="152"/>
        <v>-14.000005138880942</v>
      </c>
      <c r="BZ91" s="538">
        <f t="shared" si="166"/>
        <v>34054119.224079639</v>
      </c>
      <c r="CA91" s="641">
        <f t="shared" si="153"/>
        <v>1.5766666666666665E-2</v>
      </c>
      <c r="CB91" s="469">
        <f t="shared" si="167"/>
        <v>-13984.238472214276</v>
      </c>
      <c r="CC91" s="177">
        <f t="shared" si="168"/>
        <v>537212142.63473177</v>
      </c>
      <c r="CD91" s="5">
        <f t="shared" si="169"/>
        <v>4.7300000000000004</v>
      </c>
      <c r="CE91" s="177">
        <f t="shared" si="170"/>
        <v>8.8047152753391506E-9</v>
      </c>
      <c r="CF91" s="5">
        <f t="shared" si="171"/>
        <v>8.8047152753391507E-7</v>
      </c>
      <c r="CG91">
        <f t="shared" si="172"/>
        <v>86</v>
      </c>
      <c r="CI91" s="571">
        <f t="shared" si="154"/>
        <v>-50</v>
      </c>
      <c r="CJ91">
        <f t="shared" si="155"/>
        <v>-50</v>
      </c>
    </row>
    <row r="92" spans="5:88" x14ac:dyDescent="0.25">
      <c r="E92" s="174">
        <v>87</v>
      </c>
      <c r="F92" s="221">
        <f t="shared" si="173"/>
        <v>8.7000000000000008E-2</v>
      </c>
      <c r="G92" s="221">
        <f t="shared" si="156"/>
        <v>0.435</v>
      </c>
      <c r="H92" s="221">
        <f t="shared" si="105"/>
        <v>1.3050000000000002</v>
      </c>
      <c r="I92" s="221">
        <f t="shared" si="174"/>
        <v>3.48</v>
      </c>
      <c r="J92" s="551">
        <f t="shared" si="106"/>
        <v>24</v>
      </c>
      <c r="K92" s="451">
        <f t="shared" si="107"/>
        <v>695386.58000000007</v>
      </c>
      <c r="L92" s="451">
        <f t="shared" si="108"/>
        <v>695410.58000000007</v>
      </c>
      <c r="M92" s="451"/>
      <c r="N92" s="221">
        <f t="shared" si="109"/>
        <v>0.99996548801428931</v>
      </c>
      <c r="O92" s="176">
        <f t="shared" si="157"/>
        <v>2.2090146689770211</v>
      </c>
      <c r="P92" s="176">
        <f t="shared" si="110"/>
        <v>5.8907057839387225</v>
      </c>
      <c r="Q92" s="221">
        <f t="shared" si="111"/>
        <v>0.14726764459846808</v>
      </c>
      <c r="R92" s="221">
        <f t="shared" si="112"/>
        <v>0.27612683362212764</v>
      </c>
      <c r="S92" s="451">
        <f t="shared" si="113"/>
        <v>15</v>
      </c>
      <c r="T92" s="221">
        <f t="shared" si="114"/>
        <v>0.44307084681028952</v>
      </c>
      <c r="U92" s="221">
        <f t="shared" si="115"/>
        <v>0.5538385585128619</v>
      </c>
      <c r="V92" s="221">
        <f t="shared" si="116"/>
        <v>1.9114728104630214E-5</v>
      </c>
      <c r="W92" s="201">
        <f t="shared" si="117"/>
        <v>350</v>
      </c>
      <c r="X92" s="451">
        <f t="shared" si="158"/>
        <v>350</v>
      </c>
      <c r="Z92" s="221">
        <f t="shared" si="118"/>
        <v>2.2856354011755182</v>
      </c>
      <c r="AA92" s="177">
        <f t="shared" si="119"/>
        <v>9.8605673459021225E-5</v>
      </c>
      <c r="AB92" s="177">
        <f t="shared" si="120"/>
        <v>0.4914588143407696</v>
      </c>
      <c r="AC92" s="177"/>
      <c r="AD92" s="177">
        <f t="shared" si="121"/>
        <v>6.4712206554230591E-6</v>
      </c>
      <c r="AE92" s="555">
        <f t="shared" si="122"/>
        <v>14385.718518518523</v>
      </c>
      <c r="AF92" s="538">
        <f t="shared" si="123"/>
        <v>2.1166825946720815E-3</v>
      </c>
      <c r="AH92" s="177">
        <f t="shared" si="124"/>
        <v>0.95468768266306414</v>
      </c>
      <c r="AI92" s="177">
        <f t="shared" si="125"/>
        <v>0.95468768266306414</v>
      </c>
      <c r="AJ92" s="177">
        <f t="shared" si="126"/>
        <v>1.7960649501207882</v>
      </c>
      <c r="AL92" s="555">
        <f t="shared" si="127"/>
        <v>87.000000000000014</v>
      </c>
      <c r="AM92" s="469">
        <f t="shared" si="128"/>
        <v>350</v>
      </c>
      <c r="AO92">
        <f t="shared" si="159"/>
        <v>87.000000000000014</v>
      </c>
      <c r="AP92">
        <f t="shared" si="129"/>
        <v>350</v>
      </c>
      <c r="AR92" s="5">
        <f t="shared" si="160"/>
        <v>2.8571428571428572</v>
      </c>
      <c r="AS92" s="5">
        <f t="shared" si="130"/>
        <v>1.1933596033288303</v>
      </c>
      <c r="AT92" s="5">
        <f t="shared" si="161"/>
        <v>1.6637832538140269</v>
      </c>
      <c r="AU92" s="177">
        <f t="shared" si="162"/>
        <v>0.41767586116509059</v>
      </c>
      <c r="AW92" s="5">
        <f t="shared" si="131"/>
        <v>0.10724833101420155</v>
      </c>
      <c r="AX92" s="5">
        <f t="shared" si="132"/>
        <v>1.4786439261697368</v>
      </c>
      <c r="AY92" s="5">
        <f t="shared" si="133"/>
        <v>2.7494601245163159</v>
      </c>
      <c r="AZ92" s="5">
        <f t="shared" si="134"/>
        <v>4.4122406268023822</v>
      </c>
      <c r="BA92" s="5">
        <f t="shared" si="135"/>
        <v>0.30714517243441808</v>
      </c>
      <c r="BB92" s="469">
        <f t="shared" si="136"/>
        <v>37.522004025463509</v>
      </c>
      <c r="BC92" s="5"/>
      <c r="BD92" s="177">
        <f t="shared" si="163"/>
        <v>0.35622170692884364</v>
      </c>
      <c r="BE92" s="177">
        <f t="shared" si="137"/>
        <v>5241.1104354389945</v>
      </c>
      <c r="BF92" s="177">
        <f t="shared" si="138"/>
        <v>25878.248443594977</v>
      </c>
      <c r="BG92" s="177"/>
      <c r="BH92" s="538">
        <f t="shared" si="139"/>
        <v>4.441286657055464E-2</v>
      </c>
      <c r="BI92" s="538">
        <f t="shared" si="140"/>
        <v>1161.8248514592603</v>
      </c>
      <c r="BJ92" s="538">
        <f t="shared" si="141"/>
        <v>4.3749999999999995E-3</v>
      </c>
      <c r="BK92" s="538">
        <f t="shared" si="142"/>
        <v>8462927.8085788898</v>
      </c>
      <c r="BL92">
        <f t="shared" si="143"/>
        <v>6.96E-3</v>
      </c>
      <c r="BM92">
        <f t="shared" si="144"/>
        <v>1.6625000000000001E-5</v>
      </c>
      <c r="BN92">
        <f t="shared" si="145"/>
        <v>8534018.9302193541</v>
      </c>
      <c r="BO92" s="469">
        <f t="shared" si="164"/>
        <v>8534018930.2193537</v>
      </c>
      <c r="BP92" s="177">
        <f t="shared" si="146"/>
        <v>20986498.312626682</v>
      </c>
      <c r="BQ92" s="177">
        <f t="shared" si="147"/>
        <v>511638379.40106475</v>
      </c>
      <c r="BR92" s="538"/>
      <c r="BT92" s="469">
        <f t="shared" si="165"/>
        <v>532624877713.69141</v>
      </c>
      <c r="BU92" s="538">
        <f t="shared" si="148"/>
        <v>1.2689390448729899E-2</v>
      </c>
      <c r="BV92" s="538">
        <f t="shared" si="149"/>
        <v>824077.15789402567</v>
      </c>
      <c r="BW92" s="538">
        <f t="shared" si="150"/>
        <v>33484187.125421293</v>
      </c>
      <c r="BX92" s="538">
        <f t="shared" si="151"/>
        <v>0</v>
      </c>
      <c r="BY92" s="538">
        <f t="shared" si="152"/>
        <v>-14.000005100813675</v>
      </c>
      <c r="BZ92" s="538">
        <f t="shared" si="166"/>
        <v>34308264.296004713</v>
      </c>
      <c r="CA92" s="641">
        <f t="shared" si="153"/>
        <v>1.5950000000000002E-2</v>
      </c>
      <c r="CB92" s="469">
        <f t="shared" si="167"/>
        <v>-13984.055100813675</v>
      </c>
      <c r="CC92" s="177">
        <f t="shared" si="168"/>
        <v>541158882.6598556</v>
      </c>
      <c r="CD92" s="5">
        <f t="shared" si="169"/>
        <v>4.7850000000000001</v>
      </c>
      <c r="CE92" s="177">
        <f t="shared" si="170"/>
        <v>8.8421351122827014E-9</v>
      </c>
      <c r="CF92" s="5">
        <f t="shared" si="171"/>
        <v>8.8421351122827012E-7</v>
      </c>
      <c r="CG92">
        <f t="shared" si="172"/>
        <v>87</v>
      </c>
      <c r="CI92" s="571">
        <f t="shared" si="154"/>
        <v>-50</v>
      </c>
      <c r="CJ92">
        <f t="shared" si="155"/>
        <v>-50</v>
      </c>
    </row>
    <row r="93" spans="5:88" x14ac:dyDescent="0.25">
      <c r="E93" s="174">
        <v>88</v>
      </c>
      <c r="F93" s="221">
        <f t="shared" si="173"/>
        <v>8.8000000000000009E-2</v>
      </c>
      <c r="G93" s="221">
        <f t="shared" si="156"/>
        <v>0.44</v>
      </c>
      <c r="H93" s="221">
        <f t="shared" si="105"/>
        <v>1.32</v>
      </c>
      <c r="I93" s="221">
        <f t="shared" si="174"/>
        <v>3.52</v>
      </c>
      <c r="J93" s="551">
        <f t="shared" si="106"/>
        <v>24</v>
      </c>
      <c r="K93" s="451">
        <f t="shared" si="107"/>
        <v>695386.58000000007</v>
      </c>
      <c r="L93" s="451">
        <f t="shared" si="108"/>
        <v>695410.58000000007</v>
      </c>
      <c r="M93" s="451"/>
      <c r="N93" s="221">
        <f t="shared" si="109"/>
        <v>0.99996548801428931</v>
      </c>
      <c r="O93" s="176">
        <f t="shared" si="157"/>
        <v>2.2090146689770211</v>
      </c>
      <c r="P93" s="176">
        <f t="shared" si="110"/>
        <v>5.8907057839387225</v>
      </c>
      <c r="Q93" s="221">
        <f t="shared" si="111"/>
        <v>0.14726764459846808</v>
      </c>
      <c r="R93" s="221">
        <f t="shared" si="112"/>
        <v>0.27612683362212764</v>
      </c>
      <c r="S93" s="451">
        <f t="shared" si="113"/>
        <v>15</v>
      </c>
      <c r="T93" s="221">
        <f t="shared" si="114"/>
        <v>0.44816361516443071</v>
      </c>
      <c r="U93" s="221">
        <f t="shared" si="115"/>
        <v>0.56020451895553847</v>
      </c>
      <c r="V93" s="221">
        <f t="shared" si="116"/>
        <v>1.9334437623074235E-5</v>
      </c>
      <c r="W93" s="201">
        <f t="shared" si="117"/>
        <v>350</v>
      </c>
      <c r="X93" s="451">
        <f t="shared" si="158"/>
        <v>350</v>
      </c>
      <c r="Z93" s="221">
        <f t="shared" si="118"/>
        <v>2.2856354011755182</v>
      </c>
      <c r="AA93" s="177">
        <f t="shared" si="119"/>
        <v>9.8605673459021225E-5</v>
      </c>
      <c r="AB93" s="177">
        <f t="shared" si="120"/>
        <v>0.4914588143407696</v>
      </c>
      <c r="AC93" s="177"/>
      <c r="AD93" s="177">
        <f t="shared" si="121"/>
        <v>6.4712206554230591E-6</v>
      </c>
      <c r="AE93" s="555">
        <f t="shared" si="122"/>
        <v>14551.071604938275</v>
      </c>
      <c r="AF93" s="538">
        <f t="shared" si="123"/>
        <v>2.1166825946720815E-3</v>
      </c>
      <c r="AH93" s="177">
        <f t="shared" si="124"/>
        <v>0.96015871703836653</v>
      </c>
      <c r="AI93" s="177">
        <f t="shared" si="125"/>
        <v>0.96015871703836653</v>
      </c>
      <c r="AJ93" s="177">
        <f t="shared" si="126"/>
        <v>1.8001175681765678</v>
      </c>
      <c r="AL93" s="555">
        <f t="shared" si="127"/>
        <v>88.000000000000014</v>
      </c>
      <c r="AM93" s="469">
        <f t="shared" si="128"/>
        <v>350</v>
      </c>
      <c r="AO93">
        <f t="shared" si="159"/>
        <v>88.000000000000014</v>
      </c>
      <c r="AP93">
        <f t="shared" si="129"/>
        <v>350</v>
      </c>
      <c r="AR93" s="5">
        <f t="shared" si="160"/>
        <v>2.8571428571428572</v>
      </c>
      <c r="AS93" s="5">
        <f t="shared" si="130"/>
        <v>1.2001983962979581</v>
      </c>
      <c r="AT93" s="5">
        <f t="shared" si="161"/>
        <v>1.6569444608448991</v>
      </c>
      <c r="AU93" s="177">
        <f t="shared" si="162"/>
        <v>0.42006943870428531</v>
      </c>
      <c r="AW93" s="5">
        <f t="shared" si="131"/>
        <v>0.10724833101420155</v>
      </c>
      <c r="AX93" s="5">
        <f t="shared" si="132"/>
        <v>1.509796613060965</v>
      </c>
      <c r="AY93" s="5">
        <f t="shared" si="133"/>
        <v>2.7494601245163159</v>
      </c>
      <c r="AZ93" s="5">
        <f t="shared" si="134"/>
        <v>4.5041394390220173</v>
      </c>
      <c r="BA93" s="5">
        <f t="shared" si="135"/>
        <v>0.30939857987998881</v>
      </c>
      <c r="BB93" s="469">
        <f t="shared" si="136"/>
        <v>37.800051807820886</v>
      </c>
      <c r="BC93" s="5"/>
      <c r="BD93" s="177">
        <f t="shared" si="163"/>
        <v>0.35928819252894145</v>
      </c>
      <c r="BE93" s="177">
        <f t="shared" si="137"/>
        <v>5260.3013187910137</v>
      </c>
      <c r="BF93" s="177">
        <f t="shared" si="138"/>
        <v>25973.004402919458</v>
      </c>
      <c r="BG93" s="177"/>
      <c r="BH93" s="538">
        <f t="shared" si="139"/>
        <v>4.5180801851749795E-2</v>
      </c>
      <c r="BI93" s="538">
        <f t="shared" si="140"/>
        <v>1168.4829280384863</v>
      </c>
      <c r="BJ93" s="538">
        <f t="shared" si="141"/>
        <v>4.3749999999999995E-3</v>
      </c>
      <c r="BK93" s="538">
        <f t="shared" si="142"/>
        <v>8462927.8085788898</v>
      </c>
      <c r="BL93">
        <f t="shared" si="143"/>
        <v>6.96E-3</v>
      </c>
      <c r="BM93">
        <f t="shared" si="144"/>
        <v>1.6625000000000001E-5</v>
      </c>
      <c r="BN93">
        <f t="shared" si="145"/>
        <v>8535244.9434848204</v>
      </c>
      <c r="BO93" s="469">
        <f t="shared" si="164"/>
        <v>8535244943.4848204</v>
      </c>
      <c r="BP93" s="177">
        <f t="shared" si="146"/>
        <v>21140468.278070495</v>
      </c>
      <c r="BQ93" s="177">
        <f t="shared" si="147"/>
        <v>515392075.81961197</v>
      </c>
      <c r="BR93" s="538"/>
      <c r="BT93" s="469">
        <f t="shared" si="165"/>
        <v>536532544097.6825</v>
      </c>
      <c r="BU93" s="538">
        <f t="shared" si="148"/>
        <v>1.2908800529071372E-2</v>
      </c>
      <c r="BV93" s="538">
        <f t="shared" si="149"/>
        <v>830123.09893423424</v>
      </c>
      <c r="BW93" s="538">
        <f t="shared" si="150"/>
        <v>33729847.885703675</v>
      </c>
      <c r="BX93" s="538">
        <f t="shared" si="151"/>
        <v>0</v>
      </c>
      <c r="BY93" s="538">
        <f t="shared" si="152"/>
        <v>-14.000005063663489</v>
      </c>
      <c r="BZ93" s="538">
        <f t="shared" si="166"/>
        <v>34559970.99754671</v>
      </c>
      <c r="CA93" s="641">
        <f t="shared" si="153"/>
        <v>1.6133333333333336E-2</v>
      </c>
      <c r="CB93" s="469">
        <f t="shared" si="167"/>
        <v>-13983.871730330155</v>
      </c>
      <c r="CC93" s="177">
        <f t="shared" si="168"/>
        <v>545067775.05729556</v>
      </c>
      <c r="CD93" s="5">
        <f t="shared" si="169"/>
        <v>4.84</v>
      </c>
      <c r="CE93" s="177">
        <f t="shared" si="170"/>
        <v>8.8796296139756732E-9</v>
      </c>
      <c r="CF93" s="5">
        <f t="shared" si="171"/>
        <v>8.8796296139756731E-7</v>
      </c>
      <c r="CG93">
        <f t="shared" si="172"/>
        <v>88</v>
      </c>
      <c r="CI93" s="571">
        <f t="shared" si="154"/>
        <v>-50</v>
      </c>
      <c r="CJ93">
        <f t="shared" si="155"/>
        <v>-50</v>
      </c>
    </row>
    <row r="94" spans="5:88" x14ac:dyDescent="0.25">
      <c r="E94" s="174">
        <v>89</v>
      </c>
      <c r="F94" s="221">
        <f t="shared" si="173"/>
        <v>8.900000000000001E-2</v>
      </c>
      <c r="G94" s="221">
        <f t="shared" si="156"/>
        <v>0.44500000000000001</v>
      </c>
      <c r="H94" s="221">
        <f t="shared" si="105"/>
        <v>1.3350000000000002</v>
      </c>
      <c r="I94" s="221">
        <f t="shared" si="174"/>
        <v>3.56</v>
      </c>
      <c r="J94" s="551">
        <f t="shared" si="106"/>
        <v>24</v>
      </c>
      <c r="K94" s="451">
        <f t="shared" si="107"/>
        <v>695386.58000000007</v>
      </c>
      <c r="L94" s="451">
        <f t="shared" si="108"/>
        <v>695410.58000000007</v>
      </c>
      <c r="M94" s="451"/>
      <c r="N94" s="221">
        <f t="shared" si="109"/>
        <v>0.99996548801428931</v>
      </c>
      <c r="O94" s="176">
        <f t="shared" si="157"/>
        <v>2.2090146689770211</v>
      </c>
      <c r="P94" s="176">
        <f t="shared" si="110"/>
        <v>5.8907057839387225</v>
      </c>
      <c r="Q94" s="221">
        <f t="shared" si="111"/>
        <v>0.14726764459846808</v>
      </c>
      <c r="R94" s="221">
        <f t="shared" si="112"/>
        <v>0.27612683362212764</v>
      </c>
      <c r="S94" s="451">
        <f t="shared" si="113"/>
        <v>15</v>
      </c>
      <c r="T94" s="221">
        <f t="shared" si="114"/>
        <v>0.45325638351857206</v>
      </c>
      <c r="U94" s="221">
        <f t="shared" si="115"/>
        <v>0.56657047939821503</v>
      </c>
      <c r="V94" s="221">
        <f t="shared" si="116"/>
        <v>1.9554147141518262E-5</v>
      </c>
      <c r="W94" s="201">
        <f t="shared" si="117"/>
        <v>350</v>
      </c>
      <c r="X94" s="451">
        <f t="shared" si="158"/>
        <v>350</v>
      </c>
      <c r="Z94" s="221">
        <f t="shared" si="118"/>
        <v>2.2856354011755182</v>
      </c>
      <c r="AA94" s="177">
        <f t="shared" si="119"/>
        <v>9.8605673459021225E-5</v>
      </c>
      <c r="AB94" s="177">
        <f t="shared" si="120"/>
        <v>0.4914588143407696</v>
      </c>
      <c r="AC94" s="177"/>
      <c r="AD94" s="177">
        <f t="shared" si="121"/>
        <v>6.4712206554230591E-6</v>
      </c>
      <c r="AE94" s="555">
        <f t="shared" si="122"/>
        <v>14716.424691358028</v>
      </c>
      <c r="AF94" s="538">
        <f t="shared" si="123"/>
        <v>2.1166825946720815E-3</v>
      </c>
      <c r="AH94" s="177">
        <f t="shared" si="124"/>
        <v>0.96559875330333378</v>
      </c>
      <c r="AI94" s="177">
        <f t="shared" si="125"/>
        <v>0.96559875330333378</v>
      </c>
      <c r="AJ94" s="177">
        <f t="shared" si="126"/>
        <v>1.8041472246691361</v>
      </c>
      <c r="AL94" s="555">
        <f t="shared" si="127"/>
        <v>89.000000000000014</v>
      </c>
      <c r="AM94" s="469">
        <f t="shared" si="128"/>
        <v>350</v>
      </c>
      <c r="AO94">
        <f t="shared" si="159"/>
        <v>89.000000000000014</v>
      </c>
      <c r="AP94">
        <f t="shared" si="129"/>
        <v>350</v>
      </c>
      <c r="AR94" s="5">
        <f t="shared" si="160"/>
        <v>2.8571428571428572</v>
      </c>
      <c r="AS94" s="5">
        <f t="shared" si="130"/>
        <v>1.2069984416291673</v>
      </c>
      <c r="AT94" s="5">
        <f t="shared" si="161"/>
        <v>1.65014441551369</v>
      </c>
      <c r="AU94" s="177">
        <f t="shared" si="162"/>
        <v>0.42244945457020855</v>
      </c>
      <c r="AW94" s="5">
        <f t="shared" si="131"/>
        <v>0.10724833101420155</v>
      </c>
      <c r="AX94" s="5">
        <f t="shared" si="132"/>
        <v>1.5412710449452351</v>
      </c>
      <c r="AY94" s="5">
        <f t="shared" si="133"/>
        <v>2.7494601245163159</v>
      </c>
      <c r="AZ94" s="5">
        <f t="shared" si="134"/>
        <v>4.5969742376670197</v>
      </c>
      <c r="BA94" s="5">
        <f t="shared" si="135"/>
        <v>0.31163028217359229</v>
      </c>
      <c r="BB94" s="469">
        <f t="shared" si="136"/>
        <v>38.075494971942184</v>
      </c>
      <c r="BC94" s="5"/>
      <c r="BD94" s="177">
        <f t="shared" si="163"/>
        <v>0.36234597867461099</v>
      </c>
      <c r="BE94" s="177">
        <f t="shared" si="137"/>
        <v>5279.2385959247677</v>
      </c>
      <c r="BF94" s="177">
        <f t="shared" si="138"/>
        <v>26066.50816868613</v>
      </c>
      <c r="BG94" s="177"/>
      <c r="BH94" s="538">
        <f t="shared" si="139"/>
        <v>4.595311289158157E-2</v>
      </c>
      <c r="BI94" s="538">
        <f t="shared" si="140"/>
        <v>1175.1032808934096</v>
      </c>
      <c r="BJ94" s="538">
        <f t="shared" si="141"/>
        <v>4.3749999999999995E-3</v>
      </c>
      <c r="BK94" s="538">
        <f t="shared" si="142"/>
        <v>8462927.8085788898</v>
      </c>
      <c r="BL94">
        <f t="shared" si="143"/>
        <v>6.96E-3</v>
      </c>
      <c r="BM94">
        <f t="shared" si="144"/>
        <v>1.6625000000000001E-5</v>
      </c>
      <c r="BN94">
        <f t="shared" si="145"/>
        <v>8536478.219750341</v>
      </c>
      <c r="BO94" s="469">
        <f t="shared" si="164"/>
        <v>8536478219.7503414</v>
      </c>
      <c r="BP94" s="177">
        <f t="shared" si="146"/>
        <v>21292955.182162605</v>
      </c>
      <c r="BQ94" s="177">
        <f t="shared" si="147"/>
        <v>519109616.08214247</v>
      </c>
      <c r="BR94" s="538"/>
      <c r="BT94" s="469">
        <f t="shared" si="165"/>
        <v>540402571264.30511</v>
      </c>
      <c r="BU94" s="538">
        <f t="shared" si="148"/>
        <v>1.3129460826166166E-2</v>
      </c>
      <c r="BV94" s="538">
        <f t="shared" si="149"/>
        <v>836110.80458105134</v>
      </c>
      <c r="BW94" s="538">
        <f t="shared" si="150"/>
        <v>33973142.405409038</v>
      </c>
      <c r="BX94" s="538">
        <f t="shared" si="151"/>
        <v>0</v>
      </c>
      <c r="BY94" s="538">
        <f t="shared" si="152"/>
        <v>-14.000005027400666</v>
      </c>
      <c r="BZ94" s="538">
        <f t="shared" si="166"/>
        <v>34809253.223119549</v>
      </c>
      <c r="CA94" s="641">
        <f t="shared" si="153"/>
        <v>1.631666666666667E-2</v>
      </c>
      <c r="CB94" s="469">
        <f t="shared" si="167"/>
        <v>-13983.688360734001</v>
      </c>
      <c r="CC94" s="177">
        <f t="shared" si="168"/>
        <v>548939035.50036705</v>
      </c>
      <c r="CD94" s="5">
        <f t="shared" si="169"/>
        <v>4.8950000000000005</v>
      </c>
      <c r="CE94" s="177">
        <f t="shared" si="170"/>
        <v>8.9172014372933529E-9</v>
      </c>
      <c r="CF94" s="5">
        <f t="shared" si="171"/>
        <v>8.9172014372933527E-7</v>
      </c>
      <c r="CG94">
        <f t="shared" si="172"/>
        <v>89</v>
      </c>
      <c r="CI94" s="571">
        <f t="shared" si="154"/>
        <v>-50</v>
      </c>
      <c r="CJ94">
        <f t="shared" si="155"/>
        <v>-50</v>
      </c>
    </row>
    <row r="95" spans="5:88" x14ac:dyDescent="0.25">
      <c r="E95" s="174">
        <v>90</v>
      </c>
      <c r="F95" s="221">
        <f t="shared" si="173"/>
        <v>9.0000000000000011E-2</v>
      </c>
      <c r="G95" s="221">
        <f t="shared" si="156"/>
        <v>0.45</v>
      </c>
      <c r="H95" s="221">
        <f t="shared" si="105"/>
        <v>1.35</v>
      </c>
      <c r="I95" s="221">
        <f t="shared" si="174"/>
        <v>3.6</v>
      </c>
      <c r="J95" s="551">
        <f t="shared" si="106"/>
        <v>24</v>
      </c>
      <c r="K95" s="451">
        <f t="shared" si="107"/>
        <v>695386.58000000007</v>
      </c>
      <c r="L95" s="451">
        <f t="shared" si="108"/>
        <v>695410.58000000007</v>
      </c>
      <c r="M95" s="451"/>
      <c r="N95" s="221">
        <f t="shared" si="109"/>
        <v>0.99996548801428931</v>
      </c>
      <c r="O95" s="176">
        <f t="shared" si="157"/>
        <v>2.2090146689770211</v>
      </c>
      <c r="P95" s="176">
        <f t="shared" si="110"/>
        <v>5.8907057839387225</v>
      </c>
      <c r="Q95" s="221">
        <f t="shared" si="111"/>
        <v>0.14726764459846808</v>
      </c>
      <c r="R95" s="221">
        <f t="shared" si="112"/>
        <v>0.27612683362212764</v>
      </c>
      <c r="S95" s="451">
        <f t="shared" si="113"/>
        <v>15</v>
      </c>
      <c r="T95" s="221">
        <f t="shared" si="114"/>
        <v>0.4583491518727133</v>
      </c>
      <c r="U95" s="221">
        <f t="shared" si="115"/>
        <v>0.5729364398408916</v>
      </c>
      <c r="V95" s="221">
        <f t="shared" si="116"/>
        <v>1.9773856659962285E-5</v>
      </c>
      <c r="W95" s="201">
        <f t="shared" si="117"/>
        <v>350</v>
      </c>
      <c r="X95" s="451">
        <f t="shared" si="158"/>
        <v>350</v>
      </c>
      <c r="Z95" s="221">
        <f t="shared" si="118"/>
        <v>2.2856354011755182</v>
      </c>
      <c r="AA95" s="177">
        <f t="shared" si="119"/>
        <v>9.8605673459021225E-5</v>
      </c>
      <c r="AB95" s="177">
        <f t="shared" si="120"/>
        <v>0.4914588143407696</v>
      </c>
      <c r="AC95" s="177"/>
      <c r="AD95" s="177">
        <f t="shared" si="121"/>
        <v>6.4712206554230591E-6</v>
      </c>
      <c r="AE95" s="555">
        <f t="shared" si="122"/>
        <v>14881.777777777783</v>
      </c>
      <c r="AF95" s="538">
        <f t="shared" si="123"/>
        <v>2.1166825946720815E-3</v>
      </c>
      <c r="AH95" s="177">
        <f t="shared" si="124"/>
        <v>0.97100831245522445</v>
      </c>
      <c r="AI95" s="177">
        <f t="shared" si="125"/>
        <v>0.97100831245522445</v>
      </c>
      <c r="AJ95" s="177">
        <f t="shared" si="126"/>
        <v>1.8081543055223883</v>
      </c>
      <c r="AL95" s="555">
        <f t="shared" si="127"/>
        <v>90.000000000000014</v>
      </c>
      <c r="AM95" s="469">
        <f t="shared" si="128"/>
        <v>350</v>
      </c>
      <c r="AO95">
        <f t="shared" si="159"/>
        <v>90.000000000000014</v>
      </c>
      <c r="AP95">
        <f t="shared" si="129"/>
        <v>350</v>
      </c>
      <c r="AR95" s="5">
        <f t="shared" si="160"/>
        <v>2.8571428571428572</v>
      </c>
      <c r="AS95" s="5">
        <f t="shared" si="130"/>
        <v>1.2137603905690306</v>
      </c>
      <c r="AT95" s="5">
        <f t="shared" si="161"/>
        <v>1.6433824665738266</v>
      </c>
      <c r="AU95" s="177">
        <f t="shared" si="162"/>
        <v>0.42481613669916068</v>
      </c>
      <c r="AW95" s="5">
        <f t="shared" si="131"/>
        <v>0.10724833101420155</v>
      </c>
      <c r="AX95" s="5">
        <f t="shared" si="132"/>
        <v>1.5730672218225485</v>
      </c>
      <c r="AY95" s="5">
        <f t="shared" si="133"/>
        <v>2.7494601245163159</v>
      </c>
      <c r="AZ95" s="5">
        <f t="shared" si="134"/>
        <v>4.6907450227373895</v>
      </c>
      <c r="BA95" s="5">
        <f t="shared" si="135"/>
        <v>0.31384040160264043</v>
      </c>
      <c r="BB95" s="469">
        <f t="shared" si="136"/>
        <v>38.34834819231687</v>
      </c>
      <c r="BC95" s="5"/>
      <c r="BD95" s="177">
        <f t="shared" si="163"/>
        <v>0.36539518738291199</v>
      </c>
      <c r="BE95" s="177">
        <f t="shared" si="137"/>
        <v>5297.9260185291896</v>
      </c>
      <c r="BF95" s="177">
        <f t="shared" si="138"/>
        <v>26158.778265049237</v>
      </c>
      <c r="BG95" s="177"/>
      <c r="BH95" s="538">
        <f t="shared" si="139"/>
        <v>4.6729775036907673E-2</v>
      </c>
      <c r="BI95" s="538">
        <f t="shared" si="140"/>
        <v>1181.6865440612905</v>
      </c>
      <c r="BJ95" s="538">
        <f t="shared" si="141"/>
        <v>4.3749999999999995E-3</v>
      </c>
      <c r="BK95" s="538">
        <f t="shared" si="142"/>
        <v>8462927.8085788898</v>
      </c>
      <c r="BL95">
        <f t="shared" si="143"/>
        <v>6.96E-3</v>
      </c>
      <c r="BM95">
        <f t="shared" si="144"/>
        <v>1.6625000000000001E-5</v>
      </c>
      <c r="BN95">
        <f t="shared" si="145"/>
        <v>8537718.7266285531</v>
      </c>
      <c r="BO95" s="469">
        <f t="shared" si="164"/>
        <v>8537718726.6285534</v>
      </c>
      <c r="BP95" s="177">
        <f t="shared" si="146"/>
        <v>21443967.380510725</v>
      </c>
      <c r="BQ95" s="177">
        <f t="shared" si="147"/>
        <v>522791203.89341426</v>
      </c>
      <c r="BR95" s="538"/>
      <c r="BT95" s="469">
        <f t="shared" si="165"/>
        <v>544235171273.92493</v>
      </c>
      <c r="BU95" s="538">
        <f t="shared" si="148"/>
        <v>1.3351364296259336E-2</v>
      </c>
      <c r="BV95" s="538">
        <f t="shared" si="149"/>
        <v>842040.60293425655</v>
      </c>
      <c r="BW95" s="538">
        <f t="shared" si="150"/>
        <v>34214084.016000621</v>
      </c>
      <c r="BX95" s="538">
        <f t="shared" si="151"/>
        <v>0</v>
      </c>
      <c r="BY95" s="538">
        <f t="shared" si="152"/>
        <v>-14.000004991996812</v>
      </c>
      <c r="BZ95" s="538">
        <f t="shared" si="166"/>
        <v>35056124.632286243</v>
      </c>
      <c r="CA95" s="641">
        <f t="shared" si="153"/>
        <v>1.6500000000000001E-2</v>
      </c>
      <c r="CB95" s="469">
        <f t="shared" si="167"/>
        <v>-13983.504991996811</v>
      </c>
      <c r="CC95" s="177">
        <f t="shared" si="168"/>
        <v>552772876.01704848</v>
      </c>
      <c r="CD95" s="5">
        <f t="shared" si="169"/>
        <v>4.95</v>
      </c>
      <c r="CE95" s="177">
        <f t="shared" si="170"/>
        <v>8.9548531963800799E-9</v>
      </c>
      <c r="CF95" s="5">
        <f t="shared" si="171"/>
        <v>8.9548531963800803E-7</v>
      </c>
      <c r="CG95">
        <f t="shared" si="172"/>
        <v>90</v>
      </c>
      <c r="CI95" s="571">
        <f t="shared" si="154"/>
        <v>-50</v>
      </c>
      <c r="CJ95">
        <f t="shared" si="155"/>
        <v>-50</v>
      </c>
    </row>
    <row r="96" spans="5:88" x14ac:dyDescent="0.25">
      <c r="E96" s="174">
        <v>91</v>
      </c>
      <c r="F96" s="221">
        <f t="shared" si="173"/>
        <v>9.1000000000000011E-2</v>
      </c>
      <c r="G96" s="221">
        <f t="shared" si="156"/>
        <v>0.45500000000000002</v>
      </c>
      <c r="H96" s="221">
        <f t="shared" si="105"/>
        <v>1.3650000000000002</v>
      </c>
      <c r="I96" s="221">
        <f t="shared" si="174"/>
        <v>3.64</v>
      </c>
      <c r="J96" s="551">
        <f t="shared" si="106"/>
        <v>24</v>
      </c>
      <c r="K96" s="451">
        <f t="shared" si="107"/>
        <v>695386.58000000007</v>
      </c>
      <c r="L96" s="451">
        <f t="shared" si="108"/>
        <v>695410.58000000007</v>
      </c>
      <c r="M96" s="451"/>
      <c r="N96" s="221">
        <f t="shared" si="109"/>
        <v>0.99996548801428931</v>
      </c>
      <c r="O96" s="176">
        <f t="shared" si="157"/>
        <v>2.2090146689770211</v>
      </c>
      <c r="P96" s="176">
        <f t="shared" si="110"/>
        <v>5.8907057839387225</v>
      </c>
      <c r="Q96" s="221">
        <f t="shared" si="111"/>
        <v>0.14726764459846808</v>
      </c>
      <c r="R96" s="221">
        <f t="shared" si="112"/>
        <v>0.27612683362212764</v>
      </c>
      <c r="S96" s="451">
        <f t="shared" si="113"/>
        <v>15</v>
      </c>
      <c r="T96" s="221">
        <f t="shared" si="114"/>
        <v>0.4634419202268546</v>
      </c>
      <c r="U96" s="221">
        <f t="shared" si="115"/>
        <v>0.57930240028356828</v>
      </c>
      <c r="V96" s="221">
        <f t="shared" si="116"/>
        <v>1.9993566178406316E-5</v>
      </c>
      <c r="W96" s="201">
        <f t="shared" si="117"/>
        <v>350</v>
      </c>
      <c r="X96" s="451">
        <f t="shared" si="158"/>
        <v>350</v>
      </c>
      <c r="Z96" s="221">
        <f t="shared" si="118"/>
        <v>2.2856354011755182</v>
      </c>
      <c r="AA96" s="177">
        <f t="shared" si="119"/>
        <v>9.8605673459021225E-5</v>
      </c>
      <c r="AB96" s="177">
        <f t="shared" si="120"/>
        <v>0.4914588143407696</v>
      </c>
      <c r="AC96" s="177"/>
      <c r="AD96" s="177">
        <f t="shared" si="121"/>
        <v>6.4712206554230591E-6</v>
      </c>
      <c r="AE96" s="555">
        <f t="shared" si="122"/>
        <v>15047.130864197536</v>
      </c>
      <c r="AF96" s="538">
        <f t="shared" si="123"/>
        <v>2.1166825946720815E-3</v>
      </c>
      <c r="AH96" s="177">
        <f t="shared" si="124"/>
        <v>0.97638790105845408</v>
      </c>
      <c r="AI96" s="177">
        <f t="shared" si="125"/>
        <v>0.97638790105845408</v>
      </c>
      <c r="AJ96" s="177">
        <f t="shared" si="126"/>
        <v>1.8121391859692251</v>
      </c>
      <c r="AL96" s="555">
        <f t="shared" si="127"/>
        <v>91.000000000000014</v>
      </c>
      <c r="AM96" s="469">
        <f t="shared" si="128"/>
        <v>350</v>
      </c>
      <c r="AO96">
        <f t="shared" si="159"/>
        <v>91.000000000000014</v>
      </c>
      <c r="AP96">
        <f t="shared" si="129"/>
        <v>350</v>
      </c>
      <c r="AR96" s="5">
        <f t="shared" si="160"/>
        <v>2.8571428571428572</v>
      </c>
      <c r="AS96" s="5">
        <f t="shared" si="130"/>
        <v>1.2204848763230676</v>
      </c>
      <c r="AT96" s="5">
        <f t="shared" si="161"/>
        <v>1.6366579808197896</v>
      </c>
      <c r="AU96" s="177">
        <f t="shared" si="162"/>
        <v>0.42716970671307364</v>
      </c>
      <c r="AW96" s="5">
        <f t="shared" si="131"/>
        <v>0.10724833101420155</v>
      </c>
      <c r="AX96" s="5">
        <f t="shared" si="132"/>
        <v>1.6051851436929043</v>
      </c>
      <c r="AY96" s="5">
        <f t="shared" si="133"/>
        <v>2.7494601245163159</v>
      </c>
      <c r="AZ96" s="5">
        <f t="shared" si="134"/>
        <v>4.7854517942331256</v>
      </c>
      <c r="BA96" s="5">
        <f t="shared" si="135"/>
        <v>0.31602905841061135</v>
      </c>
      <c r="BB96" s="469">
        <f t="shared" si="136"/>
        <v>38.618625898162271</v>
      </c>
      <c r="BC96" s="5"/>
      <c r="BD96" s="177">
        <f t="shared" si="163"/>
        <v>0.36843593762452881</v>
      </c>
      <c r="BE96" s="177">
        <f t="shared" si="137"/>
        <v>5316.3672327687173</v>
      </c>
      <c r="BF96" s="177">
        <f t="shared" si="138"/>
        <v>26249.832695130539</v>
      </c>
      <c r="BG96" s="177"/>
      <c r="BH96" s="538">
        <f t="shared" si="139"/>
        <v>4.7510764046642985E-2</v>
      </c>
      <c r="BI96" s="538">
        <f t="shared" si="140"/>
        <v>1188.233334015074</v>
      </c>
      <c r="BJ96" s="538">
        <f t="shared" si="141"/>
        <v>4.3749999999999995E-3</v>
      </c>
      <c r="BK96" s="538">
        <f t="shared" si="142"/>
        <v>8462927.8085788898</v>
      </c>
      <c r="BL96">
        <f t="shared" si="143"/>
        <v>6.96E-3</v>
      </c>
      <c r="BM96">
        <f t="shared" si="144"/>
        <v>1.6625000000000001E-5</v>
      </c>
      <c r="BN96">
        <f t="shared" si="145"/>
        <v>8538966.4323630501</v>
      </c>
      <c r="BO96" s="469">
        <f t="shared" si="164"/>
        <v>8538966432.3630505</v>
      </c>
      <c r="BP96" s="177">
        <f t="shared" si="146"/>
        <v>21593513.089065373</v>
      </c>
      <c r="BQ96" s="177">
        <f t="shared" si="147"/>
        <v>526437039.55342835</v>
      </c>
      <c r="BR96" s="538"/>
      <c r="BT96" s="469">
        <f t="shared" si="165"/>
        <v>548030552642.49371</v>
      </c>
      <c r="BU96" s="538">
        <f t="shared" si="148"/>
        <v>1.357450401332657E-2</v>
      </c>
      <c r="BV96" s="538">
        <f t="shared" si="149"/>
        <v>847912.81660970731</v>
      </c>
      <c r="BW96" s="538">
        <f t="shared" si="150"/>
        <v>34452685.82611721</v>
      </c>
      <c r="BX96" s="538">
        <f t="shared" si="151"/>
        <v>0</v>
      </c>
      <c r="BY96" s="538">
        <f t="shared" si="152"/>
        <v>-14.000004957424766</v>
      </c>
      <c r="BZ96" s="538">
        <f t="shared" si="166"/>
        <v>35300598.656301424</v>
      </c>
      <c r="CA96" s="641">
        <f t="shared" si="153"/>
        <v>1.6683333333333338E-2</v>
      </c>
      <c r="CB96" s="469">
        <f t="shared" si="167"/>
        <v>-13983.321624091433</v>
      </c>
      <c r="CC96" s="177">
        <f t="shared" si="168"/>
        <v>556569505.09153509</v>
      </c>
      <c r="CD96" s="5">
        <f t="shared" si="169"/>
        <v>5.0050000000000008</v>
      </c>
      <c r="CE96" s="177">
        <f t="shared" si="170"/>
        <v>8.9925874651881311E-9</v>
      </c>
      <c r="CF96" s="5">
        <f t="shared" si="171"/>
        <v>8.9925874651881316E-7</v>
      </c>
      <c r="CG96">
        <f t="shared" si="172"/>
        <v>91</v>
      </c>
      <c r="CI96" s="571">
        <f t="shared" si="154"/>
        <v>-50</v>
      </c>
      <c r="CJ96">
        <f t="shared" si="155"/>
        <v>-50</v>
      </c>
    </row>
    <row r="97" spans="5:88" x14ac:dyDescent="0.25">
      <c r="E97" s="174">
        <v>92</v>
      </c>
      <c r="F97" s="221">
        <f t="shared" si="173"/>
        <v>9.2000000000000012E-2</v>
      </c>
      <c r="G97" s="221">
        <f t="shared" si="156"/>
        <v>0.46</v>
      </c>
      <c r="H97" s="221">
        <f t="shared" si="105"/>
        <v>1.3800000000000001</v>
      </c>
      <c r="I97" s="221">
        <f t="shared" si="174"/>
        <v>3.68</v>
      </c>
      <c r="J97" s="551">
        <f t="shared" si="106"/>
        <v>24</v>
      </c>
      <c r="K97" s="451">
        <f t="shared" si="107"/>
        <v>695386.58000000007</v>
      </c>
      <c r="L97" s="451">
        <f t="shared" si="108"/>
        <v>695410.58000000007</v>
      </c>
      <c r="M97" s="451"/>
      <c r="N97" s="221">
        <f t="shared" si="109"/>
        <v>0.99996548801428931</v>
      </c>
      <c r="O97" s="176">
        <f t="shared" si="157"/>
        <v>2.2090146689770211</v>
      </c>
      <c r="P97" s="176">
        <f t="shared" si="110"/>
        <v>5.8907057839387225</v>
      </c>
      <c r="Q97" s="221">
        <f t="shared" si="111"/>
        <v>0.14726764459846808</v>
      </c>
      <c r="R97" s="221">
        <f t="shared" si="112"/>
        <v>0.27612683362212764</v>
      </c>
      <c r="S97" s="451">
        <f t="shared" si="113"/>
        <v>15</v>
      </c>
      <c r="T97" s="221">
        <f t="shared" si="114"/>
        <v>0.46853468858099584</v>
      </c>
      <c r="U97" s="221">
        <f t="shared" si="115"/>
        <v>0.58566836072624484</v>
      </c>
      <c r="V97" s="221">
        <f t="shared" si="116"/>
        <v>2.021327569685034E-5</v>
      </c>
      <c r="W97" s="201">
        <f t="shared" si="117"/>
        <v>350</v>
      </c>
      <c r="X97" s="451">
        <f t="shared" si="158"/>
        <v>350</v>
      </c>
      <c r="Z97" s="221">
        <f t="shared" si="118"/>
        <v>2.2856354011755182</v>
      </c>
      <c r="AA97" s="177">
        <f t="shared" si="119"/>
        <v>9.8605673459021225E-5</v>
      </c>
      <c r="AB97" s="177">
        <f t="shared" si="120"/>
        <v>0.4914588143407696</v>
      </c>
      <c r="AC97" s="177"/>
      <c r="AD97" s="177">
        <f t="shared" si="121"/>
        <v>6.4712206554230591E-6</v>
      </c>
      <c r="AE97" s="555">
        <f t="shared" si="122"/>
        <v>15212.483950617288</v>
      </c>
      <c r="AF97" s="538">
        <f t="shared" si="123"/>
        <v>2.1166825946720815E-3</v>
      </c>
      <c r="AH97" s="177">
        <f t="shared" si="124"/>
        <v>0.98173801179822096</v>
      </c>
      <c r="AI97" s="177">
        <f t="shared" si="125"/>
        <v>0.98173801179822096</v>
      </c>
      <c r="AJ97" s="177">
        <f t="shared" si="126"/>
        <v>1.816102230961645</v>
      </c>
      <c r="AL97" s="555">
        <f t="shared" si="127"/>
        <v>92.000000000000014</v>
      </c>
      <c r="AM97" s="469">
        <f t="shared" si="128"/>
        <v>350</v>
      </c>
      <c r="AO97">
        <f t="shared" si="159"/>
        <v>92.000000000000014</v>
      </c>
      <c r="AP97">
        <f t="shared" si="129"/>
        <v>350</v>
      </c>
      <c r="AR97" s="5">
        <f t="shared" si="160"/>
        <v>2.8571428571428572</v>
      </c>
      <c r="AS97" s="5">
        <f t="shared" si="130"/>
        <v>1.2271725147477763</v>
      </c>
      <c r="AT97" s="5">
        <f t="shared" si="161"/>
        <v>1.6299703423950809</v>
      </c>
      <c r="AU97" s="177">
        <f t="shared" si="162"/>
        <v>0.42951038016172172</v>
      </c>
      <c r="AW97" s="5">
        <f t="shared" si="131"/>
        <v>0.10724833101420155</v>
      </c>
      <c r="AX97" s="5">
        <f t="shared" si="132"/>
        <v>1.6376248105563027</v>
      </c>
      <c r="AY97" s="5">
        <f t="shared" si="133"/>
        <v>2.7494601245163159</v>
      </c>
      <c r="AZ97" s="5">
        <f t="shared" si="134"/>
        <v>4.8810945521542299</v>
      </c>
      <c r="BA97" s="5">
        <f t="shared" si="135"/>
        <v>0.31819637085336067</v>
      </c>
      <c r="BB97" s="469">
        <f t="shared" si="136"/>
        <v>38.886342280181061</v>
      </c>
      <c r="BC97" s="5"/>
      <c r="BD97" s="177">
        <f t="shared" si="163"/>
        <v>0.37146834543242785</v>
      </c>
      <c r="BE97" s="177">
        <f t="shared" si="137"/>
        <v>5334.5657832992965</v>
      </c>
      <c r="BF97" s="177">
        <f t="shared" si="138"/>
        <v>26339.688960848434</v>
      </c>
      <c r="BG97" s="177"/>
      <c r="BH97" s="538">
        <f t="shared" si="139"/>
        <v>4.8296056080406942E-2</v>
      </c>
      <c r="BI97" s="538">
        <f t="shared" si="140"/>
        <v>1194.7442503371337</v>
      </c>
      <c r="BJ97" s="538">
        <f t="shared" si="141"/>
        <v>4.3749999999999995E-3</v>
      </c>
      <c r="BK97" s="538">
        <f t="shared" si="142"/>
        <v>8462927.8085788898</v>
      </c>
      <c r="BL97">
        <f t="shared" si="143"/>
        <v>6.96E-3</v>
      </c>
      <c r="BM97">
        <f t="shared" si="144"/>
        <v>1.6625000000000001E-5</v>
      </c>
      <c r="BN97">
        <f t="shared" si="145"/>
        <v>8540221.3058113549</v>
      </c>
      <c r="BO97" s="469">
        <f t="shared" si="164"/>
        <v>8540221305.8113546</v>
      </c>
      <c r="BP97" s="177">
        <f t="shared" si="146"/>
        <v>21741600.38796759</v>
      </c>
      <c r="BQ97" s="177">
        <f t="shared" si="147"/>
        <v>530047320.05122989</v>
      </c>
      <c r="BR97" s="538"/>
      <c r="BT97" s="469">
        <f t="shared" si="165"/>
        <v>551788920439.19751</v>
      </c>
      <c r="BU97" s="538">
        <f t="shared" si="148"/>
        <v>1.3798873165830556E-2</v>
      </c>
      <c r="BV97" s="538">
        <f t="shared" si="149"/>
        <v>853727.76289042912</v>
      </c>
      <c r="BW97" s="538">
        <f t="shared" si="150"/>
        <v>34688960.727712043</v>
      </c>
      <c r="BX97" s="538">
        <f t="shared" si="151"/>
        <v>0</v>
      </c>
      <c r="BY97" s="538">
        <f t="shared" si="152"/>
        <v>-14.000004923658535</v>
      </c>
      <c r="BZ97" s="538">
        <f t="shared" si="166"/>
        <v>35542688.504401349</v>
      </c>
      <c r="CA97" s="641">
        <f t="shared" si="153"/>
        <v>1.6866666666666669E-2</v>
      </c>
      <c r="CB97" s="469">
        <f t="shared" si="167"/>
        <v>-13983.138256991868</v>
      </c>
      <c r="CC97" s="177">
        <f t="shared" si="168"/>
        <v>560329127.76187062</v>
      </c>
      <c r="CD97" s="5">
        <f t="shared" si="169"/>
        <v>5.0600000000000005</v>
      </c>
      <c r="CE97" s="177">
        <f t="shared" si="170"/>
        <v>9.0304067798819627E-9</v>
      </c>
      <c r="CF97" s="5">
        <f t="shared" si="171"/>
        <v>9.0304067798819632E-7</v>
      </c>
      <c r="CG97">
        <f t="shared" si="172"/>
        <v>92</v>
      </c>
      <c r="CI97" s="571">
        <f t="shared" si="154"/>
        <v>-50</v>
      </c>
      <c r="CJ97">
        <f t="shared" si="155"/>
        <v>-50</v>
      </c>
    </row>
    <row r="98" spans="5:88" x14ac:dyDescent="0.25">
      <c r="E98" s="174">
        <v>93</v>
      </c>
      <c r="F98" s="221">
        <f t="shared" si="173"/>
        <v>9.3000000000000013E-2</v>
      </c>
      <c r="G98" s="221">
        <f t="shared" si="156"/>
        <v>0.46500000000000002</v>
      </c>
      <c r="H98" s="221">
        <f t="shared" si="105"/>
        <v>1.3950000000000002</v>
      </c>
      <c r="I98" s="221">
        <f t="shared" si="174"/>
        <v>3.72</v>
      </c>
      <c r="J98" s="551">
        <f t="shared" si="106"/>
        <v>24</v>
      </c>
      <c r="K98" s="451">
        <f t="shared" si="107"/>
        <v>695386.58000000007</v>
      </c>
      <c r="L98" s="451">
        <f t="shared" si="108"/>
        <v>695410.58000000007</v>
      </c>
      <c r="M98" s="451"/>
      <c r="N98" s="221">
        <f t="shared" si="109"/>
        <v>0.99996548801428931</v>
      </c>
      <c r="O98" s="176">
        <f t="shared" si="157"/>
        <v>2.2090146689770211</v>
      </c>
      <c r="P98" s="176">
        <f t="shared" si="110"/>
        <v>5.8907057839387225</v>
      </c>
      <c r="Q98" s="221">
        <f t="shared" si="111"/>
        <v>0.14726764459846808</v>
      </c>
      <c r="R98" s="221">
        <f t="shared" si="112"/>
        <v>0.27612683362212764</v>
      </c>
      <c r="S98" s="451">
        <f t="shared" si="113"/>
        <v>15</v>
      </c>
      <c r="T98" s="221">
        <f t="shared" si="114"/>
        <v>0.47362745693513708</v>
      </c>
      <c r="U98" s="221">
        <f t="shared" si="115"/>
        <v>0.5920343211689213</v>
      </c>
      <c r="V98" s="221">
        <f t="shared" si="116"/>
        <v>2.043298521529436E-5</v>
      </c>
      <c r="W98" s="201">
        <f t="shared" si="117"/>
        <v>350</v>
      </c>
      <c r="X98" s="451">
        <f t="shared" si="158"/>
        <v>350</v>
      </c>
      <c r="Z98" s="221">
        <f t="shared" si="118"/>
        <v>2.2856354011755182</v>
      </c>
      <c r="AA98" s="177">
        <f t="shared" si="119"/>
        <v>9.8605673459021225E-5</v>
      </c>
      <c r="AB98" s="177">
        <f t="shared" si="120"/>
        <v>0.4914588143407696</v>
      </c>
      <c r="AC98" s="177"/>
      <c r="AD98" s="177">
        <f t="shared" si="121"/>
        <v>6.4712206554230591E-6</v>
      </c>
      <c r="AE98" s="555">
        <f t="shared" si="122"/>
        <v>15377.837037037041</v>
      </c>
      <c r="AF98" s="538">
        <f t="shared" si="123"/>
        <v>2.1166825946720815E-3</v>
      </c>
      <c r="AH98" s="177">
        <f t="shared" si="124"/>
        <v>0.9870591240071257</v>
      </c>
      <c r="AI98" s="177">
        <f t="shared" si="125"/>
        <v>0.9870591240071257</v>
      </c>
      <c r="AJ98" s="177">
        <f t="shared" si="126"/>
        <v>1.8200437955608337</v>
      </c>
      <c r="AL98" s="555">
        <f t="shared" si="127"/>
        <v>93.000000000000014</v>
      </c>
      <c r="AM98" s="469">
        <f t="shared" si="128"/>
        <v>350</v>
      </c>
      <c r="AO98">
        <f t="shared" si="159"/>
        <v>93.000000000000014</v>
      </c>
      <c r="AP98">
        <f t="shared" si="129"/>
        <v>350</v>
      </c>
      <c r="AR98" s="5">
        <f t="shared" si="160"/>
        <v>2.8571428571428572</v>
      </c>
      <c r="AS98" s="5">
        <f t="shared" si="130"/>
        <v>1.233823905008907</v>
      </c>
      <c r="AT98" s="5">
        <f t="shared" si="161"/>
        <v>1.6233189521339502</v>
      </c>
      <c r="AU98" s="177">
        <f t="shared" si="162"/>
        <v>0.43183836675311743</v>
      </c>
      <c r="AW98" s="5">
        <f t="shared" si="131"/>
        <v>0.10724833101420155</v>
      </c>
      <c r="AX98" s="5">
        <f t="shared" si="132"/>
        <v>1.6703862224127435</v>
      </c>
      <c r="AY98" s="5">
        <f t="shared" si="133"/>
        <v>2.7494601245163159</v>
      </c>
      <c r="AZ98" s="5">
        <f t="shared" si="134"/>
        <v>4.9776732965007007</v>
      </c>
      <c r="BA98" s="5">
        <f t="shared" si="135"/>
        <v>0.32034245525328531</v>
      </c>
      <c r="BB98" s="469">
        <f t="shared" si="136"/>
        <v>39.1515112970609</v>
      </c>
      <c r="BC98" s="5"/>
      <c r="BD98" s="177">
        <f t="shared" si="163"/>
        <v>0.37449252400550326</v>
      </c>
      <c r="BE98" s="177">
        <f t="shared" si="137"/>
        <v>5352.5251170886168</v>
      </c>
      <c r="BF98" s="177">
        <f t="shared" si="138"/>
        <v>26428.364081780619</v>
      </c>
      <c r="BG98" s="177"/>
      <c r="BH98" s="538">
        <f t="shared" si="139"/>
        <v>4.9085627687604348E-2</v>
      </c>
      <c r="BI98" s="538">
        <f t="shared" si="140"/>
        <v>1201.2198763601527</v>
      </c>
      <c r="BJ98" s="538">
        <f t="shared" si="141"/>
        <v>4.3749999999999995E-3</v>
      </c>
      <c r="BK98" s="538">
        <f t="shared" si="142"/>
        <v>8462927.8085788898</v>
      </c>
      <c r="BL98">
        <f t="shared" si="143"/>
        <v>6.96E-3</v>
      </c>
      <c r="BM98">
        <f t="shared" si="144"/>
        <v>1.6625000000000001E-5</v>
      </c>
      <c r="BN98">
        <f t="shared" si="145"/>
        <v>8541483.316428544</v>
      </c>
      <c r="BO98" s="469">
        <f t="shared" si="164"/>
        <v>8541483316.428544</v>
      </c>
      <c r="BP98" s="177">
        <f t="shared" si="146"/>
        <v>21888237.225249778</v>
      </c>
      <c r="BQ98" s="177">
        <f t="shared" si="147"/>
        <v>533622239.15513444</v>
      </c>
      <c r="BR98" s="538"/>
      <c r="BT98" s="469">
        <f t="shared" si="165"/>
        <v>555510476380.38416</v>
      </c>
      <c r="BU98" s="538">
        <f t="shared" si="148"/>
        <v>1.4024465053601243E-2</v>
      </c>
      <c r="BV98" s="538">
        <f t="shared" si="149"/>
        <v>859485.7538719353</v>
      </c>
      <c r="BW98" s="538">
        <f t="shared" si="150"/>
        <v>34922921.401957594</v>
      </c>
      <c r="BX98" s="538">
        <f t="shared" si="151"/>
        <v>0</v>
      </c>
      <c r="BY98" s="538">
        <f t="shared" si="152"/>
        <v>-14.000004890673241</v>
      </c>
      <c r="BZ98" s="538">
        <f t="shared" si="166"/>
        <v>35782407.169853993</v>
      </c>
      <c r="CA98" s="641">
        <f t="shared" si="153"/>
        <v>1.7050000000000006E-2</v>
      </c>
      <c r="CB98" s="469">
        <f t="shared" si="167"/>
        <v>-13982.954890673242</v>
      </c>
      <c r="CC98" s="177">
        <f t="shared" si="168"/>
        <v>564051945.71385789</v>
      </c>
      <c r="CD98" s="5">
        <f t="shared" si="169"/>
        <v>5.1150000000000002</v>
      </c>
      <c r="CE98" s="177">
        <f t="shared" si="170"/>
        <v>9.068313641117022E-9</v>
      </c>
      <c r="CF98" s="5">
        <f t="shared" si="171"/>
        <v>9.0683136411170215E-7</v>
      </c>
      <c r="CG98">
        <f t="shared" si="172"/>
        <v>93</v>
      </c>
      <c r="CI98" s="571">
        <f t="shared" si="154"/>
        <v>-50</v>
      </c>
      <c r="CJ98">
        <f t="shared" si="155"/>
        <v>-50</v>
      </c>
    </row>
    <row r="99" spans="5:88" x14ac:dyDescent="0.25">
      <c r="E99" s="174">
        <v>94</v>
      </c>
      <c r="F99" s="221">
        <f t="shared" si="173"/>
        <v>9.4E-2</v>
      </c>
      <c r="G99" s="221">
        <f t="shared" si="156"/>
        <v>0.47</v>
      </c>
      <c r="H99" s="221">
        <f t="shared" si="105"/>
        <v>1.41</v>
      </c>
      <c r="I99" s="221">
        <f t="shared" si="174"/>
        <v>3.76</v>
      </c>
      <c r="J99" s="551">
        <f t="shared" si="106"/>
        <v>24</v>
      </c>
      <c r="K99" s="451">
        <f t="shared" si="107"/>
        <v>695386.58000000007</v>
      </c>
      <c r="L99" s="451">
        <f t="shared" si="108"/>
        <v>695410.58000000007</v>
      </c>
      <c r="M99" s="451"/>
      <c r="N99" s="221">
        <f t="shared" si="109"/>
        <v>0.99996548801428931</v>
      </c>
      <c r="O99" s="176">
        <f t="shared" si="157"/>
        <v>2.2090146689770211</v>
      </c>
      <c r="P99" s="176">
        <f t="shared" si="110"/>
        <v>5.8907057839387225</v>
      </c>
      <c r="Q99" s="221">
        <f t="shared" si="111"/>
        <v>0.14726764459846808</v>
      </c>
      <c r="R99" s="221">
        <f t="shared" si="112"/>
        <v>0.27612683362212764</v>
      </c>
      <c r="S99" s="451">
        <f t="shared" si="113"/>
        <v>15</v>
      </c>
      <c r="T99" s="221">
        <f t="shared" si="114"/>
        <v>0.47872022528927827</v>
      </c>
      <c r="U99" s="221">
        <f t="shared" si="115"/>
        <v>0.59840028161159786</v>
      </c>
      <c r="V99" s="221">
        <f t="shared" si="116"/>
        <v>2.0652694733738387E-5</v>
      </c>
      <c r="W99" s="201">
        <f t="shared" si="117"/>
        <v>350</v>
      </c>
      <c r="X99" s="451">
        <f t="shared" si="158"/>
        <v>350</v>
      </c>
      <c r="Z99" s="221">
        <f t="shared" si="118"/>
        <v>2.2856354011755182</v>
      </c>
      <c r="AA99" s="177">
        <f t="shared" si="119"/>
        <v>9.8605673459021225E-5</v>
      </c>
      <c r="AB99" s="177">
        <f t="shared" si="120"/>
        <v>0.4914588143407696</v>
      </c>
      <c r="AC99" s="177"/>
      <c r="AD99" s="177">
        <f t="shared" si="121"/>
        <v>6.4712206554230591E-6</v>
      </c>
      <c r="AE99" s="555">
        <f t="shared" si="122"/>
        <v>15543.190123456794</v>
      </c>
      <c r="AF99" s="538">
        <f t="shared" si="123"/>
        <v>2.1166825946720815E-3</v>
      </c>
      <c r="AH99" s="177">
        <f t="shared" si="124"/>
        <v>0.99235170416637297</v>
      </c>
      <c r="AI99" s="177">
        <f t="shared" si="125"/>
        <v>0.99235170416637297</v>
      </c>
      <c r="AJ99" s="177">
        <f t="shared" si="126"/>
        <v>1.8239642253084243</v>
      </c>
      <c r="AL99" s="555">
        <f t="shared" si="127"/>
        <v>94</v>
      </c>
      <c r="AM99" s="469">
        <f t="shared" si="128"/>
        <v>350</v>
      </c>
      <c r="AO99">
        <f t="shared" si="159"/>
        <v>94</v>
      </c>
      <c r="AP99">
        <f t="shared" si="129"/>
        <v>350</v>
      </c>
      <c r="AR99" s="5">
        <f t="shared" si="160"/>
        <v>2.8571428571428572</v>
      </c>
      <c r="AS99" s="5">
        <f t="shared" si="130"/>
        <v>1.2404396302079663</v>
      </c>
      <c r="AT99" s="5">
        <f t="shared" si="161"/>
        <v>1.6167032269348909</v>
      </c>
      <c r="AU99" s="177">
        <f t="shared" si="162"/>
        <v>0.4341538705727882</v>
      </c>
      <c r="AW99" s="5">
        <f t="shared" si="131"/>
        <v>0.10724833101420155</v>
      </c>
      <c r="AX99" s="5">
        <f t="shared" si="132"/>
        <v>1.7034693792622266</v>
      </c>
      <c r="AY99" s="5">
        <f t="shared" si="133"/>
        <v>2.7494601245163159</v>
      </c>
      <c r="AZ99" s="5">
        <f t="shared" si="134"/>
        <v>5.0751880272725387</v>
      </c>
      <c r="BA99" s="5">
        <f t="shared" si="135"/>
        <v>0.3224674260514423</v>
      </c>
      <c r="BB99" s="469">
        <f t="shared" si="136"/>
        <v>39.414146681728639</v>
      </c>
      <c r="BC99" s="5"/>
      <c r="BD99" s="177">
        <f t="shared" si="163"/>
        <v>0.37750858380749097</v>
      </c>
      <c r="BE99" s="177">
        <f t="shared" si="137"/>
        <v>5370.2485870521359</v>
      </c>
      <c r="BF99" s="177">
        <f t="shared" si="138"/>
        <v>26515.874613117114</v>
      </c>
      <c r="BG99" s="177"/>
      <c r="BH99" s="538">
        <f t="shared" si="139"/>
        <v>4.9879455796918097E-2</v>
      </c>
      <c r="BI99" s="538">
        <f t="shared" si="140"/>
        <v>1207.6607797770705</v>
      </c>
      <c r="BJ99" s="538">
        <f t="shared" si="141"/>
        <v>4.3749999999999995E-3</v>
      </c>
      <c r="BK99" s="538">
        <f t="shared" si="142"/>
        <v>8462927.8085788898</v>
      </c>
      <c r="BL99">
        <f t="shared" si="143"/>
        <v>6.96E-3</v>
      </c>
      <c r="BM99">
        <f t="shared" si="144"/>
        <v>1.6625000000000001E-5</v>
      </c>
      <c r="BN99">
        <f t="shared" si="145"/>
        <v>8542752.4342514891</v>
      </c>
      <c r="BO99" s="469">
        <f t="shared" si="164"/>
        <v>8542752434.2514887</v>
      </c>
      <c r="BP99" s="177">
        <f t="shared" si="146"/>
        <v>22033431.420396887</v>
      </c>
      <c r="BQ99" s="177">
        <f t="shared" si="147"/>
        <v>537161987.49954605</v>
      </c>
      <c r="BR99" s="538"/>
      <c r="BT99" s="469">
        <f t="shared" si="165"/>
        <v>559195418919.94299</v>
      </c>
      <c r="BU99" s="538">
        <f t="shared" si="148"/>
        <v>1.4251273084833744E-2</v>
      </c>
      <c r="BV99" s="538">
        <f t="shared" si="149"/>
        <v>865187.09660206386</v>
      </c>
      <c r="BW99" s="538">
        <f t="shared" si="150"/>
        <v>35154580.324927434</v>
      </c>
      <c r="BX99" s="538">
        <f t="shared" si="151"/>
        <v>0</v>
      </c>
      <c r="BY99" s="538">
        <f t="shared" si="152"/>
        <v>-14.000004858445049</v>
      </c>
      <c r="BZ99" s="538">
        <f t="shared" si="166"/>
        <v>36019767.435780771</v>
      </c>
      <c r="CA99" s="641">
        <f t="shared" si="153"/>
        <v>1.723333333333333E-2</v>
      </c>
      <c r="CB99" s="469">
        <f t="shared" si="167"/>
        <v>-13982.771525111715</v>
      </c>
      <c r="CC99" s="177">
        <f t="shared" si="168"/>
        <v>567738157.37142289</v>
      </c>
      <c r="CD99" s="5">
        <f t="shared" si="169"/>
        <v>5.17</v>
      </c>
      <c r="CE99" s="177">
        <f t="shared" si="170"/>
        <v>9.106310516201719E-9</v>
      </c>
      <c r="CF99" s="5">
        <f t="shared" si="171"/>
        <v>9.106310516201719E-7</v>
      </c>
      <c r="CG99">
        <f t="shared" si="172"/>
        <v>94</v>
      </c>
      <c r="CI99" s="571">
        <f t="shared" si="154"/>
        <v>-50</v>
      </c>
      <c r="CJ99">
        <f t="shared" si="155"/>
        <v>-50</v>
      </c>
    </row>
    <row r="100" spans="5:88" x14ac:dyDescent="0.25">
      <c r="E100" s="174">
        <v>95</v>
      </c>
      <c r="F100" s="221">
        <f t="shared" si="173"/>
        <v>9.5000000000000001E-2</v>
      </c>
      <c r="G100" s="221">
        <f t="shared" si="156"/>
        <v>0.47499999999999998</v>
      </c>
      <c r="H100" s="221">
        <f t="shared" si="105"/>
        <v>1.425</v>
      </c>
      <c r="I100" s="221">
        <f t="shared" si="174"/>
        <v>3.8</v>
      </c>
      <c r="J100" s="551">
        <f t="shared" si="106"/>
        <v>24</v>
      </c>
      <c r="K100" s="451">
        <f t="shared" si="107"/>
        <v>695386.58000000007</v>
      </c>
      <c r="L100" s="451">
        <f t="shared" si="108"/>
        <v>695410.58000000007</v>
      </c>
      <c r="M100" s="451"/>
      <c r="N100" s="221">
        <f t="shared" si="109"/>
        <v>0.99996548801428931</v>
      </c>
      <c r="O100" s="176">
        <f t="shared" si="157"/>
        <v>2.2090146689770211</v>
      </c>
      <c r="P100" s="176">
        <f t="shared" si="110"/>
        <v>5.8907057839387225</v>
      </c>
      <c r="Q100" s="221">
        <f t="shared" si="111"/>
        <v>0.14726764459846808</v>
      </c>
      <c r="R100" s="221">
        <f t="shared" si="112"/>
        <v>0.27612683362212764</v>
      </c>
      <c r="S100" s="451">
        <f t="shared" si="113"/>
        <v>15</v>
      </c>
      <c r="T100" s="221">
        <f t="shared" si="114"/>
        <v>0.48381299364341951</v>
      </c>
      <c r="U100" s="221">
        <f t="shared" si="115"/>
        <v>0.60476624205427443</v>
      </c>
      <c r="V100" s="221">
        <f t="shared" si="116"/>
        <v>2.0872404252182411E-5</v>
      </c>
      <c r="W100" s="201">
        <f t="shared" si="117"/>
        <v>350</v>
      </c>
      <c r="X100" s="451">
        <f t="shared" si="158"/>
        <v>350</v>
      </c>
      <c r="Z100" s="221">
        <f t="shared" si="118"/>
        <v>2.2856354011755182</v>
      </c>
      <c r="AA100" s="177">
        <f t="shared" si="119"/>
        <v>9.8605673459021225E-5</v>
      </c>
      <c r="AB100" s="177">
        <f t="shared" si="120"/>
        <v>0.4914588143407696</v>
      </c>
      <c r="AC100" s="177"/>
      <c r="AD100" s="177">
        <f t="shared" si="121"/>
        <v>6.4712206554230591E-6</v>
      </c>
      <c r="AE100" s="555">
        <f t="shared" si="122"/>
        <v>15708.54320987655</v>
      </c>
      <c r="AF100" s="538">
        <f t="shared" si="123"/>
        <v>2.1166825946720815E-3</v>
      </c>
      <c r="AH100" s="177">
        <f t="shared" si="124"/>
        <v>0.99761620638304349</v>
      </c>
      <c r="AI100" s="177">
        <f t="shared" si="125"/>
        <v>0.99761620638304349</v>
      </c>
      <c r="AJ100" s="177">
        <f t="shared" si="126"/>
        <v>1.827863856580032</v>
      </c>
      <c r="AL100" s="555">
        <f t="shared" si="127"/>
        <v>95</v>
      </c>
      <c r="AM100" s="469">
        <f t="shared" si="128"/>
        <v>350</v>
      </c>
      <c r="AO100">
        <f t="shared" si="159"/>
        <v>95</v>
      </c>
      <c r="AP100">
        <f t="shared" si="129"/>
        <v>350</v>
      </c>
      <c r="AR100" s="5">
        <f t="shared" si="160"/>
        <v>2.8571428571428572</v>
      </c>
      <c r="AS100" s="5">
        <f t="shared" si="130"/>
        <v>1.2470202579788043</v>
      </c>
      <c r="AT100" s="5">
        <f t="shared" si="161"/>
        <v>1.6101225991640529</v>
      </c>
      <c r="AU100" s="177">
        <f t="shared" si="162"/>
        <v>0.43645709029258151</v>
      </c>
      <c r="AW100" s="5">
        <f t="shared" si="131"/>
        <v>0.10724833101420155</v>
      </c>
      <c r="AX100" s="5">
        <f t="shared" si="132"/>
        <v>1.7368742811047526</v>
      </c>
      <c r="AY100" s="5">
        <f t="shared" si="133"/>
        <v>2.7494601245163159</v>
      </c>
      <c r="AZ100" s="5">
        <f t="shared" si="134"/>
        <v>5.1736387444697458</v>
      </c>
      <c r="BA100" s="5">
        <f t="shared" si="135"/>
        <v>0.32457139585772277</v>
      </c>
      <c r="BB100" s="469">
        <f t="shared" si="136"/>
        <v>39.674261947371178</v>
      </c>
      <c r="BC100" s="5"/>
      <c r="BD100" s="177">
        <f t="shared" si="163"/>
        <v>0.38051663266141655</v>
      </c>
      <c r="BE100" s="177">
        <f t="shared" si="137"/>
        <v>5387.7394555156252</v>
      </c>
      <c r="BF100" s="177">
        <f t="shared" si="138"/>
        <v>26602.236662756801</v>
      </c>
      <c r="BG100" s="177"/>
      <c r="BH100" s="538">
        <f t="shared" si="139"/>
        <v>5.0677517706194192E-2</v>
      </c>
      <c r="BI100" s="538">
        <f t="shared" si="140"/>
        <v>1214.0675132219062</v>
      </c>
      <c r="BJ100" s="538">
        <f t="shared" si="141"/>
        <v>4.3749999999999995E-3</v>
      </c>
      <c r="BK100" s="538">
        <f t="shared" si="142"/>
        <v>8462927.8085788898</v>
      </c>
      <c r="BL100">
        <f t="shared" si="143"/>
        <v>6.96E-3</v>
      </c>
      <c r="BM100">
        <f t="shared" si="144"/>
        <v>1.6625000000000001E-5</v>
      </c>
      <c r="BN100">
        <f t="shared" si="145"/>
        <v>8544028.6298836675</v>
      </c>
      <c r="BO100" s="469">
        <f t="shared" si="164"/>
        <v>8544028629.883667</v>
      </c>
      <c r="BP100" s="177">
        <f t="shared" si="146"/>
        <v>22177190.667774621</v>
      </c>
      <c r="BQ100" s="177">
        <f t="shared" si="147"/>
        <v>540666752.6685375</v>
      </c>
      <c r="BR100" s="538"/>
      <c r="BT100" s="469">
        <f t="shared" si="165"/>
        <v>562843943336.31213</v>
      </c>
      <c r="BU100" s="538">
        <f t="shared" si="148"/>
        <v>1.4479290773198343E-2</v>
      </c>
      <c r="BV100" s="538">
        <f t="shared" si="149"/>
        <v>870832.09321559418</v>
      </c>
      <c r="BW100" s="538">
        <f t="shared" si="150"/>
        <v>35383949.773066103</v>
      </c>
      <c r="BX100" s="538">
        <f t="shared" si="151"/>
        <v>0</v>
      </c>
      <c r="BY100" s="538">
        <f t="shared" si="152"/>
        <v>-14.000004826951132</v>
      </c>
      <c r="BZ100" s="538">
        <f t="shared" si="166"/>
        <v>36254781.88076099</v>
      </c>
      <c r="CA100" s="641">
        <f t="shared" si="153"/>
        <v>1.7416666666666667E-2</v>
      </c>
      <c r="CB100" s="469">
        <f t="shared" si="167"/>
        <v>-13982.588160284464</v>
      </c>
      <c r="CC100" s="177">
        <f t="shared" si="168"/>
        <v>571387957.98360777</v>
      </c>
      <c r="CD100" s="5">
        <f t="shared" si="169"/>
        <v>5.2249999999999996</v>
      </c>
      <c r="CE100" s="177">
        <f t="shared" si="170"/>
        <v>9.1443998411503221E-9</v>
      </c>
      <c r="CF100" s="5">
        <f t="shared" si="171"/>
        <v>9.1443998411503223E-7</v>
      </c>
      <c r="CG100">
        <f t="shared" si="172"/>
        <v>95</v>
      </c>
      <c r="CI100" s="571">
        <f t="shared" si="154"/>
        <v>-50</v>
      </c>
      <c r="CJ100">
        <f t="shared" si="155"/>
        <v>-50</v>
      </c>
    </row>
    <row r="101" spans="5:88" x14ac:dyDescent="0.25">
      <c r="E101" s="174">
        <v>96</v>
      </c>
      <c r="F101" s="221">
        <f t="shared" si="173"/>
        <v>9.6000000000000002E-2</v>
      </c>
      <c r="G101" s="221">
        <f t="shared" si="156"/>
        <v>0.48</v>
      </c>
      <c r="H101" s="221">
        <f t="shared" si="105"/>
        <v>1.44</v>
      </c>
      <c r="I101" s="221">
        <f t="shared" si="174"/>
        <v>3.84</v>
      </c>
      <c r="J101" s="551">
        <f t="shared" si="106"/>
        <v>24</v>
      </c>
      <c r="K101" s="451">
        <f t="shared" si="107"/>
        <v>695386.58000000007</v>
      </c>
      <c r="L101" s="451">
        <f t="shared" si="108"/>
        <v>695410.58000000007</v>
      </c>
      <c r="M101" s="451"/>
      <c r="N101" s="221">
        <f t="shared" si="109"/>
        <v>0.99996548801428931</v>
      </c>
      <c r="O101" s="176">
        <f t="shared" si="157"/>
        <v>2.2090146689770211</v>
      </c>
      <c r="P101" s="176">
        <f t="shared" si="110"/>
        <v>5.8907057839387225</v>
      </c>
      <c r="Q101" s="221">
        <f t="shared" si="111"/>
        <v>0.14726764459846808</v>
      </c>
      <c r="R101" s="221">
        <f t="shared" si="112"/>
        <v>0.27612683362212764</v>
      </c>
      <c r="S101" s="451">
        <f t="shared" si="113"/>
        <v>15</v>
      </c>
      <c r="T101" s="221">
        <f t="shared" si="114"/>
        <v>0.48890576199756075</v>
      </c>
      <c r="U101" s="221">
        <f t="shared" si="115"/>
        <v>0.61113220249695088</v>
      </c>
      <c r="V101" s="221">
        <f t="shared" si="116"/>
        <v>2.1092113770626435E-5</v>
      </c>
      <c r="W101" s="201">
        <f t="shared" si="117"/>
        <v>350</v>
      </c>
      <c r="X101" s="451">
        <f t="shared" si="158"/>
        <v>350</v>
      </c>
      <c r="Z101" s="221">
        <f t="shared" si="118"/>
        <v>2.2856354011755182</v>
      </c>
      <c r="AA101" s="177">
        <f t="shared" si="119"/>
        <v>9.8605673459021225E-5</v>
      </c>
      <c r="AB101" s="177">
        <f t="shared" ref="AB101:AB105" si="175">0.5*AA101*Z101*Nps*W101/1000*(Pout/Pout_total)</f>
        <v>0.4914588143407696</v>
      </c>
      <c r="AC101" s="177"/>
      <c r="AD101" s="177">
        <f t="shared" si="121"/>
        <v>6.4712206554230591E-6</v>
      </c>
      <c r="AE101" s="555">
        <f t="shared" ref="AE101:AE105" si="176">MAX(10, F101/(0.5*AD101/1000000*Isw_min*Nps)/1000*Pout_total/Pout)</f>
        <v>15873.896296296303</v>
      </c>
      <c r="AF101" s="538">
        <f t="shared" si="123"/>
        <v>2.1166825946720815E-3</v>
      </c>
      <c r="AH101" s="177">
        <f t="shared" si="124"/>
        <v>1.002853072844814</v>
      </c>
      <c r="AI101" s="177">
        <f t="shared" ref="AI101:AI105" si="177">MAX(IF(F101&gt;AB101,T101,AH101),Isw_min)</f>
        <v>1.002853072844814</v>
      </c>
      <c r="AJ101" s="177">
        <f t="shared" ref="AJ101:AJ105" si="178">IF(F101&gt;AF101, (AI101-Isw_min)/1.08*0.8+1.2, AE101*0.2/350+1)</f>
        <v>1.8317430169220843</v>
      </c>
      <c r="AL101" s="555">
        <f t="shared" si="127"/>
        <v>96</v>
      </c>
      <c r="AM101" s="469">
        <f t="shared" si="128"/>
        <v>350</v>
      </c>
      <c r="AO101">
        <f t="shared" si="159"/>
        <v>96</v>
      </c>
      <c r="AP101">
        <f t="shared" si="129"/>
        <v>350</v>
      </c>
      <c r="AR101" s="5">
        <f t="shared" si="160"/>
        <v>2.8571428571428572</v>
      </c>
      <c r="AS101" s="5">
        <f t="shared" si="130"/>
        <v>1.2535663410560174</v>
      </c>
      <c r="AT101" s="5">
        <f t="shared" si="161"/>
        <v>1.6035765160868398</v>
      </c>
      <c r="AU101" s="177">
        <f t="shared" si="162"/>
        <v>0.43874821936960606</v>
      </c>
      <c r="AW101" s="5">
        <f t="shared" si="131"/>
        <v>0.10724833101420155</v>
      </c>
      <c r="AX101" s="5">
        <f t="shared" si="132"/>
        <v>1.7706009279403214</v>
      </c>
      <c r="AY101" s="5">
        <f t="shared" si="133"/>
        <v>2.7494601245163159</v>
      </c>
      <c r="AZ101" s="5">
        <f t="shared" si="134"/>
        <v>5.2730254480923184</v>
      </c>
      <c r="BA101" s="5">
        <f t="shared" si="135"/>
        <v>0.32665447549917104</v>
      </c>
      <c r="BB101" s="469">
        <f t="shared" si="136"/>
        <v>39.931870393233858</v>
      </c>
      <c r="BC101" s="5"/>
      <c r="BD101" s="177">
        <f t="shared" si="163"/>
        <v>0.38351677583982258</v>
      </c>
      <c r="BE101" s="177">
        <f t="shared" si="137"/>
        <v>5405.00089751423</v>
      </c>
      <c r="BF101" s="177">
        <f t="shared" si="138"/>
        <v>26687.46590759663</v>
      </c>
      <c r="BG101" s="177"/>
      <c r="BH101" s="538">
        <f t="shared" si="139"/>
        <v>5.1479791072700454E-2</v>
      </c>
      <c r="BI101" s="538">
        <f t="shared" si="140"/>
        <v>1220.4406148231403</v>
      </c>
      <c r="BJ101" s="538">
        <f t="shared" si="141"/>
        <v>4.3749999999999995E-3</v>
      </c>
      <c r="BK101" s="538">
        <f t="shared" si="142"/>
        <v>8462927.8085788898</v>
      </c>
      <c r="BL101">
        <f t="shared" si="143"/>
        <v>6.96E-3</v>
      </c>
      <c r="BM101">
        <f t="shared" si="144"/>
        <v>1.6625000000000001E-5</v>
      </c>
      <c r="BN101">
        <f t="shared" ref="BN101:BN105" si="179">(BI101+BJ101+BK101+BL101+BM101+BH101*(1+RdsonTC*(Ta-25)))/(1-BH101*RdsonTC*ThetaJA)</f>
        <v>8545311.8744805511</v>
      </c>
      <c r="BO101" s="469">
        <f t="shared" si="164"/>
        <v>8545311874.4805508</v>
      </c>
      <c r="BP101" s="177">
        <f t="shared" si="146"/>
        <v>22319522.539931033</v>
      </c>
      <c r="BQ101" s="177">
        <f t="shared" si="147"/>
        <v>544136719.27633715</v>
      </c>
      <c r="BR101" s="538"/>
      <c r="BT101" s="469">
        <f t="shared" si="165"/>
        <v>566456241816.26819</v>
      </c>
      <c r="BU101" s="538">
        <f t="shared" si="148"/>
        <v>1.4708511735057272E-2</v>
      </c>
      <c r="BV101" s="538">
        <f t="shared" si="149"/>
        <v>876421.04106388893</v>
      </c>
      <c r="BW101" s="538">
        <f t="shared" si="150"/>
        <v>35611041.828456625</v>
      </c>
      <c r="BX101" s="538">
        <f t="shared" si="151"/>
        <v>0</v>
      </c>
      <c r="BY101" s="538">
        <f t="shared" ref="BY101:BY164" si="180">(BX101+(BU101+BV101+BW101)*(1+Ltc*(Ta-25)))/(1-(BU101+BV101+BW101)*Ltc*ThetaCa)</f>
        <v>-14.000004796169593</v>
      </c>
      <c r="BZ101" s="538">
        <f t="shared" si="166"/>
        <v>36487462.884229027</v>
      </c>
      <c r="CA101" s="641">
        <f t="shared" si="153"/>
        <v>1.7600000000000001E-2</v>
      </c>
      <c r="CB101" s="469">
        <f t="shared" si="167"/>
        <v>-13982.404796169592</v>
      </c>
      <c r="CC101" s="177">
        <f t="shared" si="168"/>
        <v>575001539.70834398</v>
      </c>
      <c r="CD101" s="5">
        <f t="shared" si="169"/>
        <v>5.2799999999999994</v>
      </c>
      <c r="CE101" s="177">
        <f t="shared" si="170"/>
        <v>9.1825840226342903E-9</v>
      </c>
      <c r="CF101" s="5">
        <f t="shared" si="171"/>
        <v>9.1825840226342899E-7</v>
      </c>
      <c r="CG101">
        <f t="shared" si="172"/>
        <v>96</v>
      </c>
      <c r="CI101" s="571">
        <f t="shared" si="154"/>
        <v>-50</v>
      </c>
      <c r="CJ101">
        <f t="shared" si="155"/>
        <v>-50</v>
      </c>
    </row>
    <row r="102" spans="5:88" x14ac:dyDescent="0.25">
      <c r="E102" s="174">
        <v>97</v>
      </c>
      <c r="F102" s="221">
        <f t="shared" si="173"/>
        <v>9.7000000000000003E-2</v>
      </c>
      <c r="G102" s="221">
        <f t="shared" si="156"/>
        <v>0.48499999999999999</v>
      </c>
      <c r="H102" s="221">
        <f t="shared" si="105"/>
        <v>1.4550000000000001</v>
      </c>
      <c r="I102" s="221">
        <f t="shared" si="174"/>
        <v>3.88</v>
      </c>
      <c r="J102" s="551">
        <f t="shared" si="106"/>
        <v>24</v>
      </c>
      <c r="K102" s="451">
        <f t="shared" si="107"/>
        <v>695386.58000000007</v>
      </c>
      <c r="L102" s="451">
        <f t="shared" si="108"/>
        <v>695410.58000000007</v>
      </c>
      <c r="M102" s="451"/>
      <c r="N102" s="221">
        <f t="shared" si="109"/>
        <v>0.99996548801428931</v>
      </c>
      <c r="O102" s="176">
        <f t="shared" ref="O102:O105" si="181">N102*J102*Isw_max*0.5*Efficiency*Pout/(Pout+Pout2)</f>
        <v>2.2090146689770211</v>
      </c>
      <c r="P102" s="176">
        <f t="shared" si="110"/>
        <v>5.8907057839387225</v>
      </c>
      <c r="Q102" s="221">
        <f t="shared" si="111"/>
        <v>0.14726764459846808</v>
      </c>
      <c r="R102" s="221">
        <f t="shared" si="112"/>
        <v>0.27612683362212764</v>
      </c>
      <c r="S102" s="451">
        <f t="shared" si="113"/>
        <v>15</v>
      </c>
      <c r="T102" s="221">
        <f t="shared" si="114"/>
        <v>0.49399853035170205</v>
      </c>
      <c r="U102" s="221">
        <f t="shared" si="115"/>
        <v>0.61749816293962767</v>
      </c>
      <c r="V102" s="221">
        <f t="shared" si="116"/>
        <v>2.1311823289070462E-5</v>
      </c>
      <c r="W102" s="201">
        <f t="shared" si="117"/>
        <v>350</v>
      </c>
      <c r="X102" s="451">
        <f t="shared" si="158"/>
        <v>350</v>
      </c>
      <c r="Z102" s="221">
        <f t="shared" si="118"/>
        <v>2.2856354011755182</v>
      </c>
      <c r="AA102" s="177">
        <f t="shared" si="119"/>
        <v>9.8605673459021225E-5</v>
      </c>
      <c r="AB102" s="177">
        <f t="shared" si="175"/>
        <v>0.4914588143407696</v>
      </c>
      <c r="AC102" s="177"/>
      <c r="AD102" s="177">
        <f t="shared" si="121"/>
        <v>6.4712206554230591E-6</v>
      </c>
      <c r="AE102" s="555">
        <f t="shared" si="176"/>
        <v>16039.249382716051</v>
      </c>
      <c r="AF102" s="538">
        <f t="shared" si="123"/>
        <v>2.1166825946720815E-3</v>
      </c>
      <c r="AH102" s="177">
        <f t="shared" si="124"/>
        <v>1.0080627342534174</v>
      </c>
      <c r="AI102" s="177">
        <f t="shared" si="177"/>
        <v>1.0080627342534174</v>
      </c>
      <c r="AJ102" s="177">
        <f t="shared" si="178"/>
        <v>1.8356020253729017</v>
      </c>
      <c r="AL102" s="555">
        <f t="shared" si="127"/>
        <v>97</v>
      </c>
      <c r="AM102" s="469">
        <f t="shared" si="128"/>
        <v>350</v>
      </c>
      <c r="AO102">
        <f t="shared" si="159"/>
        <v>97</v>
      </c>
      <c r="AP102">
        <f t="shared" si="129"/>
        <v>350</v>
      </c>
      <c r="AR102" s="5">
        <f t="shared" si="160"/>
        <v>2.8571428571428572</v>
      </c>
      <c r="AS102" s="5">
        <f t="shared" si="130"/>
        <v>1.2600784178167719</v>
      </c>
      <c r="AT102" s="5">
        <f t="shared" si="161"/>
        <v>1.5970644393260853</v>
      </c>
      <c r="AU102" s="177">
        <f t="shared" si="162"/>
        <v>0.44102744623587015</v>
      </c>
      <c r="AW102" s="5">
        <f t="shared" si="131"/>
        <v>0.10724833101420155</v>
      </c>
      <c r="AX102" s="5">
        <f t="shared" si="132"/>
        <v>1.8046493197689331</v>
      </c>
      <c r="AY102" s="5">
        <f t="shared" si="133"/>
        <v>2.7494601245163159</v>
      </c>
      <c r="AZ102" s="5">
        <f t="shared" si="134"/>
        <v>5.3733481381402584</v>
      </c>
      <c r="BA102" s="5">
        <f t="shared" si="135"/>
        <v>0.32871677406653799</v>
      </c>
      <c r="BB102" s="469">
        <f t="shared" si="136"/>
        <v>40.186985110206784</v>
      </c>
      <c r="BC102" s="5"/>
      <c r="BD102" s="177">
        <f t="shared" si="163"/>
        <v>0.3865091161510073</v>
      </c>
      <c r="BE102" s="177">
        <f t="shared" si="137"/>
        <v>5422.0360039373882</v>
      </c>
      <c r="BF102" s="177">
        <f t="shared" si="138"/>
        <v>26771.577609059874</v>
      </c>
      <c r="BG102" s="177"/>
      <c r="BH102" s="538">
        <f t="shared" si="139"/>
        <v>5.2286253903741503E-2</v>
      </c>
      <c r="BI102" s="538">
        <f t="shared" si="140"/>
        <v>1226.7806087312213</v>
      </c>
      <c r="BJ102" s="538">
        <f t="shared" si="141"/>
        <v>4.3749999999999995E-3</v>
      </c>
      <c r="BK102" s="538">
        <f t="shared" si="142"/>
        <v>8462927.8085788898</v>
      </c>
      <c r="BL102">
        <f t="shared" si="143"/>
        <v>6.96E-3</v>
      </c>
      <c r="BM102">
        <f t="shared" si="144"/>
        <v>1.6625000000000001E-5</v>
      </c>
      <c r="BN102">
        <f t="shared" si="179"/>
        <v>8546602.1397355068</v>
      </c>
      <c r="BO102" s="469">
        <f t="shared" si="164"/>
        <v>8546602139.735507</v>
      </c>
      <c r="BP102" s="177">
        <f t="shared" si="146"/>
        <v>22460434.490777388</v>
      </c>
      <c r="BQ102" s="177">
        <f t="shared" si="147"/>
        <v>547572069.04488015</v>
      </c>
      <c r="BR102" s="538"/>
      <c r="BT102" s="469">
        <f t="shared" si="165"/>
        <v>570032503535.65747</v>
      </c>
      <c r="BU102" s="538">
        <f t="shared" si="148"/>
        <v>1.4938929686783287E-2</v>
      </c>
      <c r="BV102" s="538">
        <f t="shared" si="149"/>
        <v>881954.2328397996</v>
      </c>
      <c r="BW102" s="538">
        <f t="shared" si="150"/>
        <v>35835868.3838958</v>
      </c>
      <c r="BX102" s="538">
        <f t="shared" si="151"/>
        <v>0</v>
      </c>
      <c r="BY102" s="538">
        <f t="shared" si="180"/>
        <v>-14.000004766079444</v>
      </c>
      <c r="BZ102" s="538">
        <f t="shared" si="166"/>
        <v>36717822.631674528</v>
      </c>
      <c r="CA102" s="641">
        <f t="shared" si="153"/>
        <v>1.7783333333333332E-2</v>
      </c>
      <c r="CB102" s="469">
        <f t="shared" si="167"/>
        <v>-13982.22143274611</v>
      </c>
      <c r="CC102" s="177">
        <f t="shared" si="168"/>
        <v>578579091.69317162</v>
      </c>
      <c r="CD102" s="5">
        <f t="shared" si="169"/>
        <v>5.335</v>
      </c>
      <c r="CE102" s="177">
        <f t="shared" si="170"/>
        <v>9.2208654398384415E-9</v>
      </c>
      <c r="CF102" s="5">
        <f t="shared" si="171"/>
        <v>9.2208654398384415E-7</v>
      </c>
      <c r="CG102">
        <f t="shared" si="172"/>
        <v>97</v>
      </c>
      <c r="CI102" s="571">
        <f t="shared" si="154"/>
        <v>-50</v>
      </c>
      <c r="CJ102">
        <f t="shared" si="155"/>
        <v>-50</v>
      </c>
    </row>
    <row r="103" spans="5:88" x14ac:dyDescent="0.25">
      <c r="E103" s="174">
        <v>98</v>
      </c>
      <c r="F103" s="221">
        <f t="shared" si="173"/>
        <v>9.8000000000000004E-2</v>
      </c>
      <c r="G103" s="221">
        <f t="shared" si="156"/>
        <v>0.49</v>
      </c>
      <c r="H103" s="221">
        <f t="shared" si="105"/>
        <v>1.47</v>
      </c>
      <c r="I103" s="221">
        <f t="shared" si="174"/>
        <v>3.92</v>
      </c>
      <c r="J103" s="551">
        <f t="shared" si="106"/>
        <v>24</v>
      </c>
      <c r="K103" s="451">
        <f t="shared" si="107"/>
        <v>695386.58000000007</v>
      </c>
      <c r="L103" s="451">
        <f t="shared" si="108"/>
        <v>695410.58000000007</v>
      </c>
      <c r="M103" s="451"/>
      <c r="N103" s="221">
        <f t="shared" si="109"/>
        <v>0.99996548801428931</v>
      </c>
      <c r="O103" s="176">
        <f t="shared" si="181"/>
        <v>2.2090146689770211</v>
      </c>
      <c r="P103" s="176">
        <f t="shared" si="110"/>
        <v>5.8907057839387225</v>
      </c>
      <c r="Q103" s="221">
        <f t="shared" si="111"/>
        <v>0.14726764459846808</v>
      </c>
      <c r="R103" s="221">
        <f t="shared" si="112"/>
        <v>0.27612683362212764</v>
      </c>
      <c r="S103" s="451">
        <f t="shared" si="113"/>
        <v>15</v>
      </c>
      <c r="T103" s="221">
        <f t="shared" si="114"/>
        <v>0.49909129870584329</v>
      </c>
      <c r="U103" s="221">
        <f t="shared" si="115"/>
        <v>0.62386412338230413</v>
      </c>
      <c r="V103" s="221">
        <f t="shared" si="116"/>
        <v>2.1531532807514489E-5</v>
      </c>
      <c r="W103" s="201">
        <f t="shared" si="117"/>
        <v>350</v>
      </c>
      <c r="X103" s="451">
        <f t="shared" si="158"/>
        <v>350</v>
      </c>
      <c r="Z103" s="221">
        <f t="shared" si="118"/>
        <v>2.2856354011755182</v>
      </c>
      <c r="AA103" s="177">
        <f t="shared" si="119"/>
        <v>9.8605673459021225E-5</v>
      </c>
      <c r="AB103" s="177">
        <f t="shared" si="175"/>
        <v>0.4914588143407696</v>
      </c>
      <c r="AC103" s="177"/>
      <c r="AD103" s="177">
        <f t="shared" si="121"/>
        <v>6.4712206554230591E-6</v>
      </c>
      <c r="AE103" s="555">
        <f t="shared" si="176"/>
        <v>16204.602469135805</v>
      </c>
      <c r="AF103" s="538">
        <f t="shared" si="123"/>
        <v>2.1166825946720815E-3</v>
      </c>
      <c r="AH103" s="177">
        <f t="shared" si="124"/>
        <v>1.0132456102380443</v>
      </c>
      <c r="AI103" s="177">
        <f t="shared" si="177"/>
        <v>1.0132456102380443</v>
      </c>
      <c r="AJ103" s="177">
        <f t="shared" si="178"/>
        <v>1.8394411927689216</v>
      </c>
      <c r="AL103" s="555">
        <f t="shared" si="127"/>
        <v>98</v>
      </c>
      <c r="AM103" s="469">
        <f t="shared" si="128"/>
        <v>350</v>
      </c>
      <c r="AO103">
        <f t="shared" si="159"/>
        <v>98</v>
      </c>
      <c r="AP103">
        <f t="shared" si="129"/>
        <v>350</v>
      </c>
      <c r="AR103" s="5">
        <f t="shared" si="160"/>
        <v>2.8571428571428572</v>
      </c>
      <c r="AS103" s="5">
        <f t="shared" si="130"/>
        <v>1.2665570127975554</v>
      </c>
      <c r="AT103" s="5">
        <f t="shared" si="161"/>
        <v>1.5905858443453018</v>
      </c>
      <c r="AU103" s="177">
        <f t="shared" si="162"/>
        <v>0.44329495447914435</v>
      </c>
      <c r="AW103" s="5">
        <f t="shared" si="131"/>
        <v>0.10724833101420155</v>
      </c>
      <c r="AX103" s="5">
        <f t="shared" si="132"/>
        <v>1.8390194565905871</v>
      </c>
      <c r="AY103" s="5">
        <f t="shared" si="133"/>
        <v>2.7494601245163159</v>
      </c>
      <c r="AZ103" s="5">
        <f t="shared" si="134"/>
        <v>5.4746068146135656</v>
      </c>
      <c r="BA103" s="5">
        <f t="shared" si="135"/>
        <v>0.33075839895915021</v>
      </c>
      <c r="BB103" s="469">
        <f t="shared" si="136"/>
        <v>40.439618986209148</v>
      </c>
      <c r="BC103" s="5"/>
      <c r="BD103" s="177">
        <f t="shared" si="163"/>
        <v>0.38949375402148834</v>
      </c>
      <c r="BE103" s="177">
        <f t="shared" si="137"/>
        <v>5438.8477845282869</v>
      </c>
      <c r="BF103" s="177">
        <f t="shared" si="138"/>
        <v>26854.586627906094</v>
      </c>
      <c r="BG103" s="177"/>
      <c r="BH103" s="538">
        <f t="shared" si="139"/>
        <v>5.3096884547613077E-2</v>
      </c>
      <c r="BI103" s="538">
        <f t="shared" si="140"/>
        <v>1233.0880056216615</v>
      </c>
      <c r="BJ103" s="538">
        <f t="shared" si="141"/>
        <v>4.3749999999999995E-3</v>
      </c>
      <c r="BK103" s="538">
        <f t="shared" si="142"/>
        <v>8462927.8085788898</v>
      </c>
      <c r="BL103">
        <f t="shared" si="143"/>
        <v>6.96E-3</v>
      </c>
      <c r="BM103">
        <f t="shared" si="144"/>
        <v>1.6625000000000001E-5</v>
      </c>
      <c r="BN103">
        <f t="shared" si="179"/>
        <v>8547899.3978662007</v>
      </c>
      <c r="BO103" s="469">
        <f t="shared" si="164"/>
        <v>8547899397.8662004</v>
      </c>
      <c r="BP103" s="177">
        <f t="shared" si="146"/>
        <v>22599933.85865394</v>
      </c>
      <c r="BQ103" s="177">
        <f t="shared" si="147"/>
        <v>550972980.87854946</v>
      </c>
      <c r="BR103" s="538"/>
      <c r="BT103" s="469">
        <f t="shared" si="165"/>
        <v>573572914737.20337</v>
      </c>
      <c r="BU103" s="538">
        <f t="shared" si="148"/>
        <v>1.5170538442175167E-2</v>
      </c>
      <c r="BV103" s="538">
        <f t="shared" si="149"/>
        <v>887431.95669804758</v>
      </c>
      <c r="BW103" s="538">
        <f t="shared" si="150"/>
        <v>36058441.147785641</v>
      </c>
      <c r="BX103" s="538">
        <f t="shared" si="151"/>
        <v>0</v>
      </c>
      <c r="BY103" s="538">
        <f t="shared" si="180"/>
        <v>-14.000004736660539</v>
      </c>
      <c r="BZ103" s="538">
        <f t="shared" si="166"/>
        <v>36945873.119654231</v>
      </c>
      <c r="CA103" s="641">
        <f t="shared" si="153"/>
        <v>1.7966666666666669E-2</v>
      </c>
      <c r="CB103" s="469">
        <f t="shared" si="167"/>
        <v>-13982.038069993872</v>
      </c>
      <c r="CC103" s="177">
        <f t="shared" si="168"/>
        <v>582120800.15303147</v>
      </c>
      <c r="CD103" s="5">
        <f t="shared" si="169"/>
        <v>5.39</v>
      </c>
      <c r="CE103" s="177">
        <f t="shared" si="170"/>
        <v>9.2592464462285233E-9</v>
      </c>
      <c r="CF103" s="5">
        <f t="shared" si="171"/>
        <v>9.2592464462285237E-7</v>
      </c>
      <c r="CG103">
        <f t="shared" si="172"/>
        <v>98</v>
      </c>
      <c r="CI103" s="571">
        <f t="shared" si="154"/>
        <v>-50</v>
      </c>
      <c r="CJ103">
        <f t="shared" si="155"/>
        <v>-50</v>
      </c>
    </row>
    <row r="104" spans="5:88" x14ac:dyDescent="0.25">
      <c r="E104" s="174">
        <v>99</v>
      </c>
      <c r="F104" s="221">
        <f t="shared" ref="F104:F105" si="182">IF(PLOT_TYPE=1, E104/100*Iout_max, min_I*EXP(O104*rr/100))</f>
        <v>9.9000000000000005E-2</v>
      </c>
      <c r="G104" s="221">
        <f t="shared" si="156"/>
        <v>0.495</v>
      </c>
      <c r="H104" s="221">
        <f t="shared" si="105"/>
        <v>1.4850000000000001</v>
      </c>
      <c r="I104" s="221">
        <f t="shared" si="174"/>
        <v>3.96</v>
      </c>
      <c r="J104" s="551">
        <f t="shared" si="106"/>
        <v>24</v>
      </c>
      <c r="K104" s="451">
        <f t="shared" si="107"/>
        <v>695386.58000000007</v>
      </c>
      <c r="L104" s="451">
        <f t="shared" si="108"/>
        <v>695410.58000000007</v>
      </c>
      <c r="M104" s="451"/>
      <c r="N104" s="221">
        <f t="shared" si="109"/>
        <v>0.99996548801428931</v>
      </c>
      <c r="O104" s="176">
        <f t="shared" si="181"/>
        <v>2.2090146689770211</v>
      </c>
      <c r="P104" s="176">
        <f t="shared" si="110"/>
        <v>5.8907057839387225</v>
      </c>
      <c r="Q104" s="221">
        <f t="shared" si="111"/>
        <v>0.14726764459846808</v>
      </c>
      <c r="R104" s="221">
        <f t="shared" si="112"/>
        <v>0.27612683362212764</v>
      </c>
      <c r="S104" s="451">
        <f t="shared" si="113"/>
        <v>15</v>
      </c>
      <c r="T104" s="221">
        <f t="shared" si="114"/>
        <v>0.50418406705998464</v>
      </c>
      <c r="U104" s="221">
        <f t="shared" si="115"/>
        <v>0.6302300838249808</v>
      </c>
      <c r="V104" s="221">
        <f t="shared" si="116"/>
        <v>2.1751242325958516E-5</v>
      </c>
      <c r="W104" s="201">
        <f t="shared" si="117"/>
        <v>350</v>
      </c>
      <c r="X104" s="451">
        <f t="shared" si="158"/>
        <v>350</v>
      </c>
      <c r="Z104" s="221">
        <f t="shared" si="118"/>
        <v>2.2856354011755182</v>
      </c>
      <c r="AA104" s="177">
        <f t="shared" si="119"/>
        <v>9.8605673459021225E-5</v>
      </c>
      <c r="AB104" s="177">
        <f t="shared" si="175"/>
        <v>0.4914588143407696</v>
      </c>
      <c r="AC104" s="177"/>
      <c r="AD104" s="177">
        <f t="shared" si="121"/>
        <v>6.4712206554230591E-6</v>
      </c>
      <c r="AE104" s="555">
        <f t="shared" si="176"/>
        <v>16369.955555555562</v>
      </c>
      <c r="AF104" s="538">
        <f t="shared" si="123"/>
        <v>2.1166825946720815E-3</v>
      </c>
      <c r="AH104" s="177">
        <f t="shared" si="124"/>
        <v>1.0184021097498066</v>
      </c>
      <c r="AI104" s="177">
        <f t="shared" si="177"/>
        <v>1.0184021097498066</v>
      </c>
      <c r="AJ104" s="177">
        <f t="shared" si="178"/>
        <v>1.8432608220368938</v>
      </c>
      <c r="AL104" s="555">
        <f t="shared" si="127"/>
        <v>99</v>
      </c>
      <c r="AM104" s="469">
        <f t="shared" si="128"/>
        <v>350</v>
      </c>
      <c r="AO104">
        <f t="shared" si="159"/>
        <v>99</v>
      </c>
      <c r="AP104">
        <f t="shared" si="129"/>
        <v>350</v>
      </c>
      <c r="AR104" s="5">
        <f t="shared" si="160"/>
        <v>2.8571428571428572</v>
      </c>
      <c r="AS104" s="5">
        <f t="shared" si="130"/>
        <v>1.2730026371872583</v>
      </c>
      <c r="AT104" s="5">
        <f t="shared" si="161"/>
        <v>1.5841402199555989</v>
      </c>
      <c r="AU104" s="177">
        <f t="shared" si="162"/>
        <v>0.44555092301554039</v>
      </c>
      <c r="AW104" s="5">
        <f t="shared" si="131"/>
        <v>0.10724833101420155</v>
      </c>
      <c r="AX104" s="5">
        <f t="shared" si="132"/>
        <v>1.8737113384052835</v>
      </c>
      <c r="AY104" s="5">
        <f t="shared" si="133"/>
        <v>2.7494601245163159</v>
      </c>
      <c r="AZ104" s="5">
        <f t="shared" si="134"/>
        <v>5.5768014775122401</v>
      </c>
      <c r="BA104" s="5">
        <f t="shared" si="135"/>
        <v>0.33277945592817265</v>
      </c>
      <c r="BB104" s="469">
        <f t="shared" si="136"/>
        <v>40.689784711380725</v>
      </c>
      <c r="BC104" s="5"/>
      <c r="BD104" s="177">
        <f t="shared" si="163"/>
        <v>0.3924707875748949</v>
      </c>
      <c r="BE104" s="177">
        <f t="shared" si="137"/>
        <v>5455.43917074602</v>
      </c>
      <c r="BF104" s="177">
        <f t="shared" si="138"/>
        <v>26936.507438363158</v>
      </c>
      <c r="BG104" s="177"/>
      <c r="BH104" s="538">
        <f t="shared" si="139"/>
        <v>5.3911661684880395E-2</v>
      </c>
      <c r="BI104" s="538">
        <f t="shared" si="140"/>
        <v>1239.3633031750892</v>
      </c>
      <c r="BJ104" s="538">
        <f t="shared" si="141"/>
        <v>4.3749999999999995E-3</v>
      </c>
      <c r="BK104" s="538">
        <f t="shared" si="142"/>
        <v>8462927.8085788898</v>
      </c>
      <c r="BL104">
        <f t="shared" si="143"/>
        <v>6.96E-3</v>
      </c>
      <c r="BM104">
        <f t="shared" si="144"/>
        <v>1.6625000000000001E-5</v>
      </c>
      <c r="BN104">
        <f t="shared" si="179"/>
        <v>8549203.6216015052</v>
      </c>
      <c r="BO104" s="469">
        <f t="shared" si="164"/>
        <v>8549203621.6015053</v>
      </c>
      <c r="BP104" s="177">
        <f t="shared" si="146"/>
        <v>22738027.869285952</v>
      </c>
      <c r="BQ104" s="177">
        <f t="shared" si="147"/>
        <v>554339630.93624055</v>
      </c>
      <c r="BR104" s="538"/>
      <c r="BT104" s="469">
        <f t="shared" si="165"/>
        <v>577077658805.52649</v>
      </c>
      <c r="BU104" s="538">
        <f t="shared" si="148"/>
        <v>1.5403331909965829E-2</v>
      </c>
      <c r="BV104" s="538">
        <f t="shared" si="149"/>
        <v>892854.49637130066</v>
      </c>
      <c r="BW104" s="538">
        <f t="shared" si="150"/>
        <v>36278771.648849688</v>
      </c>
      <c r="BX104" s="538">
        <f t="shared" si="151"/>
        <v>0</v>
      </c>
      <c r="BY104" s="538">
        <f t="shared" si="180"/>
        <v>-14.000004707893545</v>
      </c>
      <c r="BZ104" s="538">
        <f t="shared" si="166"/>
        <v>37171626.160624318</v>
      </c>
      <c r="CA104" s="641">
        <f t="shared" si="153"/>
        <v>1.8149999999999999E-2</v>
      </c>
      <c r="CB104" s="469">
        <f t="shared" si="167"/>
        <v>-13981.854707893544</v>
      </c>
      <c r="CC104" s="177">
        <f t="shared" si="168"/>
        <v>585626848.44527328</v>
      </c>
      <c r="CD104" s="5">
        <f t="shared" si="169"/>
        <v>5.4450000000000003</v>
      </c>
      <c r="CE104" s="177">
        <f t="shared" si="170"/>
        <v>9.2977293712357816E-9</v>
      </c>
      <c r="CF104" s="5">
        <f t="shared" si="171"/>
        <v>9.2977293712357814E-7</v>
      </c>
      <c r="CG104">
        <f t="shared" si="172"/>
        <v>99</v>
      </c>
      <c r="CI104" s="571">
        <f t="shared" si="154"/>
        <v>-50</v>
      </c>
      <c r="CJ104">
        <f t="shared" si="155"/>
        <v>-50</v>
      </c>
    </row>
    <row r="105" spans="5:88" x14ac:dyDescent="0.25">
      <c r="E105" s="174">
        <v>100</v>
      </c>
      <c r="F105" s="221">
        <f t="shared" si="182"/>
        <v>0.1</v>
      </c>
      <c r="G105" s="221">
        <f t="shared" si="156"/>
        <v>0.5</v>
      </c>
      <c r="H105" s="221">
        <f t="shared" si="105"/>
        <v>1.5</v>
      </c>
      <c r="I105" s="221">
        <f t="shared" si="174"/>
        <v>4</v>
      </c>
      <c r="J105" s="551">
        <f t="shared" si="106"/>
        <v>24</v>
      </c>
      <c r="K105" s="451">
        <f t="shared" si="107"/>
        <v>695386.58000000007</v>
      </c>
      <c r="L105" s="451">
        <f t="shared" si="108"/>
        <v>695410.58000000007</v>
      </c>
      <c r="M105" s="451"/>
      <c r="N105" s="221">
        <f t="shared" si="109"/>
        <v>0.99996548801428931</v>
      </c>
      <c r="O105" s="176">
        <f t="shared" si="181"/>
        <v>2.2090146689770211</v>
      </c>
      <c r="P105" s="176">
        <f t="shared" si="110"/>
        <v>5.8907057839387225</v>
      </c>
      <c r="Q105" s="221">
        <f t="shared" si="111"/>
        <v>0.14726764459846808</v>
      </c>
      <c r="R105" s="221">
        <f t="shared" si="112"/>
        <v>0.27612683362212764</v>
      </c>
      <c r="S105" s="451">
        <f t="shared" si="113"/>
        <v>15</v>
      </c>
      <c r="T105" s="221">
        <f t="shared" si="114"/>
        <v>0.50927683541412583</v>
      </c>
      <c r="U105" s="221">
        <f t="shared" si="115"/>
        <v>0.63659604426765737</v>
      </c>
      <c r="V105" s="221">
        <f t="shared" si="116"/>
        <v>2.197095184440254E-5</v>
      </c>
      <c r="W105" s="201">
        <f t="shared" si="117"/>
        <v>350</v>
      </c>
      <c r="X105" s="451">
        <f t="shared" si="158"/>
        <v>350</v>
      </c>
      <c r="Z105" s="221">
        <f t="shared" si="118"/>
        <v>2.2856354011755182</v>
      </c>
      <c r="AA105" s="177">
        <f t="shared" si="119"/>
        <v>9.8605673459021225E-5</v>
      </c>
      <c r="AB105" s="177">
        <f t="shared" si="175"/>
        <v>0.4914588143407696</v>
      </c>
      <c r="AC105" s="177"/>
      <c r="AD105" s="177">
        <f t="shared" si="121"/>
        <v>6.4712206554230591E-6</v>
      </c>
      <c r="AE105" s="555">
        <f t="shared" si="176"/>
        <v>16535.308641975313</v>
      </c>
      <c r="AF105" s="538">
        <f t="shared" si="123"/>
        <v>2.1166825946720815E-3</v>
      </c>
      <c r="AH105" s="177">
        <f t="shared" si="124"/>
        <v>1.023532631438318</v>
      </c>
      <c r="AI105" s="177">
        <f t="shared" si="177"/>
        <v>1.023532631438318</v>
      </c>
      <c r="AJ105" s="177">
        <f t="shared" si="178"/>
        <v>1.847061208472828</v>
      </c>
      <c r="AL105" s="555">
        <f t="shared" si="127"/>
        <v>100</v>
      </c>
      <c r="AM105" s="469">
        <f t="shared" si="128"/>
        <v>350</v>
      </c>
      <c r="AO105">
        <f t="shared" si="159"/>
        <v>100</v>
      </c>
      <c r="AP105" s="3">
        <f t="shared" si="129"/>
        <v>350</v>
      </c>
      <c r="AR105" s="5">
        <f t="shared" si="160"/>
        <v>2.8571428571428572</v>
      </c>
      <c r="AS105" s="5">
        <f t="shared" si="130"/>
        <v>1.2794157892978975</v>
      </c>
      <c r="AT105" s="5">
        <f t="shared" si="161"/>
        <v>1.5777270678449598</v>
      </c>
      <c r="AU105" s="177">
        <f t="shared" si="162"/>
        <v>0.44779552625426411</v>
      </c>
      <c r="AW105" s="5">
        <f t="shared" si="131"/>
        <v>0.10724833101420155</v>
      </c>
      <c r="AX105" s="5">
        <f t="shared" si="132"/>
        <v>1.9087249652130232</v>
      </c>
      <c r="AY105" s="5">
        <f t="shared" si="133"/>
        <v>2.7494601245163159</v>
      </c>
      <c r="AZ105" s="5">
        <f t="shared" si="134"/>
        <v>5.6799321268362828</v>
      </c>
      <c r="BA105" s="5">
        <f t="shared" si="135"/>
        <v>0.33478004911833625</v>
      </c>
      <c r="BB105" s="469">
        <f t="shared" si="136"/>
        <v>40.937494783089249</v>
      </c>
      <c r="BC105" s="5"/>
      <c r="BD105" s="177">
        <f t="shared" si="163"/>
        <v>0.39544031270747731</v>
      </c>
      <c r="BE105" s="177">
        <f t="shared" si="137"/>
        <v>5471.8130184980191</v>
      </c>
      <c r="BF105" s="177">
        <f t="shared" si="138"/>
        <v>27017.354141618773</v>
      </c>
      <c r="BG105" s="177"/>
      <c r="BH105" s="538">
        <f t="shared" si="139"/>
        <v>5.4730564319965598E-2</v>
      </c>
      <c r="BI105" s="538">
        <f t="shared" si="140"/>
        <v>1245.6069865355323</v>
      </c>
      <c r="BJ105" s="538">
        <f t="shared" si="141"/>
        <v>4.3749999999999995E-3</v>
      </c>
      <c r="BK105" s="538">
        <f t="shared" si="142"/>
        <v>8462927.8085788898</v>
      </c>
      <c r="BL105">
        <f t="shared" si="143"/>
        <v>6.96E-3</v>
      </c>
      <c r="BM105">
        <f t="shared" si="144"/>
        <v>1.6625000000000001E-5</v>
      </c>
      <c r="BN105">
        <f t="shared" si="179"/>
        <v>8550514.7841688544</v>
      </c>
      <c r="BO105" s="469">
        <f t="shared" si="164"/>
        <v>8550514784.1688547</v>
      </c>
      <c r="BP105" s="177">
        <f t="shared" si="146"/>
        <v>22874723.638634957</v>
      </c>
      <c r="BQ105" s="177">
        <f t="shared" si="147"/>
        <v>557672192.70087469</v>
      </c>
      <c r="BR105" s="538"/>
      <c r="BT105" s="469">
        <f t="shared" si="165"/>
        <v>580546916339.50964</v>
      </c>
      <c r="BU105" s="538">
        <f t="shared" si="148"/>
        <v>1.5637304091418745E-2</v>
      </c>
      <c r="BV105" s="538">
        <f t="shared" si="149"/>
        <v>898222.131282132</v>
      </c>
      <c r="BW105" s="538">
        <f t="shared" si="150"/>
        <v>36496871.240682252</v>
      </c>
      <c r="BX105" s="538">
        <f t="shared" si="151"/>
        <v>0</v>
      </c>
      <c r="BY105" s="538">
        <f t="shared" si="180"/>
        <v>-14.000004679759902</v>
      </c>
      <c r="BZ105" s="538">
        <f t="shared" si="166"/>
        <v>37395093.387601689</v>
      </c>
      <c r="CA105" s="641">
        <f t="shared" si="153"/>
        <v>1.8333333333333337E-2</v>
      </c>
      <c r="CB105" s="469">
        <f t="shared" si="167"/>
        <v>-13981.67134642657</v>
      </c>
      <c r="CC105" s="177">
        <f t="shared" si="168"/>
        <v>589097417.14200711</v>
      </c>
      <c r="CD105" s="5">
        <f t="shared" si="169"/>
        <v>5.5</v>
      </c>
      <c r="CE105" s="177">
        <f t="shared" si="170"/>
        <v>9.3363165218638808E-9</v>
      </c>
      <c r="CF105" s="5">
        <f t="shared" si="171"/>
        <v>9.336316521863881E-7</v>
      </c>
      <c r="CG105">
        <f t="shared" si="172"/>
        <v>100</v>
      </c>
      <c r="CI105" s="571">
        <f t="shared" si="154"/>
        <v>-50</v>
      </c>
      <c r="CJ105">
        <f t="shared" si="155"/>
        <v>-50</v>
      </c>
    </row>
    <row r="106" spans="5:88" x14ac:dyDescent="0.25">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5">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x14ac:dyDescent="0.25">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3">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5">
      <c r="E110" s="174">
        <v>0.1</v>
      </c>
      <c r="F110" s="221">
        <v>1.0000000000000001E-9</v>
      </c>
      <c r="G110" s="221">
        <f t="shared" ref="G110:G141" si="183">IF(PLOT_TYPE=1, E110/100*Iout2, min_I*EXP(Q110*rr/100))</f>
        <v>5.0000000000000001E-4</v>
      </c>
      <c r="H110" s="221">
        <f t="shared" ref="H110:H141" si="184">F110*Vout</f>
        <v>1.5000000000000002E-8</v>
      </c>
      <c r="I110" s="221">
        <f t="shared" ref="I110:I141" si="185">Vout2*G110</f>
        <v>4.0000000000000001E-3</v>
      </c>
      <c r="J110" s="551">
        <f t="shared" ref="J110:J173" si="186">VIN_min</f>
        <v>20</v>
      </c>
      <c r="K110" s="451">
        <f t="shared" ref="K110:K173" si="187">(S110+Vfwd1)*Nps</f>
        <v>695386.58000000007</v>
      </c>
      <c r="L110" s="451">
        <f t="shared" ref="L110:L173" si="188">(Vout+Vfwd1)*Nps+J110</f>
        <v>695406.58000000007</v>
      </c>
      <c r="M110" s="451"/>
      <c r="N110" s="221">
        <f t="shared" ref="N110:N173" si="189">(Vout+Vfwd1)*Nps/((Vout+Vfwd1)*Nps+J110)</f>
        <v>0.9999712398464794</v>
      </c>
      <c r="O110" s="176">
        <f t="shared" ref="O110:O141" si="190">N110*J110*Isw_max*0.5*Efficiency*Pout/(Pout+Pout2)</f>
        <v>1.8408561460810189</v>
      </c>
      <c r="P110" s="176">
        <f t="shared" ref="P110:P141" si="191">N110*J110*Isw_max*0.5*Efficiency*(Pout2/Pout_total)</f>
        <v>4.908949722882717</v>
      </c>
      <c r="Q110" s="221">
        <f t="shared" ref="Q110:Q173" si="192">O110/Vout</f>
        <v>0.12272374307206793</v>
      </c>
      <c r="R110" s="221">
        <f t="shared" ref="R110:R141" si="193">O110/Vout2</f>
        <v>0.23010701826012736</v>
      </c>
      <c r="S110" s="221">
        <f t="shared" ref="S110:S141" si="194">MIN(Vout,O110/F110)</f>
        <v>15</v>
      </c>
      <c r="T110" s="221">
        <f t="shared" ref="T110:T141" si="195">MIN(2*(Vout*F110+Vout2*G110)/(Efficiency*J110*N110), Isw_max)</f>
        <v>4.4445889381713088E-4</v>
      </c>
      <c r="U110" s="221">
        <f t="shared" ref="U110:U173" si="196">L*T110/J110*1000000</f>
        <v>6.6668834072569638E-4</v>
      </c>
      <c r="V110" s="221">
        <f t="shared" ref="V110:V173" si="197">L*T110/K110*1000000</f>
        <v>1.9174610494372678E-8</v>
      </c>
      <c r="W110" s="201">
        <f t="shared" ref="W110:W173" si="198">IF(1/((350000*L)*(1/J110+1/K110))&gt;Isw_min, 350, 0.001/((Isw_min*L)*(1/J110+1/K110)))</f>
        <v>350</v>
      </c>
      <c r="X110" s="451">
        <f t="shared" ref="X110:X173" si="199">MIN(1/(U110+V110)*1000, 350)</f>
        <v>350</v>
      </c>
      <c r="Z110" s="221">
        <f t="shared" ref="Z110:Z173" si="200">1/((W110*1000*L)*(1/J110+1/K110))</f>
        <v>1.9047071235171036</v>
      </c>
      <c r="AA110" s="177">
        <f t="shared" ref="AA110:AA173" si="201">L*Z110/K110*1000000</f>
        <v>8.2171867201568798E-5</v>
      </c>
      <c r="AB110" s="177">
        <f t="shared" ref="AB110:AB141" si="202">0.5*AA110*Z110*Nps*W110/1000*(Pout/(Pout+Pout2))</f>
        <v>0.34129476953431226</v>
      </c>
      <c r="AC110" s="177"/>
      <c r="AD110" s="177">
        <f t="shared" ref="AD110:AD173" si="203">L*Isw_min/K110*1000000</f>
        <v>6.4712206554230591E-6</v>
      </c>
      <c r="AE110" s="555">
        <f t="shared" ref="AE110:AE141" si="204">MAX(10, F110/(0.5*AD110/1000000*Isw_min*Nps)/1000*Pout_total/Pout)</f>
        <v>10</v>
      </c>
      <c r="AF110" s="538">
        <f t="shared" ref="AF110:AF141" si="205">0.5*AD110/1000000*Isw_min*Nps*W110*1000*(Pout/Pout_total)</f>
        <v>2.1166825946720815E-3</v>
      </c>
      <c r="AH110" s="177">
        <f t="shared" ref="AH110:AH141" si="206">SQRT((H110+I110)/(0.5*L*Fsw_DCM))</f>
        <v>2.7602674128562599E-2</v>
      </c>
      <c r="AI110" s="177">
        <f t="shared" ref="AI110:AI141" si="207">MAX(IF(F110&gt;AB110,T110,AH110),Isw_min)</f>
        <v>0.15</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0.22500000000000001</v>
      </c>
      <c r="AT110" s="5">
        <f t="shared" ref="AT110:AT114" si="214">AR110-AS110</f>
        <v>99.775000000000006</v>
      </c>
      <c r="AU110" s="177">
        <f t="shared" ref="AU110:AU114" si="215">AS110/AR110</f>
        <v>2.2500000000000003E-3</v>
      </c>
      <c r="AW110" s="5">
        <f t="shared" ref="AW110:AW169" si="216">F110*AS110/Vout_ripple*1000</f>
        <v>1.5E-9</v>
      </c>
      <c r="AX110" s="5"/>
      <c r="AY110" s="5">
        <f t="shared" ref="AY110:AY169" si="217">G110*AS110/Vout_ripple2*1000</f>
        <v>1.4062500000000002E-3</v>
      </c>
      <c r="AZ110" s="5"/>
      <c r="BA110" s="5">
        <f t="shared" ref="BA110:BA169" si="218">H110/Efficiency/J110*AT110/Vinripple1</f>
        <v>6.9288194444444441E-8</v>
      </c>
      <c r="BB110" s="5"/>
      <c r="BC110" s="5"/>
      <c r="BD110" s="177">
        <f t="shared" ref="BD110:BD169" si="219">AI110*SQRT(AU110/3)</f>
        <v>4.107919181288746E-3</v>
      </c>
      <c r="BE110" s="177">
        <f t="shared" ref="BE110:BE169" si="220">AI110*Npri_sec1*SQRT((1-AU110)/3)*(Pout/Pout_total)</f>
        <v>1077.9080670619246</v>
      </c>
      <c r="BF110" s="177">
        <f t="shared" ref="BF110:BF169" si="221">AI110*Npri_sec2*SQRT((1-AU110)/3)*(Pout2/Pout_total)</f>
        <v>5322.2257196050268</v>
      </c>
      <c r="BG110" s="177"/>
      <c r="BH110" s="538">
        <f t="shared" ref="BH110:BH169" si="222">Rdson*BD110^2</f>
        <v>5.9062499999999996E-6</v>
      </c>
      <c r="BI110" s="538">
        <f t="shared" ref="BI110:BI169" si="223">0.5*L110*AI110*AM110*1000*Trise</f>
        <v>5.2155493500000008</v>
      </c>
      <c r="BJ110" s="538">
        <f t="shared" ref="BJ110:BJ169" si="224">Qg*Vdd*AM110*1000</f>
        <v>1.25E-4</v>
      </c>
      <c r="BK110" s="538">
        <f t="shared" ref="BK110:BK169" si="225">0.5*(Coss+Csw)*L110^2*AM110*1000</f>
        <v>241795.15575364829</v>
      </c>
      <c r="BL110">
        <f t="shared" ref="BL110:BL169" si="226">J110*IQ</f>
        <v>5.7999999999999996E-3</v>
      </c>
      <c r="BM110">
        <f t="shared" ref="BM110:BM141" si="227">(J110-Vdd)*Qg*AM110</f>
        <v>3.7500000000000001E-7</v>
      </c>
      <c r="BN110">
        <f t="shared" ref="BN110:BN141" si="228">(BI110+BJ110+BK110+BL110+BM110+BH110*(1+RdsonTC*(Ta-25)))/(1-BH110*RdsonTC*ThetaJA)</f>
        <v>241800.64072599073</v>
      </c>
      <c r="BO110" s="469">
        <f t="shared" ref="BO110:BO169" si="229">SUM(BH110:BL110)*1000</f>
        <v>241800377.23390454</v>
      </c>
      <c r="BP110" s="177">
        <f t="shared" ref="BP110:BP169" si="230">Vfwd2*F110</f>
        <v>3E-10</v>
      </c>
      <c r="BQ110" s="177">
        <f t="shared" ref="BQ110:BQ169" si="231">Vfwd2*G110</f>
        <v>1.4999999999999999E-4</v>
      </c>
      <c r="BR110" s="538"/>
      <c r="BT110" s="469">
        <f t="shared" ref="BT110:BT169" si="232">SUM(BP110:BS110)*1000</f>
        <v>0.15000029999999998</v>
      </c>
      <c r="BU110" s="538">
        <f t="shared" ref="BU110:BU169" si="233">Rdcr_pri*BD110^2</f>
        <v>1.6875000000000001E-6</v>
      </c>
      <c r="BV110" s="538">
        <f t="shared" ref="BV110:BV169" si="234">Rdcr_sec*BE110^2</f>
        <v>34856.57403111524</v>
      </c>
      <c r="BW110" s="538">
        <f t="shared" ref="BW110:BW169" si="235">Rdcr_sec2*BF110^2</f>
        <v>1416304.3305212623</v>
      </c>
      <c r="BX110" s="538">
        <f t="shared" ref="BX110:BX169" si="236">AI110^2.5*AM110^2.5*k_core</f>
        <v>0</v>
      </c>
      <c r="BY110" s="538">
        <f t="shared" si="180"/>
        <v>-14.000120594144231</v>
      </c>
      <c r="BZ110" s="538">
        <f t="shared" si="166"/>
        <v>1451160.9045540651</v>
      </c>
      <c r="CA110" s="641">
        <f t="shared" ref="CA110:CA141" si="237">0.5*Lleak*0.000000001*AI110^2*AM110*1000</f>
        <v>1.1250000000000001E-5</v>
      </c>
      <c r="CB110" s="469">
        <f t="shared" ref="CB110:CB169" si="238">SUM(BU110:CA110)*1000</f>
        <v>2902307808.998786</v>
      </c>
      <c r="CC110" s="177">
        <f t="shared" si="168"/>
        <v>241786.64076664689</v>
      </c>
      <c r="CD110" s="5">
        <f t="shared" ref="CD110:CD169" si="239">MIN(H110+I110,O110+P110)</f>
        <v>4.000015E-3</v>
      </c>
      <c r="CE110" s="177">
        <f t="shared" ref="CE110:CE169" si="240">CD110/(CD110+CC110)</f>
        <v>1.6543572966407E-8</v>
      </c>
      <c r="CF110" s="5">
        <f t="shared" ref="CF110:CF169" si="241">CE110*100</f>
        <v>1.6543572966407E-6</v>
      </c>
      <c r="CG110">
        <f t="shared" ref="CG110:CG169" si="242">F110/Iout*100</f>
        <v>9.9999999999999995E-7</v>
      </c>
      <c r="CI110" s="571">
        <f t="shared" ref="CI110:CI141" si="243">IF(ABS(F110-Ioutmax_Vinmin)&lt;Iout/200, AM110, -50)</f>
        <v>-50</v>
      </c>
      <c r="CJ110">
        <f t="shared" ref="CJ110:CJ141" si="244">IF(ABS(F110-Ioutmax_Vinmin)&lt;Iout/200, (O110+P110)*CE110, -50)</f>
        <v>-50</v>
      </c>
    </row>
    <row r="111" spans="5:88" x14ac:dyDescent="0.25">
      <c r="E111" s="174">
        <v>1</v>
      </c>
      <c r="F111" s="221">
        <f t="shared" ref="F111:F142" si="245">IF(PLOT_TYPE=1, E111/100*Iout_max, min_I*EXP(O111*rr/100))</f>
        <v>1E-3</v>
      </c>
      <c r="G111" s="221">
        <f t="shared" si="183"/>
        <v>5.0000000000000001E-3</v>
      </c>
      <c r="H111" s="221">
        <f t="shared" si="184"/>
        <v>1.4999999999999999E-2</v>
      </c>
      <c r="I111" s="221">
        <f t="shared" si="185"/>
        <v>0.04</v>
      </c>
      <c r="J111" s="551">
        <f t="shared" si="186"/>
        <v>20</v>
      </c>
      <c r="K111" s="451">
        <f t="shared" si="187"/>
        <v>695386.58000000007</v>
      </c>
      <c r="L111" s="451">
        <f t="shared" si="188"/>
        <v>695406.58000000007</v>
      </c>
      <c r="M111" s="451"/>
      <c r="N111" s="221">
        <f t="shared" si="189"/>
        <v>0.9999712398464794</v>
      </c>
      <c r="O111" s="176">
        <f t="shared" si="190"/>
        <v>1.8408561460810189</v>
      </c>
      <c r="P111" s="176">
        <f t="shared" si="191"/>
        <v>4.908949722882717</v>
      </c>
      <c r="Q111" s="221">
        <f t="shared" si="192"/>
        <v>0.12272374307206793</v>
      </c>
      <c r="R111" s="221">
        <f t="shared" si="193"/>
        <v>0.23010701826012736</v>
      </c>
      <c r="S111" s="221">
        <f t="shared" si="194"/>
        <v>15</v>
      </c>
      <c r="T111" s="221">
        <f t="shared" si="195"/>
        <v>6.1112868726597765E-3</v>
      </c>
      <c r="U111" s="221">
        <f t="shared" si="196"/>
        <v>9.1669303089896639E-3</v>
      </c>
      <c r="V111" s="221">
        <f t="shared" si="197"/>
        <v>2.6364990561047828E-7</v>
      </c>
      <c r="W111" s="201">
        <f t="shared" si="198"/>
        <v>350</v>
      </c>
      <c r="X111" s="451">
        <f t="shared" si="199"/>
        <v>350</v>
      </c>
      <c r="Z111" s="221">
        <f t="shared" si="200"/>
        <v>1.9047071235171036</v>
      </c>
      <c r="AA111" s="177">
        <f t="shared" si="201"/>
        <v>8.2171867201568798E-5</v>
      </c>
      <c r="AB111" s="177">
        <f t="shared" si="202"/>
        <v>0.34129476953431226</v>
      </c>
      <c r="AC111" s="177"/>
      <c r="AD111" s="177">
        <f t="shared" si="203"/>
        <v>6.4712206554230591E-6</v>
      </c>
      <c r="AE111" s="555">
        <f t="shared" si="204"/>
        <v>165.35308641975314</v>
      </c>
      <c r="AF111" s="538">
        <f t="shared" si="205"/>
        <v>2.1166825946720815E-3</v>
      </c>
      <c r="AH111" s="177">
        <f t="shared" si="206"/>
        <v>0.10235326314383179</v>
      </c>
      <c r="AI111" s="177">
        <f t="shared" si="207"/>
        <v>0.15</v>
      </c>
      <c r="AJ111" s="177">
        <f t="shared" si="208"/>
        <v>1.0944874779541447</v>
      </c>
      <c r="AL111" s="555">
        <f t="shared" si="209"/>
        <v>1</v>
      </c>
      <c r="AM111" s="469">
        <f t="shared" si="210"/>
        <v>165.35308641975314</v>
      </c>
      <c r="AO111" s="469">
        <f t="shared" si="211"/>
        <v>1</v>
      </c>
      <c r="AP111" s="469">
        <f t="shared" si="212"/>
        <v>165.35308641975314</v>
      </c>
      <c r="AR111" s="5">
        <f t="shared" si="160"/>
        <v>6.0476645562059472</v>
      </c>
      <c r="AS111" s="5">
        <f t="shared" si="213"/>
        <v>0.22500000000000001</v>
      </c>
      <c r="AT111" s="5">
        <f t="shared" si="214"/>
        <v>5.8226645562059476</v>
      </c>
      <c r="AU111" s="177">
        <f t="shared" si="215"/>
        <v>3.7204444444444457E-2</v>
      </c>
      <c r="AW111" s="5">
        <f t="shared" si="216"/>
        <v>1.5E-3</v>
      </c>
      <c r="AX111" s="5"/>
      <c r="AY111" s="5">
        <f t="shared" si="217"/>
        <v>1.4062500000000002E-2</v>
      </c>
      <c r="AZ111" s="5"/>
      <c r="BA111" s="5">
        <f t="shared" si="218"/>
        <v>4.0435170529207962E-3</v>
      </c>
      <c r="BB111" s="5"/>
      <c r="BC111" s="5"/>
      <c r="BD111" s="177">
        <f t="shared" si="219"/>
        <v>1.6704290865922247E-2</v>
      </c>
      <c r="BE111" s="177">
        <f t="shared" si="220"/>
        <v>1058.8584149324038</v>
      </c>
      <c r="BF111" s="177">
        <f t="shared" si="221"/>
        <v>5228.1670966005477</v>
      </c>
      <c r="BG111" s="177"/>
      <c r="BH111" s="538">
        <f t="shared" si="222"/>
        <v>9.7661666666666694E-5</v>
      </c>
      <c r="BI111" s="538">
        <f t="shared" si="223"/>
        <v>86.240718239703739</v>
      </c>
      <c r="BJ111" s="538">
        <f t="shared" si="224"/>
        <v>2.066913580246914E-3</v>
      </c>
      <c r="BK111" s="538">
        <f t="shared" si="225"/>
        <v>3998157.5285210675</v>
      </c>
      <c r="BL111">
        <f t="shared" si="226"/>
        <v>5.7999999999999996E-3</v>
      </c>
      <c r="BM111">
        <f t="shared" si="227"/>
        <v>6.2007407407407428E-6</v>
      </c>
      <c r="BN111">
        <f t="shared" si="228"/>
        <v>3998315.8211867609</v>
      </c>
      <c r="BO111" s="469">
        <f t="shared" si="229"/>
        <v>3998243777.2038822</v>
      </c>
      <c r="BP111" s="177">
        <f t="shared" si="230"/>
        <v>2.9999999999999997E-4</v>
      </c>
      <c r="BQ111" s="177">
        <f t="shared" si="231"/>
        <v>1.5E-3</v>
      </c>
      <c r="BR111" s="538"/>
      <c r="BT111" s="469">
        <f t="shared" si="232"/>
        <v>1.8</v>
      </c>
      <c r="BU111" s="538">
        <f t="shared" si="233"/>
        <v>2.7903333333333341E-5</v>
      </c>
      <c r="BV111" s="538">
        <f t="shared" si="234"/>
        <v>33635.434286194875</v>
      </c>
      <c r="BW111" s="538">
        <f t="shared" si="235"/>
        <v>1366686.55949883</v>
      </c>
      <c r="BX111" s="538">
        <f t="shared" si="236"/>
        <v>0</v>
      </c>
      <c r="BY111" s="538">
        <f t="shared" si="180"/>
        <v>-14.000124972372735</v>
      </c>
      <c r="BZ111" s="538">
        <f t="shared" si="166"/>
        <v>1400321.9938129282</v>
      </c>
      <c r="CA111" s="641">
        <f t="shared" si="237"/>
        <v>1.860222222222223E-4</v>
      </c>
      <c r="CB111" s="469">
        <f t="shared" si="238"/>
        <v>2800629987.6869063</v>
      </c>
      <c r="CC111" s="177">
        <f t="shared" si="168"/>
        <v>3998301.8230478107</v>
      </c>
      <c r="CD111" s="5">
        <f t="shared" si="239"/>
        <v>5.5E-2</v>
      </c>
      <c r="CE111" s="177">
        <f t="shared" si="240"/>
        <v>1.375583977337249E-8</v>
      </c>
      <c r="CF111" s="5">
        <f t="shared" si="241"/>
        <v>1.3755839773372489E-6</v>
      </c>
      <c r="CG111">
        <f t="shared" si="242"/>
        <v>1</v>
      </c>
      <c r="CI111" s="571">
        <f t="shared" si="243"/>
        <v>-50</v>
      </c>
      <c r="CJ111">
        <f t="shared" si="244"/>
        <v>-50</v>
      </c>
    </row>
    <row r="112" spans="5:88" x14ac:dyDescent="0.25">
      <c r="E112" s="174">
        <v>2</v>
      </c>
      <c r="F112" s="221">
        <f t="shared" si="245"/>
        <v>2E-3</v>
      </c>
      <c r="G112" s="221">
        <f t="shared" si="183"/>
        <v>0.01</v>
      </c>
      <c r="H112" s="221">
        <f t="shared" si="184"/>
        <v>0.03</v>
      </c>
      <c r="I112" s="221">
        <f t="shared" si="185"/>
        <v>0.08</v>
      </c>
      <c r="J112" s="551">
        <f t="shared" si="186"/>
        <v>20</v>
      </c>
      <c r="K112" s="451">
        <f t="shared" si="187"/>
        <v>695386.58000000007</v>
      </c>
      <c r="L112" s="451">
        <f t="shared" si="188"/>
        <v>695406.58000000007</v>
      </c>
      <c r="M112" s="451"/>
      <c r="N112" s="221">
        <f t="shared" si="189"/>
        <v>0.9999712398464794</v>
      </c>
      <c r="O112" s="176">
        <f t="shared" si="190"/>
        <v>1.8408561460810189</v>
      </c>
      <c r="P112" s="176">
        <f t="shared" si="191"/>
        <v>4.908949722882717</v>
      </c>
      <c r="Q112" s="221">
        <f t="shared" si="192"/>
        <v>0.12272374307206793</v>
      </c>
      <c r="R112" s="221">
        <f t="shared" si="193"/>
        <v>0.23010701826012736</v>
      </c>
      <c r="S112" s="221">
        <f t="shared" si="194"/>
        <v>15</v>
      </c>
      <c r="T112" s="221">
        <f t="shared" si="195"/>
        <v>1.2222573745319553E-2</v>
      </c>
      <c r="U112" s="221">
        <f t="shared" si="196"/>
        <v>1.8333860617979328E-2</v>
      </c>
      <c r="V112" s="221">
        <f t="shared" si="197"/>
        <v>5.2729981122095656E-7</v>
      </c>
      <c r="W112" s="201">
        <f t="shared" si="198"/>
        <v>350</v>
      </c>
      <c r="X112" s="451">
        <f t="shared" si="199"/>
        <v>350</v>
      </c>
      <c r="Z112" s="221">
        <f t="shared" si="200"/>
        <v>1.9047071235171036</v>
      </c>
      <c r="AA112" s="177">
        <f t="shared" si="201"/>
        <v>8.2171867201568798E-5</v>
      </c>
      <c r="AB112" s="177">
        <f t="shared" si="202"/>
        <v>0.34129476953431226</v>
      </c>
      <c r="AC112" s="177"/>
      <c r="AD112" s="177">
        <f t="shared" si="203"/>
        <v>6.4712206554230591E-6</v>
      </c>
      <c r="AE112" s="555">
        <f t="shared" si="204"/>
        <v>330.70617283950628</v>
      </c>
      <c r="AF112" s="538">
        <f t="shared" si="205"/>
        <v>2.1166825946720815E-3</v>
      </c>
      <c r="AH112" s="177">
        <f t="shared" si="206"/>
        <v>0.14474937289114917</v>
      </c>
      <c r="AI112" s="177">
        <f t="shared" si="207"/>
        <v>0.15</v>
      </c>
      <c r="AJ112" s="177">
        <f t="shared" si="208"/>
        <v>1.1889749559082894</v>
      </c>
      <c r="AL112" s="555">
        <f t="shared" si="209"/>
        <v>2</v>
      </c>
      <c r="AM112" s="469">
        <f t="shared" si="210"/>
        <v>330.70617283950628</v>
      </c>
      <c r="AO112" s="469">
        <f t="shared" si="211"/>
        <v>2</v>
      </c>
      <c r="AP112" s="469">
        <f t="shared" si="212"/>
        <v>330.70617283950628</v>
      </c>
      <c r="AR112" s="5">
        <f t="shared" si="160"/>
        <v>3.0238322781029736</v>
      </c>
      <c r="AS112" s="5">
        <f t="shared" si="213"/>
        <v>0.22500000000000001</v>
      </c>
      <c r="AT112" s="5">
        <f t="shared" si="214"/>
        <v>2.7988322781029735</v>
      </c>
      <c r="AU112" s="177">
        <f t="shared" si="215"/>
        <v>7.4408888888888913E-2</v>
      </c>
      <c r="AW112" s="5">
        <f t="shared" si="216"/>
        <v>3.0000000000000001E-3</v>
      </c>
      <c r="AX112" s="5"/>
      <c r="AY112" s="5">
        <f t="shared" si="217"/>
        <v>2.8125000000000004E-2</v>
      </c>
      <c r="AZ112" s="5"/>
      <c r="BA112" s="5">
        <f t="shared" si="218"/>
        <v>3.8872670529207956E-3</v>
      </c>
      <c r="BB112" s="5"/>
      <c r="BC112" s="5"/>
      <c r="BD112" s="177">
        <f t="shared" si="219"/>
        <v>2.3623434692412251E-2</v>
      </c>
      <c r="BE112" s="177">
        <f t="shared" si="220"/>
        <v>1038.19860640703</v>
      </c>
      <c r="BF112" s="177">
        <f t="shared" si="221"/>
        <v>5126.1582447737219</v>
      </c>
      <c r="BG112" s="177"/>
      <c r="BH112" s="538">
        <f t="shared" si="222"/>
        <v>1.9532333333333333E-4</v>
      </c>
      <c r="BI112" s="538">
        <f t="shared" si="223"/>
        <v>172.48143647940748</v>
      </c>
      <c r="BJ112" s="538">
        <f t="shared" si="224"/>
        <v>4.1338271604938279E-3</v>
      </c>
      <c r="BK112" s="538">
        <f t="shared" si="225"/>
        <v>7996315.0570421349</v>
      </c>
      <c r="BL112">
        <f t="shared" si="226"/>
        <v>5.7999999999999996E-3</v>
      </c>
      <c r="BM112">
        <f t="shared" si="227"/>
        <v>1.2401481481481486E-5</v>
      </c>
      <c r="BN112">
        <f t="shared" si="228"/>
        <v>7996775.7296930067</v>
      </c>
      <c r="BO112" s="469">
        <f t="shared" si="229"/>
        <v>7996487548.6077652</v>
      </c>
      <c r="BP112" s="177">
        <f t="shared" si="230"/>
        <v>5.9999999999999995E-4</v>
      </c>
      <c r="BQ112" s="177">
        <f t="shared" si="231"/>
        <v>3.0000000000000001E-3</v>
      </c>
      <c r="BR112" s="538"/>
      <c r="BT112" s="469">
        <f t="shared" si="232"/>
        <v>3.6</v>
      </c>
      <c r="BU112" s="538">
        <f t="shared" si="233"/>
        <v>5.5806666666666676E-5</v>
      </c>
      <c r="BV112" s="538">
        <f t="shared" si="234"/>
        <v>32335.690390364973</v>
      </c>
      <c r="BW112" s="538">
        <f t="shared" si="235"/>
        <v>1313874.9175230805</v>
      </c>
      <c r="BX112" s="538">
        <f t="shared" si="236"/>
        <v>0</v>
      </c>
      <c r="BY112" s="538">
        <f t="shared" si="180"/>
        <v>-14.000129995725715</v>
      </c>
      <c r="BZ112" s="538">
        <f t="shared" si="166"/>
        <v>1346210.6079692522</v>
      </c>
      <c r="CA112" s="641">
        <f t="shared" si="237"/>
        <v>3.720444444444446E-4</v>
      </c>
      <c r="CB112" s="469">
        <f t="shared" si="238"/>
        <v>2692407216.180553</v>
      </c>
      <c r="CC112" s="177">
        <f t="shared" si="168"/>
        <v>7996761.7335350551</v>
      </c>
      <c r="CD112" s="5">
        <f t="shared" si="239"/>
        <v>0.11</v>
      </c>
      <c r="CE112" s="177">
        <f t="shared" si="240"/>
        <v>1.3755567835114282E-8</v>
      </c>
      <c r="CF112" s="5">
        <f t="shared" si="241"/>
        <v>1.3755567835114282E-6</v>
      </c>
      <c r="CG112">
        <f t="shared" si="242"/>
        <v>2</v>
      </c>
      <c r="CI112" s="571">
        <f t="shared" si="243"/>
        <v>-50</v>
      </c>
      <c r="CJ112">
        <f t="shared" si="244"/>
        <v>-50</v>
      </c>
    </row>
    <row r="113" spans="5:88" x14ac:dyDescent="0.25">
      <c r="E113" s="174">
        <v>3</v>
      </c>
      <c r="F113" s="221">
        <f t="shared" si="245"/>
        <v>3.0000000000000001E-3</v>
      </c>
      <c r="G113" s="221">
        <f t="shared" si="183"/>
        <v>1.4999999999999999E-2</v>
      </c>
      <c r="H113" s="221">
        <f t="shared" si="184"/>
        <v>4.4999999999999998E-2</v>
      </c>
      <c r="I113" s="221">
        <f t="shared" si="185"/>
        <v>0.12</v>
      </c>
      <c r="J113" s="551">
        <f t="shared" si="186"/>
        <v>20</v>
      </c>
      <c r="K113" s="451">
        <f t="shared" si="187"/>
        <v>695386.58000000007</v>
      </c>
      <c r="L113" s="451">
        <f t="shared" si="188"/>
        <v>695406.58000000007</v>
      </c>
      <c r="M113" s="451"/>
      <c r="N113" s="221">
        <f t="shared" si="189"/>
        <v>0.9999712398464794</v>
      </c>
      <c r="O113" s="176">
        <f t="shared" si="190"/>
        <v>1.8408561460810189</v>
      </c>
      <c r="P113" s="176">
        <f t="shared" si="191"/>
        <v>4.908949722882717</v>
      </c>
      <c r="Q113" s="221">
        <f t="shared" si="192"/>
        <v>0.12272374307206793</v>
      </c>
      <c r="R113" s="221">
        <f t="shared" si="193"/>
        <v>0.23010701826012736</v>
      </c>
      <c r="S113" s="221">
        <f t="shared" si="194"/>
        <v>15</v>
      </c>
      <c r="T113" s="221">
        <f t="shared" si="195"/>
        <v>1.8333860617979328E-2</v>
      </c>
      <c r="U113" s="221">
        <f t="shared" si="196"/>
        <v>2.7500790926968992E-2</v>
      </c>
      <c r="V113" s="221">
        <f t="shared" si="197"/>
        <v>7.9094971683143457E-7</v>
      </c>
      <c r="W113" s="201">
        <f t="shared" si="198"/>
        <v>350</v>
      </c>
      <c r="X113" s="451">
        <f t="shared" si="199"/>
        <v>350</v>
      </c>
      <c r="Z113" s="221">
        <f t="shared" si="200"/>
        <v>1.9047071235171036</v>
      </c>
      <c r="AA113" s="177">
        <f t="shared" si="201"/>
        <v>8.2171867201568798E-5</v>
      </c>
      <c r="AB113" s="177">
        <f t="shared" si="202"/>
        <v>0.34129476953431226</v>
      </c>
      <c r="AC113" s="177"/>
      <c r="AD113" s="177">
        <f t="shared" si="203"/>
        <v>6.4712206554230591E-6</v>
      </c>
      <c r="AE113" s="555">
        <f t="shared" si="204"/>
        <v>496.05925925925948</v>
      </c>
      <c r="AF113" s="538">
        <f t="shared" si="205"/>
        <v>2.1166825946720815E-3</v>
      </c>
      <c r="AH113" s="177">
        <f t="shared" si="206"/>
        <v>0.17728105208558365</v>
      </c>
      <c r="AI113" s="177">
        <f t="shared" si="207"/>
        <v>0.17728105208558365</v>
      </c>
      <c r="AJ113" s="177">
        <f t="shared" si="208"/>
        <v>1.2202081867300618</v>
      </c>
      <c r="AL113" s="555">
        <f t="shared" si="209"/>
        <v>3</v>
      </c>
      <c r="AM113" s="469">
        <f t="shared" si="210"/>
        <v>350</v>
      </c>
      <c r="AO113" s="469">
        <f t="shared" si="211"/>
        <v>3</v>
      </c>
      <c r="AP113" s="469">
        <f t="shared" si="212"/>
        <v>350</v>
      </c>
      <c r="AR113" s="5">
        <f t="shared" si="160"/>
        <v>2.8571428571428572</v>
      </c>
      <c r="AS113" s="5">
        <f t="shared" si="213"/>
        <v>0.26592157812837547</v>
      </c>
      <c r="AT113" s="5">
        <f t="shared" si="214"/>
        <v>2.5912212790144817</v>
      </c>
      <c r="AU113" s="177">
        <f t="shared" si="215"/>
        <v>9.3072552344931406E-2</v>
      </c>
      <c r="AW113" s="5">
        <f t="shared" si="216"/>
        <v>5.3184315625675101E-3</v>
      </c>
      <c r="AX113" s="5"/>
      <c r="AY113" s="5">
        <f t="shared" si="217"/>
        <v>4.98602958990704E-2</v>
      </c>
      <c r="AZ113" s="5"/>
      <c r="BA113" s="5">
        <f t="shared" si="218"/>
        <v>5.3983776646135025E-3</v>
      </c>
      <c r="BB113" s="5"/>
      <c r="BC113" s="5"/>
      <c r="BD113" s="177">
        <f t="shared" si="219"/>
        <v>3.1225723153687088E-2</v>
      </c>
      <c r="BE113" s="177">
        <f t="shared" si="220"/>
        <v>1214.5857687450641</v>
      </c>
      <c r="BF113" s="177">
        <f t="shared" si="221"/>
        <v>5997.078799772873</v>
      </c>
      <c r="BG113" s="177"/>
      <c r="BH113" s="538">
        <f t="shared" si="222"/>
        <v>3.4126602526474842E-4</v>
      </c>
      <c r="BI113" s="538">
        <f t="shared" si="223"/>
        <v>215.7442177268658</v>
      </c>
      <c r="BJ113" s="538">
        <f t="shared" si="224"/>
        <v>4.3749999999999995E-3</v>
      </c>
      <c r="BK113" s="538">
        <f t="shared" si="225"/>
        <v>8462830.4513776898</v>
      </c>
      <c r="BL113">
        <f t="shared" si="226"/>
        <v>5.7999999999999996E-3</v>
      </c>
      <c r="BM113">
        <f t="shared" si="227"/>
        <v>1.3124999999999999E-5</v>
      </c>
      <c r="BN113">
        <f t="shared" si="228"/>
        <v>8463579.103424903</v>
      </c>
      <c r="BO113" s="469">
        <f t="shared" si="229"/>
        <v>8463046206.1116829</v>
      </c>
      <c r="BP113" s="177">
        <f t="shared" si="230"/>
        <v>8.9999999999999998E-4</v>
      </c>
      <c r="BQ113" s="177">
        <f t="shared" si="231"/>
        <v>4.4999999999999997E-3</v>
      </c>
      <c r="BR113" s="538"/>
      <c r="BT113" s="469">
        <f t="shared" si="232"/>
        <v>5.3999999999999995</v>
      </c>
      <c r="BU113" s="538">
        <f t="shared" si="233"/>
        <v>9.7504578647070994E-5</v>
      </c>
      <c r="BV113" s="538">
        <f t="shared" si="234"/>
        <v>44256.557689141147</v>
      </c>
      <c r="BW113" s="538">
        <f t="shared" si="235"/>
        <v>1798247.706534262</v>
      </c>
      <c r="BX113" s="538">
        <f t="shared" si="236"/>
        <v>0</v>
      </c>
      <c r="BY113" s="538">
        <f t="shared" si="180"/>
        <v>-14.000094980071767</v>
      </c>
      <c r="BZ113" s="538">
        <f t="shared" si="166"/>
        <v>1842504.2643209079</v>
      </c>
      <c r="CA113" s="641">
        <f t="shared" si="237"/>
        <v>5.5000000000000003E-4</v>
      </c>
      <c r="CB113" s="469">
        <f t="shared" si="238"/>
        <v>3684994529.0968356</v>
      </c>
      <c r="CC113" s="177">
        <f t="shared" si="168"/>
        <v>8463565.1092799231</v>
      </c>
      <c r="CD113" s="5">
        <f t="shared" si="239"/>
        <v>0.16499999999999998</v>
      </c>
      <c r="CE113" s="177">
        <f t="shared" si="240"/>
        <v>1.9495330236469185E-8</v>
      </c>
      <c r="CF113" s="5">
        <f t="shared" si="241"/>
        <v>1.9495330236469186E-6</v>
      </c>
      <c r="CG113">
        <f t="shared" si="242"/>
        <v>3</v>
      </c>
      <c r="CI113" s="571">
        <f t="shared" si="243"/>
        <v>-50</v>
      </c>
      <c r="CJ113">
        <f t="shared" si="244"/>
        <v>-50</v>
      </c>
    </row>
    <row r="114" spans="5:88" x14ac:dyDescent="0.25">
      <c r="E114" s="174">
        <v>4</v>
      </c>
      <c r="F114" s="221">
        <f t="shared" si="245"/>
        <v>4.0000000000000001E-3</v>
      </c>
      <c r="G114" s="221">
        <f t="shared" si="183"/>
        <v>0.02</v>
      </c>
      <c r="H114" s="221">
        <f t="shared" si="184"/>
        <v>0.06</v>
      </c>
      <c r="I114" s="221">
        <f t="shared" si="185"/>
        <v>0.16</v>
      </c>
      <c r="J114" s="551">
        <f t="shared" si="186"/>
        <v>20</v>
      </c>
      <c r="K114" s="451">
        <f t="shared" si="187"/>
        <v>695386.58000000007</v>
      </c>
      <c r="L114" s="451">
        <f t="shared" si="188"/>
        <v>695406.58000000007</v>
      </c>
      <c r="M114" s="451"/>
      <c r="N114" s="221">
        <f t="shared" si="189"/>
        <v>0.9999712398464794</v>
      </c>
      <c r="O114" s="176">
        <f t="shared" si="190"/>
        <v>1.8408561460810189</v>
      </c>
      <c r="P114" s="176">
        <f t="shared" si="191"/>
        <v>4.908949722882717</v>
      </c>
      <c r="Q114" s="221">
        <f t="shared" si="192"/>
        <v>0.12272374307206793</v>
      </c>
      <c r="R114" s="221">
        <f t="shared" si="193"/>
        <v>0.23010701826012736</v>
      </c>
      <c r="S114" s="221">
        <f t="shared" si="194"/>
        <v>15</v>
      </c>
      <c r="T114" s="221">
        <f t="shared" si="195"/>
        <v>2.4445147490639106E-2</v>
      </c>
      <c r="U114" s="221">
        <f t="shared" si="196"/>
        <v>3.6667721235958656E-2</v>
      </c>
      <c r="V114" s="221">
        <f t="shared" si="197"/>
        <v>1.0545996224419131E-6</v>
      </c>
      <c r="W114" s="201">
        <f t="shared" si="198"/>
        <v>350</v>
      </c>
      <c r="X114" s="451">
        <f t="shared" si="199"/>
        <v>350</v>
      </c>
      <c r="Z114" s="221">
        <f t="shared" si="200"/>
        <v>1.9047071235171036</v>
      </c>
      <c r="AA114" s="177">
        <f t="shared" si="201"/>
        <v>8.2171867201568798E-5</v>
      </c>
      <c r="AB114" s="177">
        <f t="shared" si="202"/>
        <v>0.34129476953431226</v>
      </c>
      <c r="AC114" s="177"/>
      <c r="AD114" s="177">
        <f t="shared" si="203"/>
        <v>6.4712206554230591E-6</v>
      </c>
      <c r="AE114" s="555">
        <f t="shared" si="204"/>
        <v>661.41234567901256</v>
      </c>
      <c r="AF114" s="538">
        <f t="shared" si="205"/>
        <v>2.1166825946720815E-3</v>
      </c>
      <c r="AH114" s="177">
        <f t="shared" si="206"/>
        <v>0.20470652628766359</v>
      </c>
      <c r="AI114" s="177">
        <f t="shared" si="207"/>
        <v>0.20470652628766359</v>
      </c>
      <c r="AJ114" s="177">
        <f t="shared" si="208"/>
        <v>1.2405233528056767</v>
      </c>
      <c r="AL114" s="555">
        <f t="shared" si="209"/>
        <v>4</v>
      </c>
      <c r="AM114" s="469">
        <f t="shared" si="210"/>
        <v>350</v>
      </c>
      <c r="AO114" s="469">
        <f t="shared" si="211"/>
        <v>4</v>
      </c>
      <c r="AP114" s="469">
        <f t="shared" si="212"/>
        <v>350</v>
      </c>
      <c r="AR114" s="5">
        <f t="shared" si="160"/>
        <v>2.8571428571428572</v>
      </c>
      <c r="AS114" s="5">
        <f t="shared" si="213"/>
        <v>0.30705978943149537</v>
      </c>
      <c r="AT114" s="5">
        <f t="shared" si="214"/>
        <v>2.5500830677113617</v>
      </c>
      <c r="AU114" s="177">
        <f t="shared" si="215"/>
        <v>0.10747092630102338</v>
      </c>
      <c r="AW114" s="5">
        <f t="shared" si="216"/>
        <v>8.1882610515065426E-3</v>
      </c>
      <c r="AX114" s="5"/>
      <c r="AY114" s="5">
        <f t="shared" si="217"/>
        <v>7.6764947357873842E-2</v>
      </c>
      <c r="AZ114" s="5"/>
      <c r="BA114" s="5">
        <f t="shared" si="218"/>
        <v>7.0835640769760034E-3</v>
      </c>
      <c r="BB114" s="5"/>
      <c r="BC114" s="5"/>
      <c r="BD114" s="177">
        <f t="shared" si="219"/>
        <v>3.8745079594397526E-2</v>
      </c>
      <c r="BE114" s="177">
        <f t="shared" si="220"/>
        <v>1391.3053963328207</v>
      </c>
      <c r="BF114" s="177">
        <f t="shared" si="221"/>
        <v>6869.6409187949839</v>
      </c>
      <c r="BG114" s="177"/>
      <c r="BH114" s="538">
        <f t="shared" si="222"/>
        <v>5.2541341747166983E-4</v>
      </c>
      <c r="BI114" s="538">
        <f t="shared" si="223"/>
        <v>249.11996436142243</v>
      </c>
      <c r="BJ114" s="538">
        <f t="shared" si="224"/>
        <v>4.3749999999999995E-3</v>
      </c>
      <c r="BK114" s="538">
        <f t="shared" si="225"/>
        <v>8462830.4513776898</v>
      </c>
      <c r="BL114">
        <f t="shared" si="226"/>
        <v>5.7999999999999996E-3</v>
      </c>
      <c r="BM114">
        <f t="shared" si="227"/>
        <v>1.3124999999999999E-5</v>
      </c>
      <c r="BN114">
        <f t="shared" si="228"/>
        <v>8463900.0622347053</v>
      </c>
      <c r="BO114" s="469">
        <f t="shared" si="229"/>
        <v>8463079582.0424652</v>
      </c>
      <c r="BP114" s="177">
        <f t="shared" si="230"/>
        <v>1.1999999999999999E-3</v>
      </c>
      <c r="BQ114" s="177">
        <f t="shared" si="231"/>
        <v>6.0000000000000001E-3</v>
      </c>
      <c r="BR114" s="538"/>
      <c r="BT114" s="469">
        <f t="shared" si="232"/>
        <v>7.2</v>
      </c>
      <c r="BU114" s="538">
        <f t="shared" si="233"/>
        <v>1.5011811927761998E-4</v>
      </c>
      <c r="BV114" s="538">
        <f t="shared" si="234"/>
        <v>58071.921175944823</v>
      </c>
      <c r="BW114" s="538">
        <f t="shared" si="235"/>
        <v>2359598.3176591196</v>
      </c>
      <c r="BX114" s="538">
        <f t="shared" si="236"/>
        <v>0</v>
      </c>
      <c r="BY114" s="538">
        <f t="shared" si="180"/>
        <v>-14.000072384108464</v>
      </c>
      <c r="BZ114" s="538">
        <f t="shared" si="166"/>
        <v>2417670.2389851827</v>
      </c>
      <c r="CA114" s="641">
        <f t="shared" si="237"/>
        <v>7.3333333333333345E-4</v>
      </c>
      <c r="CB114" s="469">
        <f t="shared" si="238"/>
        <v>4835326478.6313152</v>
      </c>
      <c r="CC114" s="177">
        <f t="shared" si="168"/>
        <v>8463886.0700956527</v>
      </c>
      <c r="CD114" s="5">
        <f t="shared" si="239"/>
        <v>0.22</v>
      </c>
      <c r="CE114" s="177">
        <f t="shared" si="240"/>
        <v>2.5992787764344328E-8</v>
      </c>
      <c r="CF114" s="5">
        <f t="shared" si="241"/>
        <v>2.599278776434433E-6</v>
      </c>
      <c r="CG114">
        <f t="shared" si="242"/>
        <v>4</v>
      </c>
      <c r="CI114" s="571">
        <f t="shared" si="243"/>
        <v>-50</v>
      </c>
      <c r="CJ114">
        <f t="shared" si="244"/>
        <v>-50</v>
      </c>
    </row>
    <row r="115" spans="5:88" x14ac:dyDescent="0.25">
      <c r="E115" s="174">
        <v>5</v>
      </c>
      <c r="F115" s="221">
        <f t="shared" si="245"/>
        <v>5.000000000000001E-3</v>
      </c>
      <c r="G115" s="221">
        <f t="shared" si="183"/>
        <v>2.5000000000000001E-2</v>
      </c>
      <c r="H115" s="221">
        <f t="shared" si="184"/>
        <v>7.5000000000000011E-2</v>
      </c>
      <c r="I115" s="221">
        <f t="shared" si="185"/>
        <v>0.2</v>
      </c>
      <c r="J115" s="551">
        <f t="shared" si="186"/>
        <v>20</v>
      </c>
      <c r="K115" s="451">
        <f t="shared" si="187"/>
        <v>695386.58000000007</v>
      </c>
      <c r="L115" s="451">
        <f t="shared" si="188"/>
        <v>695406.58000000007</v>
      </c>
      <c r="M115" s="451"/>
      <c r="N115" s="221">
        <f t="shared" si="189"/>
        <v>0.9999712398464794</v>
      </c>
      <c r="O115" s="176">
        <f t="shared" si="190"/>
        <v>1.8408561460810189</v>
      </c>
      <c r="P115" s="176">
        <f t="shared" si="191"/>
        <v>4.908949722882717</v>
      </c>
      <c r="Q115" s="221">
        <f t="shared" si="192"/>
        <v>0.12272374307206793</v>
      </c>
      <c r="R115" s="221">
        <f t="shared" si="193"/>
        <v>0.23010701826012736</v>
      </c>
      <c r="S115" s="221">
        <f t="shared" si="194"/>
        <v>15</v>
      </c>
      <c r="T115" s="221">
        <f t="shared" si="195"/>
        <v>3.0556434363298888E-2</v>
      </c>
      <c r="U115" s="221">
        <f t="shared" si="196"/>
        <v>4.5834651544948334E-2</v>
      </c>
      <c r="V115" s="221">
        <f t="shared" si="197"/>
        <v>1.3182495280523916E-6</v>
      </c>
      <c r="W115" s="201">
        <f t="shared" si="198"/>
        <v>350</v>
      </c>
      <c r="X115" s="451">
        <f t="shared" si="199"/>
        <v>350</v>
      </c>
      <c r="Z115" s="221">
        <f t="shared" si="200"/>
        <v>1.9047071235171036</v>
      </c>
      <c r="AA115" s="177">
        <f t="shared" si="201"/>
        <v>8.2171867201568798E-5</v>
      </c>
      <c r="AB115" s="177">
        <f t="shared" si="202"/>
        <v>0.34129476953431226</v>
      </c>
      <c r="AC115" s="177"/>
      <c r="AD115" s="177">
        <f t="shared" si="203"/>
        <v>6.4712206554230591E-6</v>
      </c>
      <c r="AE115" s="555">
        <f t="shared" si="204"/>
        <v>826.76543209876581</v>
      </c>
      <c r="AF115" s="538">
        <f t="shared" si="205"/>
        <v>2.1166825946720815E-3</v>
      </c>
      <c r="AH115" s="177">
        <f t="shared" si="206"/>
        <v>0.22886885410853172</v>
      </c>
      <c r="AI115" s="177">
        <f t="shared" si="207"/>
        <v>0.22886885410853172</v>
      </c>
      <c r="AJ115" s="177">
        <f t="shared" si="208"/>
        <v>1.2584213734137271</v>
      </c>
      <c r="AL115" s="555">
        <f t="shared" si="209"/>
        <v>5.0000000000000009</v>
      </c>
      <c r="AM115" s="469">
        <f t="shared" si="210"/>
        <v>350</v>
      </c>
      <c r="AO115" s="469">
        <f t="shared" si="211"/>
        <v>5.0000000000000009</v>
      </c>
      <c r="AP115" s="469">
        <f t="shared" si="212"/>
        <v>350</v>
      </c>
      <c r="AR115" s="5">
        <f t="shared" si="160"/>
        <v>2.8571428571428572</v>
      </c>
      <c r="AS115" s="5">
        <f t="shared" ref="AS115:AS178" si="246">L*AI115/J115*1000000</f>
        <v>0.34330328116279762</v>
      </c>
      <c r="AT115" s="5">
        <f t="shared" ref="AT115:AT178" si="247">AR115-AS115</f>
        <v>2.5138395759800596</v>
      </c>
      <c r="AU115" s="177">
        <f t="shared" ref="AU115:AU178" si="248">AS115/AR115</f>
        <v>0.12015614840697916</v>
      </c>
      <c r="AW115" s="5">
        <f t="shared" si="216"/>
        <v>1.144344270542659E-2</v>
      </c>
      <c r="AX115" s="5"/>
      <c r="AY115" s="5">
        <f t="shared" si="217"/>
        <v>0.10728227536337427</v>
      </c>
      <c r="AZ115" s="5"/>
      <c r="BA115" s="5">
        <f t="shared" si="218"/>
        <v>8.7286096388196517E-3</v>
      </c>
      <c r="BB115" s="5"/>
      <c r="BC115" s="5"/>
      <c r="BD115" s="177">
        <f t="shared" si="219"/>
        <v>4.5803542395702036E-2</v>
      </c>
      <c r="BE115" s="177">
        <f t="shared" si="220"/>
        <v>1544.4330683727947</v>
      </c>
      <c r="BF115" s="177">
        <f t="shared" si="221"/>
        <v>7625.7165614384221</v>
      </c>
      <c r="BG115" s="177"/>
      <c r="BH115" s="538">
        <f t="shared" si="222"/>
        <v>7.3428757359820585E-4</v>
      </c>
      <c r="BI115" s="538">
        <f t="shared" si="223"/>
        <v>278.52458743223281</v>
      </c>
      <c r="BJ115" s="538">
        <f t="shared" si="224"/>
        <v>4.3749999999999995E-3</v>
      </c>
      <c r="BK115" s="538">
        <f t="shared" si="225"/>
        <v>8462830.4513776898</v>
      </c>
      <c r="BL115">
        <f t="shared" si="226"/>
        <v>5.7999999999999996E-3</v>
      </c>
      <c r="BM115">
        <f t="shared" si="227"/>
        <v>1.3124999999999999E-5</v>
      </c>
      <c r="BN115">
        <f t="shared" si="228"/>
        <v>8464255.6909758989</v>
      </c>
      <c r="BO115" s="469">
        <f t="shared" si="229"/>
        <v>8463108986.8744087</v>
      </c>
      <c r="BP115" s="177">
        <f t="shared" si="230"/>
        <v>1.5000000000000002E-3</v>
      </c>
      <c r="BQ115" s="177">
        <f t="shared" si="231"/>
        <v>7.4999999999999997E-3</v>
      </c>
      <c r="BR115" s="538"/>
      <c r="BT115" s="469">
        <f t="shared" si="232"/>
        <v>9</v>
      </c>
      <c r="BU115" s="538">
        <f t="shared" si="233"/>
        <v>2.0979644959948741E-4</v>
      </c>
      <c r="BV115" s="538">
        <f t="shared" si="234"/>
        <v>71558.205080502157</v>
      </c>
      <c r="BW115" s="538">
        <f t="shared" si="235"/>
        <v>2907577.6537698116</v>
      </c>
      <c r="BX115" s="538">
        <f t="shared" si="236"/>
        <v>0</v>
      </c>
      <c r="BY115" s="538">
        <f t="shared" si="180"/>
        <v>-14.000058742112666</v>
      </c>
      <c r="BZ115" s="538">
        <f t="shared" si="166"/>
        <v>2979135.8590601101</v>
      </c>
      <c r="CA115" s="641">
        <f t="shared" si="237"/>
        <v>9.1666666666666665E-4</v>
      </c>
      <c r="CB115" s="469">
        <f t="shared" si="238"/>
        <v>5958257718.9781446</v>
      </c>
      <c r="CC115" s="177">
        <f t="shared" si="168"/>
        <v>8464241.7008338235</v>
      </c>
      <c r="CD115" s="5">
        <f t="shared" si="239"/>
        <v>0.27500000000000002</v>
      </c>
      <c r="CE115" s="177">
        <f t="shared" si="240"/>
        <v>3.2489619364043454E-8</v>
      </c>
      <c r="CF115" s="5">
        <f t="shared" si="241"/>
        <v>3.2489619364043453E-6</v>
      </c>
      <c r="CG115">
        <f t="shared" si="242"/>
        <v>5.0000000000000009</v>
      </c>
      <c r="CI115" s="571">
        <f t="shared" si="243"/>
        <v>-50</v>
      </c>
      <c r="CJ115">
        <f t="shared" si="244"/>
        <v>-50</v>
      </c>
    </row>
    <row r="116" spans="5:88" x14ac:dyDescent="0.25">
      <c r="E116" s="174">
        <v>6</v>
      </c>
      <c r="F116" s="221">
        <f t="shared" si="245"/>
        <v>6.0000000000000001E-3</v>
      </c>
      <c r="G116" s="221">
        <f t="shared" si="183"/>
        <v>0.03</v>
      </c>
      <c r="H116" s="221">
        <f t="shared" si="184"/>
        <v>0.09</v>
      </c>
      <c r="I116" s="221">
        <f t="shared" si="185"/>
        <v>0.24</v>
      </c>
      <c r="J116" s="551">
        <f t="shared" si="186"/>
        <v>20</v>
      </c>
      <c r="K116" s="451">
        <f t="shared" si="187"/>
        <v>695386.58000000007</v>
      </c>
      <c r="L116" s="451">
        <f t="shared" si="188"/>
        <v>695406.58000000007</v>
      </c>
      <c r="M116" s="451"/>
      <c r="N116" s="221">
        <f t="shared" si="189"/>
        <v>0.9999712398464794</v>
      </c>
      <c r="O116" s="176">
        <f t="shared" si="190"/>
        <v>1.8408561460810189</v>
      </c>
      <c r="P116" s="176">
        <f t="shared" si="191"/>
        <v>4.908949722882717</v>
      </c>
      <c r="Q116" s="221">
        <f t="shared" si="192"/>
        <v>0.12272374307206793</v>
      </c>
      <c r="R116" s="221">
        <f t="shared" si="193"/>
        <v>0.23010701826012736</v>
      </c>
      <c r="S116" s="221">
        <f t="shared" si="194"/>
        <v>15</v>
      </c>
      <c r="T116" s="221">
        <f t="shared" si="195"/>
        <v>3.6667721235958656E-2</v>
      </c>
      <c r="U116" s="221">
        <f t="shared" si="196"/>
        <v>5.5001581853937984E-2</v>
      </c>
      <c r="V116" s="221">
        <f t="shared" si="197"/>
        <v>1.5818994336628691E-6</v>
      </c>
      <c r="W116" s="201">
        <f t="shared" si="198"/>
        <v>350</v>
      </c>
      <c r="X116" s="451">
        <f t="shared" si="199"/>
        <v>350</v>
      </c>
      <c r="Z116" s="221">
        <f t="shared" si="200"/>
        <v>1.9047071235171036</v>
      </c>
      <c r="AA116" s="177">
        <f t="shared" si="201"/>
        <v>8.2171867201568798E-5</v>
      </c>
      <c r="AB116" s="177">
        <f t="shared" si="202"/>
        <v>0.34129476953431226</v>
      </c>
      <c r="AC116" s="177"/>
      <c r="AD116" s="177">
        <f t="shared" si="203"/>
        <v>6.4712206554230591E-6</v>
      </c>
      <c r="AE116" s="555">
        <f t="shared" si="204"/>
        <v>992.11851851851895</v>
      </c>
      <c r="AF116" s="538">
        <f t="shared" si="205"/>
        <v>2.1166825946720815E-3</v>
      </c>
      <c r="AH116" s="177">
        <f t="shared" si="206"/>
        <v>0.25071326821120349</v>
      </c>
      <c r="AI116" s="177">
        <f t="shared" si="207"/>
        <v>0.25071326821120349</v>
      </c>
      <c r="AJ116" s="177">
        <f t="shared" si="208"/>
        <v>1.2746024208971878</v>
      </c>
      <c r="AL116" s="555">
        <f t="shared" si="209"/>
        <v>6</v>
      </c>
      <c r="AM116" s="469">
        <f t="shared" si="210"/>
        <v>350</v>
      </c>
      <c r="AO116" s="469">
        <f t="shared" si="211"/>
        <v>6</v>
      </c>
      <c r="AP116" s="469">
        <f t="shared" si="212"/>
        <v>350</v>
      </c>
      <c r="AR116" s="5">
        <f t="shared" si="160"/>
        <v>2.8571428571428572</v>
      </c>
      <c r="AS116" s="5">
        <f t="shared" si="246"/>
        <v>0.3760699023168052</v>
      </c>
      <c r="AT116" s="5">
        <f t="shared" si="247"/>
        <v>2.4810729548260522</v>
      </c>
      <c r="AU116" s="177">
        <f t="shared" si="248"/>
        <v>0.13162446581088183</v>
      </c>
      <c r="AW116" s="5">
        <f t="shared" si="216"/>
        <v>1.5042796092672207E-2</v>
      </c>
      <c r="AX116" s="5"/>
      <c r="AY116" s="5">
        <f t="shared" si="217"/>
        <v>0.14102621336880194</v>
      </c>
      <c r="AZ116" s="5"/>
      <c r="BA116" s="5">
        <f t="shared" si="218"/>
        <v>1.0337803978441881E-2</v>
      </c>
      <c r="BB116" s="5"/>
      <c r="BC116" s="5"/>
      <c r="BD116" s="177">
        <f t="shared" si="219"/>
        <v>5.2515197327280778E-2</v>
      </c>
      <c r="BE116" s="177">
        <f t="shared" si="220"/>
        <v>1680.7793459992477</v>
      </c>
      <c r="BF116" s="177">
        <f t="shared" si="221"/>
        <v>8298.9332185266994</v>
      </c>
      <c r="BG116" s="177"/>
      <c r="BH116" s="538">
        <f t="shared" si="222"/>
        <v>9.6524608261313325E-4</v>
      </c>
      <c r="BI116" s="538">
        <f t="shared" si="223"/>
        <v>305.10839871290761</v>
      </c>
      <c r="BJ116" s="538">
        <f t="shared" si="224"/>
        <v>4.3749999999999995E-3</v>
      </c>
      <c r="BK116" s="538">
        <f t="shared" si="225"/>
        <v>8462830.4513776898</v>
      </c>
      <c r="BL116">
        <f t="shared" si="226"/>
        <v>5.7999999999999996E-3</v>
      </c>
      <c r="BM116">
        <f t="shared" si="227"/>
        <v>1.3124999999999999E-5</v>
      </c>
      <c r="BN116">
        <f t="shared" si="228"/>
        <v>8464643.0215790216</v>
      </c>
      <c r="BO116" s="469">
        <f t="shared" si="229"/>
        <v>8463135570.9166489</v>
      </c>
      <c r="BP116" s="177">
        <f t="shared" si="230"/>
        <v>1.8E-3</v>
      </c>
      <c r="BQ116" s="177">
        <f t="shared" si="231"/>
        <v>8.9999999999999993E-3</v>
      </c>
      <c r="BR116" s="538"/>
      <c r="BT116" s="469">
        <f t="shared" si="232"/>
        <v>10.799999999999999</v>
      </c>
      <c r="BU116" s="538">
        <f t="shared" si="233"/>
        <v>2.7578459503232382E-4</v>
      </c>
      <c r="BV116" s="538">
        <f t="shared" si="234"/>
        <v>84750.576298129759</v>
      </c>
      <c r="BW116" s="538">
        <f t="shared" si="235"/>
        <v>3443614.6282782964</v>
      </c>
      <c r="BX116" s="538">
        <f t="shared" si="236"/>
        <v>0</v>
      </c>
      <c r="BY116" s="538">
        <f t="shared" si="180"/>
        <v>-14.000049598216119</v>
      </c>
      <c r="BZ116" s="538">
        <f t="shared" si="166"/>
        <v>3528365.2048522108</v>
      </c>
      <c r="CA116" s="641">
        <f t="shared" si="237"/>
        <v>1.1000000000000001E-3</v>
      </c>
      <c r="CB116" s="469">
        <f t="shared" si="238"/>
        <v>7056716410.7548237</v>
      </c>
      <c r="CC116" s="177">
        <f t="shared" si="168"/>
        <v>8464629.0334294233</v>
      </c>
      <c r="CD116" s="5">
        <f t="shared" si="239"/>
        <v>0.32999999999999996</v>
      </c>
      <c r="CE116" s="177">
        <f t="shared" si="240"/>
        <v>3.8985758954282351E-8</v>
      </c>
      <c r="CF116" s="5">
        <f t="shared" si="241"/>
        <v>3.898575895428235E-6</v>
      </c>
      <c r="CG116">
        <f t="shared" si="242"/>
        <v>6</v>
      </c>
      <c r="CI116" s="571">
        <f t="shared" si="243"/>
        <v>-50</v>
      </c>
      <c r="CJ116">
        <f t="shared" si="244"/>
        <v>-50</v>
      </c>
    </row>
    <row r="117" spans="5:88" x14ac:dyDescent="0.25">
      <c r="E117" s="174">
        <v>7</v>
      </c>
      <c r="F117" s="221">
        <f t="shared" si="245"/>
        <v>7.000000000000001E-3</v>
      </c>
      <c r="G117" s="221">
        <f t="shared" si="183"/>
        <v>3.5000000000000003E-2</v>
      </c>
      <c r="H117" s="221">
        <f t="shared" si="184"/>
        <v>0.10500000000000001</v>
      </c>
      <c r="I117" s="221">
        <f t="shared" si="185"/>
        <v>0.28000000000000003</v>
      </c>
      <c r="J117" s="551">
        <f t="shared" si="186"/>
        <v>20</v>
      </c>
      <c r="K117" s="451">
        <f t="shared" si="187"/>
        <v>695386.58000000007</v>
      </c>
      <c r="L117" s="451">
        <f t="shared" si="188"/>
        <v>695406.58000000007</v>
      </c>
      <c r="M117" s="451"/>
      <c r="N117" s="221">
        <f t="shared" si="189"/>
        <v>0.9999712398464794</v>
      </c>
      <c r="O117" s="176">
        <f t="shared" si="190"/>
        <v>1.8408561460810189</v>
      </c>
      <c r="P117" s="176">
        <f t="shared" si="191"/>
        <v>4.908949722882717</v>
      </c>
      <c r="Q117" s="221">
        <f t="shared" si="192"/>
        <v>0.12272374307206793</v>
      </c>
      <c r="R117" s="221">
        <f t="shared" si="193"/>
        <v>0.23010701826012736</v>
      </c>
      <c r="S117" s="221">
        <f t="shared" si="194"/>
        <v>15</v>
      </c>
      <c r="T117" s="221">
        <f t="shared" si="195"/>
        <v>4.2779008108618441E-2</v>
      </c>
      <c r="U117" s="221">
        <f t="shared" si="196"/>
        <v>6.4168512162927654E-2</v>
      </c>
      <c r="V117" s="221">
        <f t="shared" si="197"/>
        <v>1.845549339273348E-6</v>
      </c>
      <c r="W117" s="201">
        <f t="shared" si="198"/>
        <v>350</v>
      </c>
      <c r="X117" s="451">
        <f t="shared" si="199"/>
        <v>350</v>
      </c>
      <c r="Z117" s="221">
        <f t="shared" si="200"/>
        <v>1.9047071235171036</v>
      </c>
      <c r="AA117" s="177">
        <f t="shared" si="201"/>
        <v>8.2171867201568798E-5</v>
      </c>
      <c r="AB117" s="177">
        <f t="shared" si="202"/>
        <v>0.34129476953431226</v>
      </c>
      <c r="AC117" s="177"/>
      <c r="AD117" s="177">
        <f t="shared" si="203"/>
        <v>6.4712206554230591E-6</v>
      </c>
      <c r="AE117" s="555">
        <f t="shared" si="204"/>
        <v>1157.4716049382721</v>
      </c>
      <c r="AF117" s="538">
        <f t="shared" si="205"/>
        <v>2.1166825946720815E-3</v>
      </c>
      <c r="AH117" s="177">
        <f t="shared" si="206"/>
        <v>0.27080128015453203</v>
      </c>
      <c r="AI117" s="177">
        <f t="shared" si="207"/>
        <v>0.27080128015453203</v>
      </c>
      <c r="AJ117" s="177">
        <f t="shared" si="208"/>
        <v>1.2894824297440977</v>
      </c>
      <c r="AL117" s="555">
        <f t="shared" si="209"/>
        <v>7.0000000000000009</v>
      </c>
      <c r="AM117" s="469">
        <f t="shared" si="210"/>
        <v>350</v>
      </c>
      <c r="AO117" s="469">
        <f t="shared" si="211"/>
        <v>7.0000000000000009</v>
      </c>
      <c r="AP117" s="469">
        <f t="shared" si="212"/>
        <v>350</v>
      </c>
      <c r="AR117" s="5">
        <f t="shared" si="160"/>
        <v>2.8571428571428572</v>
      </c>
      <c r="AS117" s="5">
        <f t="shared" si="246"/>
        <v>0.40620192023179807</v>
      </c>
      <c r="AT117" s="5">
        <f t="shared" si="247"/>
        <v>2.4509409369110591</v>
      </c>
      <c r="AU117" s="177">
        <f t="shared" si="248"/>
        <v>0.14217067208112932</v>
      </c>
      <c r="AW117" s="5">
        <f t="shared" si="216"/>
        <v>1.8956089610817246E-2</v>
      </c>
      <c r="AX117" s="5"/>
      <c r="AY117" s="5">
        <f t="shared" si="217"/>
        <v>0.17771334010141168</v>
      </c>
      <c r="AZ117" s="5"/>
      <c r="BA117" s="5">
        <f t="shared" si="218"/>
        <v>1.1914296221095425E-2</v>
      </c>
      <c r="BB117" s="5"/>
      <c r="BC117" s="5"/>
      <c r="BD117" s="177">
        <f t="shared" si="219"/>
        <v>5.8951531746991061E-2</v>
      </c>
      <c r="BE117" s="177">
        <f t="shared" si="220"/>
        <v>1804.3914185606091</v>
      </c>
      <c r="BF117" s="177">
        <f t="shared" si="221"/>
        <v>8909.2740926171846</v>
      </c>
      <c r="BG117" s="177"/>
      <c r="BH117" s="538">
        <f t="shared" si="222"/>
        <v>1.2163490833607732E-3</v>
      </c>
      <c r="BI117" s="538">
        <f t="shared" si="223"/>
        <v>329.55473616079883</v>
      </c>
      <c r="BJ117" s="538">
        <f t="shared" si="224"/>
        <v>4.3749999999999995E-3</v>
      </c>
      <c r="BK117" s="538">
        <f t="shared" si="225"/>
        <v>8462830.4513776898</v>
      </c>
      <c r="BL117">
        <f t="shared" si="226"/>
        <v>5.7999999999999996E-3</v>
      </c>
      <c r="BM117">
        <f t="shared" si="227"/>
        <v>1.3124999999999999E-5</v>
      </c>
      <c r="BN117">
        <f t="shared" si="228"/>
        <v>8465059.7159595452</v>
      </c>
      <c r="BO117" s="469">
        <f t="shared" si="229"/>
        <v>8463160017.5051985</v>
      </c>
      <c r="BP117" s="177">
        <f t="shared" si="230"/>
        <v>2.1000000000000003E-3</v>
      </c>
      <c r="BQ117" s="177">
        <f t="shared" si="231"/>
        <v>1.0500000000000001E-2</v>
      </c>
      <c r="BR117" s="538"/>
      <c r="BT117" s="469">
        <f t="shared" si="232"/>
        <v>12.6</v>
      </c>
      <c r="BU117" s="538">
        <f t="shared" si="233"/>
        <v>3.4752830953164949E-4</v>
      </c>
      <c r="BV117" s="538">
        <f t="shared" si="234"/>
        <v>97674.851741254999</v>
      </c>
      <c r="BW117" s="538">
        <f t="shared" si="235"/>
        <v>3968758.2428689883</v>
      </c>
      <c r="BX117" s="538">
        <f t="shared" si="236"/>
        <v>0</v>
      </c>
      <c r="BY117" s="538">
        <f t="shared" si="180"/>
        <v>-14.000043035390934</v>
      </c>
      <c r="BZ117" s="538">
        <f t="shared" si="166"/>
        <v>4066433.0949577717</v>
      </c>
      <c r="CA117" s="641">
        <f t="shared" si="237"/>
        <v>1.2833333333333336E-3</v>
      </c>
      <c r="CB117" s="469">
        <f t="shared" si="238"/>
        <v>8132852191.1558418</v>
      </c>
      <c r="CC117" s="177">
        <f t="shared" si="168"/>
        <v>8465045.7297998443</v>
      </c>
      <c r="CD117" s="5">
        <f t="shared" si="239"/>
        <v>0.38500000000000001</v>
      </c>
      <c r="CE117" s="177">
        <f t="shared" si="240"/>
        <v>4.5481146207447841E-8</v>
      </c>
      <c r="CF117" s="5">
        <f t="shared" si="241"/>
        <v>4.548114620744784E-6</v>
      </c>
      <c r="CG117">
        <f t="shared" si="242"/>
        <v>7.0000000000000009</v>
      </c>
      <c r="CI117" s="571">
        <f t="shared" si="243"/>
        <v>-50</v>
      </c>
      <c r="CJ117">
        <f t="shared" si="244"/>
        <v>-50</v>
      </c>
    </row>
    <row r="118" spans="5:88" x14ac:dyDescent="0.25">
      <c r="E118" s="174">
        <v>8</v>
      </c>
      <c r="F118" s="221">
        <f t="shared" si="245"/>
        <v>8.0000000000000002E-3</v>
      </c>
      <c r="G118" s="221">
        <f t="shared" si="183"/>
        <v>0.04</v>
      </c>
      <c r="H118" s="221">
        <f t="shared" si="184"/>
        <v>0.12</v>
      </c>
      <c r="I118" s="221">
        <f t="shared" si="185"/>
        <v>0.32</v>
      </c>
      <c r="J118" s="551">
        <f t="shared" si="186"/>
        <v>20</v>
      </c>
      <c r="K118" s="451">
        <f t="shared" si="187"/>
        <v>695386.58000000007</v>
      </c>
      <c r="L118" s="451">
        <f t="shared" si="188"/>
        <v>695406.58000000007</v>
      </c>
      <c r="M118" s="451"/>
      <c r="N118" s="221">
        <f t="shared" si="189"/>
        <v>0.9999712398464794</v>
      </c>
      <c r="O118" s="176">
        <f t="shared" si="190"/>
        <v>1.8408561460810189</v>
      </c>
      <c r="P118" s="176">
        <f t="shared" si="191"/>
        <v>4.908949722882717</v>
      </c>
      <c r="Q118" s="221">
        <f t="shared" si="192"/>
        <v>0.12272374307206793</v>
      </c>
      <c r="R118" s="221">
        <f t="shared" si="193"/>
        <v>0.23010701826012736</v>
      </c>
      <c r="S118" s="221">
        <f t="shared" si="194"/>
        <v>15</v>
      </c>
      <c r="T118" s="221">
        <f t="shared" si="195"/>
        <v>4.8890294981278212E-2</v>
      </c>
      <c r="U118" s="221">
        <f t="shared" si="196"/>
        <v>7.3335442471917311E-2</v>
      </c>
      <c r="V118" s="221">
        <f t="shared" si="197"/>
        <v>2.1091992448838262E-6</v>
      </c>
      <c r="W118" s="201">
        <f t="shared" si="198"/>
        <v>350</v>
      </c>
      <c r="X118" s="451">
        <f t="shared" si="199"/>
        <v>350</v>
      </c>
      <c r="Z118" s="221">
        <f t="shared" si="200"/>
        <v>1.9047071235171036</v>
      </c>
      <c r="AA118" s="177">
        <f t="shared" si="201"/>
        <v>8.2171867201568798E-5</v>
      </c>
      <c r="AB118" s="177">
        <f t="shared" si="202"/>
        <v>0.34129476953431226</v>
      </c>
      <c r="AC118" s="177"/>
      <c r="AD118" s="177">
        <f t="shared" si="203"/>
        <v>6.4712206554230591E-6</v>
      </c>
      <c r="AE118" s="555">
        <f t="shared" si="204"/>
        <v>1322.8246913580251</v>
      </c>
      <c r="AF118" s="538">
        <f t="shared" si="205"/>
        <v>2.1166825946720815E-3</v>
      </c>
      <c r="AH118" s="177">
        <f t="shared" si="206"/>
        <v>0.28949874578229834</v>
      </c>
      <c r="AI118" s="177">
        <f t="shared" si="207"/>
        <v>0.28949874578229834</v>
      </c>
      <c r="AJ118" s="177">
        <f t="shared" si="208"/>
        <v>1.303332404283184</v>
      </c>
      <c r="AL118" s="555">
        <f t="shared" si="209"/>
        <v>8</v>
      </c>
      <c r="AM118" s="469">
        <f t="shared" si="210"/>
        <v>350</v>
      </c>
      <c r="AO118" s="469">
        <f t="shared" si="211"/>
        <v>8</v>
      </c>
      <c r="AP118" s="469">
        <f t="shared" si="212"/>
        <v>350</v>
      </c>
      <c r="AR118" s="5">
        <f t="shared" si="160"/>
        <v>2.8571428571428572</v>
      </c>
      <c r="AS118" s="5">
        <f t="shared" si="246"/>
        <v>0.43424811867344754</v>
      </c>
      <c r="AT118" s="5">
        <f t="shared" si="247"/>
        <v>2.4228947384694095</v>
      </c>
      <c r="AU118" s="177">
        <f t="shared" si="248"/>
        <v>0.15198684153570663</v>
      </c>
      <c r="AW118" s="5">
        <f t="shared" si="216"/>
        <v>2.3159899662583871E-2</v>
      </c>
      <c r="AX118" s="5"/>
      <c r="AY118" s="5">
        <f t="shared" si="217"/>
        <v>0.2171240593367238</v>
      </c>
      <c r="AZ118" s="5"/>
      <c r="BA118" s="5">
        <f t="shared" si="218"/>
        <v>1.346052632483005E-2</v>
      </c>
      <c r="BB118" s="5"/>
      <c r="BC118" s="5"/>
      <c r="BD118" s="177">
        <f t="shared" si="219"/>
        <v>6.5161197079297448E-2</v>
      </c>
      <c r="BE118" s="177">
        <f t="shared" si="220"/>
        <v>1917.9071448081929</v>
      </c>
      <c r="BF118" s="177">
        <f t="shared" si="221"/>
        <v>9469.7637450059028</v>
      </c>
      <c r="BG118" s="177"/>
      <c r="BH118" s="538">
        <f t="shared" si="222"/>
        <v>1.4860935616824648E-3</v>
      </c>
      <c r="BI118" s="538">
        <f t="shared" si="223"/>
        <v>352.30883225782566</v>
      </c>
      <c r="BJ118" s="538">
        <f t="shared" si="224"/>
        <v>4.3749999999999995E-3</v>
      </c>
      <c r="BK118" s="538">
        <f t="shared" si="225"/>
        <v>8462830.4513776898</v>
      </c>
      <c r="BL118">
        <f t="shared" si="226"/>
        <v>5.7999999999999996E-3</v>
      </c>
      <c r="BM118">
        <f t="shared" si="227"/>
        <v>1.3124999999999999E-5</v>
      </c>
      <c r="BN118">
        <f t="shared" si="228"/>
        <v>8465503.8800196927</v>
      </c>
      <c r="BO118" s="469">
        <f t="shared" si="229"/>
        <v>8463182771.8710413</v>
      </c>
      <c r="BP118" s="177">
        <f t="shared" si="230"/>
        <v>2.3999999999999998E-3</v>
      </c>
      <c r="BQ118" s="177">
        <f t="shared" si="231"/>
        <v>1.2E-2</v>
      </c>
      <c r="BR118" s="538"/>
      <c r="BT118" s="469">
        <f t="shared" si="232"/>
        <v>14.4</v>
      </c>
      <c r="BU118" s="538">
        <f t="shared" si="233"/>
        <v>4.2459816048070424E-4</v>
      </c>
      <c r="BV118" s="538">
        <f t="shared" si="234"/>
        <v>110351.03448318943</v>
      </c>
      <c r="BW118" s="538">
        <f t="shared" si="235"/>
        <v>4483821.2693114113</v>
      </c>
      <c r="BX118" s="538">
        <f t="shared" si="236"/>
        <v>0</v>
      </c>
      <c r="BY118" s="538">
        <f t="shared" si="180"/>
        <v>-14.000038091839958</v>
      </c>
      <c r="BZ118" s="538">
        <f t="shared" si="166"/>
        <v>4594172.3042191993</v>
      </c>
      <c r="CA118" s="641">
        <f t="shared" si="237"/>
        <v>1.4666666666666669E-3</v>
      </c>
      <c r="CB118" s="469">
        <f t="shared" si="238"/>
        <v>9188330609.8669758</v>
      </c>
      <c r="CC118" s="177">
        <f t="shared" si="168"/>
        <v>8465489.8958482686</v>
      </c>
      <c r="CD118" s="5">
        <f t="shared" si="239"/>
        <v>0.44</v>
      </c>
      <c r="CE118" s="177">
        <f t="shared" si="240"/>
        <v>5.1975725273320588E-8</v>
      </c>
      <c r="CF118" s="5">
        <f t="shared" si="241"/>
        <v>5.1975725273320589E-6</v>
      </c>
      <c r="CG118">
        <f t="shared" si="242"/>
        <v>8</v>
      </c>
      <c r="CI118" s="571">
        <f t="shared" si="243"/>
        <v>-50</v>
      </c>
      <c r="CJ118">
        <f t="shared" si="244"/>
        <v>-50</v>
      </c>
    </row>
    <row r="119" spans="5:88" x14ac:dyDescent="0.25">
      <c r="E119" s="174">
        <v>9</v>
      </c>
      <c r="F119" s="221">
        <f t="shared" si="245"/>
        <v>8.9999999999999993E-3</v>
      </c>
      <c r="G119" s="221">
        <f t="shared" si="183"/>
        <v>4.4999999999999998E-2</v>
      </c>
      <c r="H119" s="221">
        <f t="shared" si="184"/>
        <v>0.13499999999999998</v>
      </c>
      <c r="I119" s="221">
        <f t="shared" si="185"/>
        <v>0.36</v>
      </c>
      <c r="J119" s="551">
        <f t="shared" si="186"/>
        <v>20</v>
      </c>
      <c r="K119" s="451">
        <f t="shared" si="187"/>
        <v>695386.58000000007</v>
      </c>
      <c r="L119" s="451">
        <f t="shared" si="188"/>
        <v>695406.58000000007</v>
      </c>
      <c r="M119" s="451"/>
      <c r="N119" s="221">
        <f t="shared" si="189"/>
        <v>0.9999712398464794</v>
      </c>
      <c r="O119" s="176">
        <f t="shared" si="190"/>
        <v>1.8408561460810189</v>
      </c>
      <c r="P119" s="176">
        <f t="shared" si="191"/>
        <v>4.908949722882717</v>
      </c>
      <c r="Q119" s="221">
        <f t="shared" si="192"/>
        <v>0.12272374307206793</v>
      </c>
      <c r="R119" s="221">
        <f t="shared" si="193"/>
        <v>0.23010701826012736</v>
      </c>
      <c r="S119" s="221">
        <f t="shared" si="194"/>
        <v>15</v>
      </c>
      <c r="T119" s="221">
        <f t="shared" si="195"/>
        <v>5.5001581853937991E-2</v>
      </c>
      <c r="U119" s="221">
        <f t="shared" si="196"/>
        <v>8.2502372780906996E-2</v>
      </c>
      <c r="V119" s="221">
        <f t="shared" si="197"/>
        <v>2.3728491504943045E-6</v>
      </c>
      <c r="W119" s="201">
        <f t="shared" si="198"/>
        <v>350</v>
      </c>
      <c r="X119" s="451">
        <f t="shared" si="199"/>
        <v>350</v>
      </c>
      <c r="Z119" s="221">
        <f t="shared" si="200"/>
        <v>1.9047071235171036</v>
      </c>
      <c r="AA119" s="177">
        <f t="shared" si="201"/>
        <v>8.2171867201568798E-5</v>
      </c>
      <c r="AB119" s="177">
        <f t="shared" si="202"/>
        <v>0.34129476953431226</v>
      </c>
      <c r="AC119" s="177"/>
      <c r="AD119" s="177">
        <f t="shared" si="203"/>
        <v>6.4712206554230591E-6</v>
      </c>
      <c r="AE119" s="555">
        <f t="shared" si="204"/>
        <v>1488.1777777777779</v>
      </c>
      <c r="AF119" s="538">
        <f t="shared" si="205"/>
        <v>2.1166825946720815E-3</v>
      </c>
      <c r="AH119" s="177">
        <f t="shared" si="206"/>
        <v>0.30705978943149537</v>
      </c>
      <c r="AI119" s="177">
        <f t="shared" si="207"/>
        <v>0.30705978943149537</v>
      </c>
      <c r="AJ119" s="177">
        <f t="shared" si="208"/>
        <v>1.3163405847640706</v>
      </c>
      <c r="AL119" s="555">
        <f t="shared" si="209"/>
        <v>9</v>
      </c>
      <c r="AM119" s="469">
        <f t="shared" si="210"/>
        <v>350</v>
      </c>
      <c r="AO119" s="469">
        <f t="shared" si="211"/>
        <v>9</v>
      </c>
      <c r="AP119" s="469">
        <f t="shared" si="212"/>
        <v>350</v>
      </c>
      <c r="AR119" s="5">
        <f t="shared" si="160"/>
        <v>2.8571428571428572</v>
      </c>
      <c r="AS119" s="5">
        <f t="shared" si="246"/>
        <v>0.46058968414724311</v>
      </c>
      <c r="AT119" s="5">
        <f t="shared" si="247"/>
        <v>2.3965531729956142</v>
      </c>
      <c r="AU119" s="177">
        <f t="shared" si="248"/>
        <v>0.16120638945153509</v>
      </c>
      <c r="AW119" s="5">
        <f t="shared" si="216"/>
        <v>2.7635381048834586E-2</v>
      </c>
      <c r="AX119" s="5"/>
      <c r="AY119" s="5">
        <f t="shared" si="217"/>
        <v>0.25908169733282421</v>
      </c>
      <c r="AZ119" s="5"/>
      <c r="BA119" s="5">
        <f t="shared" si="218"/>
        <v>1.4978457331222583E-2</v>
      </c>
      <c r="BB119" s="5"/>
      <c r="BC119" s="5"/>
      <c r="BD119" s="177">
        <f t="shared" si="219"/>
        <v>7.1179256287345921E-2</v>
      </c>
      <c r="BE119" s="177">
        <f t="shared" si="220"/>
        <v>2023.1593921216777</v>
      </c>
      <c r="BF119" s="177">
        <f t="shared" si="221"/>
        <v>9989.452051286924</v>
      </c>
      <c r="BG119" s="177"/>
      <c r="BH119" s="538">
        <f t="shared" si="222"/>
        <v>1.7732702839668858E-3</v>
      </c>
      <c r="BI119" s="538">
        <f t="shared" si="223"/>
        <v>373.67994654213362</v>
      </c>
      <c r="BJ119" s="538">
        <f t="shared" si="224"/>
        <v>4.3749999999999995E-3</v>
      </c>
      <c r="BK119" s="538">
        <f t="shared" si="225"/>
        <v>8462830.4513776898</v>
      </c>
      <c r="BL119">
        <f t="shared" si="226"/>
        <v>5.7999999999999996E-3</v>
      </c>
      <c r="BM119">
        <f t="shared" si="227"/>
        <v>1.3124999999999999E-5</v>
      </c>
      <c r="BN119">
        <f t="shared" si="228"/>
        <v>8465973.9423981346</v>
      </c>
      <c r="BO119" s="469">
        <f t="shared" si="229"/>
        <v>8463204143.2725019</v>
      </c>
      <c r="BP119" s="177">
        <f t="shared" si="230"/>
        <v>2.6999999999999997E-3</v>
      </c>
      <c r="BQ119" s="177">
        <f t="shared" si="231"/>
        <v>1.35E-2</v>
      </c>
      <c r="BR119" s="538"/>
      <c r="BT119" s="469">
        <f t="shared" si="232"/>
        <v>16.2</v>
      </c>
      <c r="BU119" s="538">
        <f t="shared" si="233"/>
        <v>5.0664865256196741E-4</v>
      </c>
      <c r="BV119" s="538">
        <f t="shared" si="234"/>
        <v>122795.21777790469</v>
      </c>
      <c r="BW119" s="538">
        <f t="shared" si="235"/>
        <v>4989457.6142480271</v>
      </c>
      <c r="BX119" s="538">
        <f t="shared" si="236"/>
        <v>0</v>
      </c>
      <c r="BY119" s="538">
        <f t="shared" si="180"/>
        <v>-14.000034231567495</v>
      </c>
      <c r="BZ119" s="538">
        <f t="shared" si="166"/>
        <v>5112252.83253258</v>
      </c>
      <c r="CA119" s="641">
        <f t="shared" si="237"/>
        <v>1.65E-3</v>
      </c>
      <c r="CB119" s="469">
        <f t="shared" si="238"/>
        <v>10224491666.680929</v>
      </c>
      <c r="CC119" s="177">
        <f t="shared" si="168"/>
        <v>8465959.9602139015</v>
      </c>
      <c r="CD119" s="5">
        <f t="shared" si="239"/>
        <v>0.495</v>
      </c>
      <c r="CE119" s="177">
        <f t="shared" si="240"/>
        <v>5.8469443912314297E-8</v>
      </c>
      <c r="CF119" s="5">
        <f t="shared" si="241"/>
        <v>5.8469443912314294E-6</v>
      </c>
      <c r="CG119">
        <f t="shared" si="242"/>
        <v>8.9999999999999982</v>
      </c>
      <c r="CI119" s="571">
        <f t="shared" si="243"/>
        <v>-50</v>
      </c>
      <c r="CJ119">
        <f t="shared" si="244"/>
        <v>-50</v>
      </c>
    </row>
    <row r="120" spans="5:88" x14ac:dyDescent="0.25">
      <c r="E120" s="174">
        <v>10</v>
      </c>
      <c r="F120" s="221">
        <f t="shared" si="245"/>
        <v>1.0000000000000002E-2</v>
      </c>
      <c r="G120" s="221">
        <f t="shared" si="183"/>
        <v>0.05</v>
      </c>
      <c r="H120" s="221">
        <f t="shared" si="184"/>
        <v>0.15000000000000002</v>
      </c>
      <c r="I120" s="221">
        <f t="shared" si="185"/>
        <v>0.4</v>
      </c>
      <c r="J120" s="551">
        <f t="shared" si="186"/>
        <v>20</v>
      </c>
      <c r="K120" s="451">
        <f t="shared" si="187"/>
        <v>695386.58000000007</v>
      </c>
      <c r="L120" s="451">
        <f t="shared" si="188"/>
        <v>695406.58000000007</v>
      </c>
      <c r="M120" s="451"/>
      <c r="N120" s="221">
        <f t="shared" si="189"/>
        <v>0.9999712398464794</v>
      </c>
      <c r="O120" s="176">
        <f t="shared" si="190"/>
        <v>1.8408561460810189</v>
      </c>
      <c r="P120" s="176">
        <f t="shared" si="191"/>
        <v>4.908949722882717</v>
      </c>
      <c r="Q120" s="221">
        <f t="shared" si="192"/>
        <v>0.12272374307206793</v>
      </c>
      <c r="R120" s="221">
        <f t="shared" si="193"/>
        <v>0.23010701826012736</v>
      </c>
      <c r="S120" s="221">
        <f t="shared" si="194"/>
        <v>15</v>
      </c>
      <c r="T120" s="221">
        <f t="shared" si="195"/>
        <v>6.1112868726597776E-2</v>
      </c>
      <c r="U120" s="221">
        <f t="shared" si="196"/>
        <v>9.1669303089896667E-2</v>
      </c>
      <c r="V120" s="221">
        <f t="shared" si="197"/>
        <v>2.6364990561047831E-6</v>
      </c>
      <c r="W120" s="201">
        <f t="shared" si="198"/>
        <v>350</v>
      </c>
      <c r="X120" s="451">
        <f t="shared" si="199"/>
        <v>350</v>
      </c>
      <c r="Z120" s="221">
        <f t="shared" si="200"/>
        <v>1.9047071235171036</v>
      </c>
      <c r="AA120" s="177">
        <f t="shared" si="201"/>
        <v>8.2171867201568798E-5</v>
      </c>
      <c r="AB120" s="177">
        <f t="shared" si="202"/>
        <v>0.34129476953431226</v>
      </c>
      <c r="AC120" s="177"/>
      <c r="AD120" s="177">
        <f t="shared" si="203"/>
        <v>6.4712206554230591E-6</v>
      </c>
      <c r="AE120" s="555">
        <f t="shared" si="204"/>
        <v>1653.5308641975316</v>
      </c>
      <c r="AF120" s="538">
        <f t="shared" si="205"/>
        <v>2.1166825946720815E-3</v>
      </c>
      <c r="AH120" s="177">
        <f t="shared" si="206"/>
        <v>0.32366943748507482</v>
      </c>
      <c r="AI120" s="177">
        <f t="shared" si="207"/>
        <v>0.32366943748507482</v>
      </c>
      <c r="AJ120" s="177">
        <f t="shared" si="208"/>
        <v>1.328644027766722</v>
      </c>
      <c r="AL120" s="555">
        <f t="shared" si="209"/>
        <v>10.000000000000002</v>
      </c>
      <c r="AM120" s="469">
        <f t="shared" si="210"/>
        <v>350</v>
      </c>
      <c r="AO120" s="469">
        <f t="shared" si="211"/>
        <v>10.000000000000002</v>
      </c>
      <c r="AP120" s="469">
        <f t="shared" si="212"/>
        <v>350</v>
      </c>
      <c r="AR120" s="5">
        <f t="shared" si="160"/>
        <v>2.8571428571428572</v>
      </c>
      <c r="AS120" s="5">
        <f t="shared" si="246"/>
        <v>0.48550415622761223</v>
      </c>
      <c r="AT120" s="5">
        <f t="shared" si="247"/>
        <v>2.3716387009152449</v>
      </c>
      <c r="AU120" s="177">
        <f t="shared" si="248"/>
        <v>0.16992645467966427</v>
      </c>
      <c r="AW120" s="5">
        <f t="shared" si="216"/>
        <v>3.2366943748507487E-2</v>
      </c>
      <c r="AX120" s="5"/>
      <c r="AY120" s="5">
        <f t="shared" si="217"/>
        <v>0.30344009764225766</v>
      </c>
      <c r="AZ120" s="5"/>
      <c r="BA120" s="5">
        <f t="shared" si="218"/>
        <v>1.6469713200800314E-2</v>
      </c>
      <c r="BB120" s="5"/>
      <c r="BC120" s="5"/>
      <c r="BD120" s="177">
        <f t="shared" si="219"/>
        <v>7.7032069212934762E-2</v>
      </c>
      <c r="BE120" s="177">
        <f t="shared" si="220"/>
        <v>2121.4830901331229</v>
      </c>
      <c r="BF120" s="177">
        <f t="shared" si="221"/>
        <v>10474.930294185284</v>
      </c>
      <c r="BG120" s="177"/>
      <c r="BH120" s="538">
        <f t="shared" si="222"/>
        <v>2.0768788905292297E-3</v>
      </c>
      <c r="BI120" s="538">
        <f t="shared" si="223"/>
        <v>393.89324900103446</v>
      </c>
      <c r="BJ120" s="538">
        <f t="shared" si="224"/>
        <v>4.3749999999999995E-3</v>
      </c>
      <c r="BK120" s="538">
        <f t="shared" si="225"/>
        <v>8462830.4513776898</v>
      </c>
      <c r="BL120">
        <f t="shared" si="226"/>
        <v>5.7999999999999996E-3</v>
      </c>
      <c r="BM120">
        <f t="shared" si="227"/>
        <v>1.3124999999999999E-5</v>
      </c>
      <c r="BN120">
        <f t="shared" si="228"/>
        <v>8466468.5737809129</v>
      </c>
      <c r="BO120" s="469">
        <f t="shared" si="229"/>
        <v>8463224356.8785696</v>
      </c>
      <c r="BP120" s="177">
        <f t="shared" si="230"/>
        <v>3.0000000000000005E-3</v>
      </c>
      <c r="BQ120" s="177">
        <f t="shared" si="231"/>
        <v>1.4999999999999999E-2</v>
      </c>
      <c r="BR120" s="538"/>
      <c r="BT120" s="469">
        <f t="shared" si="232"/>
        <v>18</v>
      </c>
      <c r="BU120" s="538">
        <f t="shared" si="233"/>
        <v>5.9339396872263716E-4</v>
      </c>
      <c r="BV120" s="538">
        <f t="shared" si="234"/>
        <v>135020.71505162353</v>
      </c>
      <c r="BW120" s="538">
        <f t="shared" si="235"/>
        <v>5486208.2334020305</v>
      </c>
      <c r="BX120" s="538">
        <f t="shared" si="236"/>
        <v>0</v>
      </c>
      <c r="BY120" s="538">
        <f t="shared" si="180"/>
        <v>-14.000031132051504</v>
      </c>
      <c r="BZ120" s="538">
        <f t="shared" si="166"/>
        <v>5621228.9490470476</v>
      </c>
      <c r="CA120" s="641">
        <f t="shared" si="237"/>
        <v>1.8333333333333333E-3</v>
      </c>
      <c r="CB120" s="469">
        <f t="shared" si="238"/>
        <v>11242443899.896296</v>
      </c>
      <c r="CC120" s="177">
        <f t="shared" si="168"/>
        <v>8466454.5935831144</v>
      </c>
      <c r="CD120" s="5">
        <f t="shared" si="239"/>
        <v>0.55000000000000004</v>
      </c>
      <c r="CE120" s="177">
        <f t="shared" si="240"/>
        <v>6.4962252875910574E-8</v>
      </c>
      <c r="CF120" s="5">
        <f t="shared" si="241"/>
        <v>6.4962252875910576E-6</v>
      </c>
      <c r="CG120">
        <f t="shared" si="242"/>
        <v>10.000000000000002</v>
      </c>
      <c r="CI120" s="571">
        <f t="shared" si="243"/>
        <v>-50</v>
      </c>
      <c r="CJ120">
        <f t="shared" si="244"/>
        <v>-50</v>
      </c>
    </row>
    <row r="121" spans="5:88" x14ac:dyDescent="0.25">
      <c r="E121" s="174">
        <v>11</v>
      </c>
      <c r="F121" s="221">
        <f t="shared" si="245"/>
        <v>1.1000000000000001E-2</v>
      </c>
      <c r="G121" s="221">
        <f t="shared" si="183"/>
        <v>5.5E-2</v>
      </c>
      <c r="H121" s="221">
        <f t="shared" si="184"/>
        <v>0.16500000000000001</v>
      </c>
      <c r="I121" s="221">
        <f t="shared" si="185"/>
        <v>0.44</v>
      </c>
      <c r="J121" s="551">
        <f t="shared" si="186"/>
        <v>20</v>
      </c>
      <c r="K121" s="451">
        <f t="shared" si="187"/>
        <v>695386.58000000007</v>
      </c>
      <c r="L121" s="451">
        <f t="shared" si="188"/>
        <v>695406.58000000007</v>
      </c>
      <c r="M121" s="451"/>
      <c r="N121" s="221">
        <f t="shared" si="189"/>
        <v>0.9999712398464794</v>
      </c>
      <c r="O121" s="176">
        <f t="shared" si="190"/>
        <v>1.8408561460810189</v>
      </c>
      <c r="P121" s="176">
        <f t="shared" si="191"/>
        <v>4.908949722882717</v>
      </c>
      <c r="Q121" s="221">
        <f t="shared" si="192"/>
        <v>0.12272374307206793</v>
      </c>
      <c r="R121" s="221">
        <f t="shared" si="193"/>
        <v>0.23010701826012736</v>
      </c>
      <c r="S121" s="221">
        <f t="shared" si="194"/>
        <v>15</v>
      </c>
      <c r="T121" s="221">
        <f t="shared" si="195"/>
        <v>6.722415559925754E-2</v>
      </c>
      <c r="U121" s="221">
        <f t="shared" si="196"/>
        <v>0.10083623339888631</v>
      </c>
      <c r="V121" s="221">
        <f t="shared" si="197"/>
        <v>2.9001489617152605E-6</v>
      </c>
      <c r="W121" s="201">
        <f t="shared" si="198"/>
        <v>350</v>
      </c>
      <c r="X121" s="451">
        <f t="shared" si="199"/>
        <v>350</v>
      </c>
      <c r="Z121" s="221">
        <f t="shared" si="200"/>
        <v>1.9047071235171036</v>
      </c>
      <c r="AA121" s="177">
        <f t="shared" si="201"/>
        <v>8.2171867201568798E-5</v>
      </c>
      <c r="AB121" s="177">
        <f t="shared" si="202"/>
        <v>0.34129476953431226</v>
      </c>
      <c r="AC121" s="177"/>
      <c r="AD121" s="177">
        <f t="shared" si="203"/>
        <v>6.4712206554230591E-6</v>
      </c>
      <c r="AE121" s="555">
        <f t="shared" si="204"/>
        <v>1818.8839506172844</v>
      </c>
      <c r="AF121" s="538">
        <f t="shared" si="205"/>
        <v>2.1166825946720815E-3</v>
      </c>
      <c r="AH121" s="177">
        <f t="shared" si="206"/>
        <v>0.3394673699166022</v>
      </c>
      <c r="AI121" s="177">
        <f t="shared" si="207"/>
        <v>0.3394673699166022</v>
      </c>
      <c r="AJ121" s="177">
        <f t="shared" si="208"/>
        <v>1.3403461999382238</v>
      </c>
      <c r="AL121" s="555">
        <f t="shared" si="209"/>
        <v>11.000000000000002</v>
      </c>
      <c r="AM121" s="469">
        <f t="shared" si="210"/>
        <v>350</v>
      </c>
      <c r="AO121" s="469">
        <f t="shared" si="211"/>
        <v>11.000000000000002</v>
      </c>
      <c r="AP121" s="469">
        <f t="shared" si="212"/>
        <v>350</v>
      </c>
      <c r="AR121" s="5">
        <f t="shared" si="160"/>
        <v>2.8571428571428572</v>
      </c>
      <c r="AS121" s="5">
        <f t="shared" si="246"/>
        <v>0.5092010548749033</v>
      </c>
      <c r="AT121" s="5">
        <f t="shared" si="247"/>
        <v>2.3479418022679539</v>
      </c>
      <c r="AU121" s="177">
        <f t="shared" si="248"/>
        <v>0.17822036920621614</v>
      </c>
      <c r="AW121" s="5">
        <f t="shared" si="216"/>
        <v>3.7341410690826242E-2</v>
      </c>
      <c r="AX121" s="5"/>
      <c r="AY121" s="5">
        <f t="shared" si="217"/>
        <v>0.35007572522649605</v>
      </c>
      <c r="AZ121" s="5"/>
      <c r="BA121" s="5">
        <f t="shared" si="218"/>
        <v>1.7935666545102421E-2</v>
      </c>
      <c r="BB121" s="5"/>
      <c r="BC121" s="5"/>
      <c r="BD121" s="177">
        <f t="shared" si="219"/>
        <v>8.2740106921118634E-2</v>
      </c>
      <c r="BE121" s="177">
        <f t="shared" si="220"/>
        <v>2213.886320033519</v>
      </c>
      <c r="BF121" s="177">
        <f t="shared" si="221"/>
        <v>10931.175925680507</v>
      </c>
      <c r="BG121" s="177"/>
      <c r="BH121" s="538">
        <f t="shared" si="222"/>
        <v>2.3960738526613498E-3</v>
      </c>
      <c r="BI121" s="538">
        <f t="shared" si="223"/>
        <v>413.11872478677367</v>
      </c>
      <c r="BJ121" s="538">
        <f t="shared" si="224"/>
        <v>4.3749999999999995E-3</v>
      </c>
      <c r="BK121" s="538">
        <f t="shared" si="225"/>
        <v>8462830.4513776898</v>
      </c>
      <c r="BL121">
        <f t="shared" si="226"/>
        <v>5.7999999999999996E-3</v>
      </c>
      <c r="BM121">
        <f t="shared" si="227"/>
        <v>1.3124999999999999E-5</v>
      </c>
      <c r="BN121">
        <f t="shared" si="228"/>
        <v>8466986.6314240061</v>
      </c>
      <c r="BO121" s="469">
        <f t="shared" si="229"/>
        <v>8463243582.6735497</v>
      </c>
      <c r="BP121" s="177">
        <f t="shared" si="230"/>
        <v>3.3000000000000004E-3</v>
      </c>
      <c r="BQ121" s="177">
        <f t="shared" si="231"/>
        <v>1.6500000000000001E-2</v>
      </c>
      <c r="BR121" s="538"/>
      <c r="BT121" s="469">
        <f t="shared" si="232"/>
        <v>19.8</v>
      </c>
      <c r="BU121" s="538">
        <f t="shared" si="233"/>
        <v>6.8459252933181442E-4</v>
      </c>
      <c r="BV121" s="538">
        <f t="shared" si="234"/>
        <v>147038.77914094672</v>
      </c>
      <c r="BW121" s="538">
        <f t="shared" si="235"/>
        <v>5974530.3559088549</v>
      </c>
      <c r="BX121" s="538">
        <f t="shared" si="236"/>
        <v>0</v>
      </c>
      <c r="BY121" s="538">
        <f t="shared" si="180"/>
        <v>-14.000028587499949</v>
      </c>
      <c r="BZ121" s="538">
        <f t="shared" si="166"/>
        <v>6121569.1357343942</v>
      </c>
      <c r="CA121" s="641">
        <f t="shared" si="237"/>
        <v>2.016666666666667E-3</v>
      </c>
      <c r="CB121" s="469">
        <f t="shared" si="238"/>
        <v>12243124273.456867</v>
      </c>
      <c r="CC121" s="177">
        <f t="shared" si="168"/>
        <v>8466972.6532120854</v>
      </c>
      <c r="CD121" s="5">
        <f t="shared" si="239"/>
        <v>0.60499999999999998</v>
      </c>
      <c r="CE121" s="177">
        <f t="shared" si="240"/>
        <v>7.1454105445911584E-8</v>
      </c>
      <c r="CF121" s="5">
        <f t="shared" si="241"/>
        <v>7.1454105445911582E-6</v>
      </c>
      <c r="CG121">
        <f t="shared" si="242"/>
        <v>11</v>
      </c>
      <c r="CI121" s="571">
        <f t="shared" si="243"/>
        <v>-50</v>
      </c>
      <c r="CJ121">
        <f t="shared" si="244"/>
        <v>-50</v>
      </c>
    </row>
    <row r="122" spans="5:88" x14ac:dyDescent="0.25">
      <c r="E122" s="174">
        <v>12</v>
      </c>
      <c r="F122" s="221">
        <f t="shared" si="245"/>
        <v>1.2E-2</v>
      </c>
      <c r="G122" s="221">
        <f t="shared" si="183"/>
        <v>0.06</v>
      </c>
      <c r="H122" s="221">
        <f t="shared" si="184"/>
        <v>0.18</v>
      </c>
      <c r="I122" s="221">
        <f t="shared" si="185"/>
        <v>0.48</v>
      </c>
      <c r="J122" s="551">
        <f t="shared" si="186"/>
        <v>20</v>
      </c>
      <c r="K122" s="451">
        <f t="shared" si="187"/>
        <v>695386.58000000007</v>
      </c>
      <c r="L122" s="451">
        <f t="shared" si="188"/>
        <v>695406.58000000007</v>
      </c>
      <c r="M122" s="451"/>
      <c r="N122" s="221">
        <f t="shared" si="189"/>
        <v>0.9999712398464794</v>
      </c>
      <c r="O122" s="176">
        <f t="shared" si="190"/>
        <v>1.8408561460810189</v>
      </c>
      <c r="P122" s="176">
        <f t="shared" si="191"/>
        <v>4.908949722882717</v>
      </c>
      <c r="Q122" s="221">
        <f t="shared" si="192"/>
        <v>0.12272374307206793</v>
      </c>
      <c r="R122" s="221">
        <f t="shared" si="193"/>
        <v>0.23010701826012736</v>
      </c>
      <c r="S122" s="221">
        <f t="shared" si="194"/>
        <v>15</v>
      </c>
      <c r="T122" s="221">
        <f t="shared" si="195"/>
        <v>7.3335442471917311E-2</v>
      </c>
      <c r="U122" s="221">
        <f t="shared" si="196"/>
        <v>0.11000316370787597</v>
      </c>
      <c r="V122" s="221">
        <f t="shared" si="197"/>
        <v>3.1637988673257383E-6</v>
      </c>
      <c r="W122" s="201">
        <f t="shared" si="198"/>
        <v>350</v>
      </c>
      <c r="X122" s="451">
        <f t="shared" si="199"/>
        <v>350</v>
      </c>
      <c r="Z122" s="221">
        <f t="shared" si="200"/>
        <v>1.9047071235171036</v>
      </c>
      <c r="AA122" s="177">
        <f t="shared" si="201"/>
        <v>8.2171867201568798E-5</v>
      </c>
      <c r="AB122" s="177">
        <f t="shared" si="202"/>
        <v>0.34129476953431226</v>
      </c>
      <c r="AC122" s="177"/>
      <c r="AD122" s="177">
        <f t="shared" si="203"/>
        <v>6.4712206554230591E-6</v>
      </c>
      <c r="AE122" s="555">
        <f t="shared" si="204"/>
        <v>1984.2370370370379</v>
      </c>
      <c r="AF122" s="538">
        <f t="shared" si="205"/>
        <v>2.1166825946720815E-3</v>
      </c>
      <c r="AH122" s="177">
        <f t="shared" si="206"/>
        <v>0.35456210417116729</v>
      </c>
      <c r="AI122" s="177">
        <f t="shared" si="207"/>
        <v>0.35456210417116729</v>
      </c>
      <c r="AJ122" s="177">
        <f t="shared" si="208"/>
        <v>1.3515274845712351</v>
      </c>
      <c r="AL122" s="555">
        <f t="shared" si="209"/>
        <v>12</v>
      </c>
      <c r="AM122" s="469">
        <f t="shared" si="210"/>
        <v>350</v>
      </c>
      <c r="AO122" s="469">
        <f t="shared" si="211"/>
        <v>12</v>
      </c>
      <c r="AP122" s="469">
        <f t="shared" si="212"/>
        <v>350</v>
      </c>
      <c r="AR122" s="5">
        <f t="shared" si="160"/>
        <v>2.8571428571428572</v>
      </c>
      <c r="AS122" s="5">
        <f t="shared" si="246"/>
        <v>0.53184315625675094</v>
      </c>
      <c r="AT122" s="5">
        <f t="shared" si="247"/>
        <v>2.3252997008861063</v>
      </c>
      <c r="AU122" s="177">
        <f t="shared" si="248"/>
        <v>0.18614510468986281</v>
      </c>
      <c r="AW122" s="5">
        <f t="shared" si="216"/>
        <v>4.2547452500540081E-2</v>
      </c>
      <c r="AX122" s="5"/>
      <c r="AY122" s="5">
        <f t="shared" si="217"/>
        <v>0.3988823671925632</v>
      </c>
      <c r="AZ122" s="5"/>
      <c r="BA122" s="5">
        <f t="shared" si="218"/>
        <v>1.9377497507384212E-2</v>
      </c>
      <c r="BB122" s="5"/>
      <c r="BC122" s="5"/>
      <c r="BD122" s="177">
        <f t="shared" si="219"/>
        <v>8.8319682357703697E-2</v>
      </c>
      <c r="BE122" s="177">
        <f t="shared" si="220"/>
        <v>2301.1525011324093</v>
      </c>
      <c r="BF122" s="177">
        <f t="shared" si="221"/>
        <v>11362.057118324503</v>
      </c>
      <c r="BG122" s="177"/>
      <c r="BH122" s="538">
        <f t="shared" si="222"/>
        <v>2.7301282021179873E-3</v>
      </c>
      <c r="BI122" s="538">
        <f t="shared" si="223"/>
        <v>431.4884354537316</v>
      </c>
      <c r="BJ122" s="538">
        <f t="shared" si="224"/>
        <v>4.3749999999999995E-3</v>
      </c>
      <c r="BK122" s="538">
        <f t="shared" si="225"/>
        <v>8462830.4513776898</v>
      </c>
      <c r="BL122">
        <f t="shared" si="226"/>
        <v>5.7999999999999996E-3</v>
      </c>
      <c r="BM122">
        <f t="shared" si="227"/>
        <v>1.3124999999999999E-5</v>
      </c>
      <c r="BN122">
        <f t="shared" si="228"/>
        <v>8467527.1197821703</v>
      </c>
      <c r="BO122" s="469">
        <f t="shared" si="229"/>
        <v>8463261952.7182713</v>
      </c>
      <c r="BP122" s="177">
        <f t="shared" si="230"/>
        <v>3.5999999999999999E-3</v>
      </c>
      <c r="BQ122" s="177">
        <f t="shared" si="231"/>
        <v>1.7999999999999999E-2</v>
      </c>
      <c r="BR122" s="538"/>
      <c r="BT122" s="469">
        <f t="shared" si="232"/>
        <v>21.599999999999998</v>
      </c>
      <c r="BU122" s="538">
        <f t="shared" si="233"/>
        <v>7.8003662917656784E-4</v>
      </c>
      <c r="BV122" s="538">
        <f t="shared" si="234"/>
        <v>158859.08500403826</v>
      </c>
      <c r="BW122" s="538">
        <f t="shared" si="235"/>
        <v>6454817.0980034256</v>
      </c>
      <c r="BX122" s="538">
        <f t="shared" si="236"/>
        <v>0</v>
      </c>
      <c r="BY122" s="538">
        <f t="shared" si="180"/>
        <v>-14.000026460371796</v>
      </c>
      <c r="BZ122" s="538">
        <f t="shared" si="166"/>
        <v>6613676.1837875005</v>
      </c>
      <c r="CA122" s="641">
        <f t="shared" si="237"/>
        <v>2.2000000000000001E-3</v>
      </c>
      <c r="CB122" s="469">
        <f t="shared" si="238"/>
        <v>13227338369.748541</v>
      </c>
      <c r="CC122" s="177">
        <f t="shared" si="168"/>
        <v>8467513.1435557082</v>
      </c>
      <c r="CD122" s="5">
        <f t="shared" si="239"/>
        <v>0.65999999999999992</v>
      </c>
      <c r="CE122" s="177">
        <f t="shared" si="240"/>
        <v>7.7944957080890777E-8</v>
      </c>
      <c r="CF122" s="5">
        <f t="shared" si="241"/>
        <v>7.7944957080890771E-6</v>
      </c>
      <c r="CG122">
        <f t="shared" si="242"/>
        <v>12</v>
      </c>
      <c r="CI122" s="571">
        <f t="shared" si="243"/>
        <v>-50</v>
      </c>
      <c r="CJ122">
        <f t="shared" si="244"/>
        <v>-50</v>
      </c>
    </row>
    <row r="123" spans="5:88" x14ac:dyDescent="0.25">
      <c r="E123" s="174">
        <v>13</v>
      </c>
      <c r="F123" s="221">
        <f t="shared" si="245"/>
        <v>1.3000000000000001E-2</v>
      </c>
      <c r="G123" s="221">
        <f t="shared" si="183"/>
        <v>6.5000000000000002E-2</v>
      </c>
      <c r="H123" s="221">
        <f t="shared" si="184"/>
        <v>0.19500000000000001</v>
      </c>
      <c r="I123" s="221">
        <f t="shared" si="185"/>
        <v>0.52</v>
      </c>
      <c r="J123" s="551">
        <f t="shared" si="186"/>
        <v>20</v>
      </c>
      <c r="K123" s="451">
        <f t="shared" si="187"/>
        <v>695386.58000000007</v>
      </c>
      <c r="L123" s="451">
        <f t="shared" si="188"/>
        <v>695406.58000000007</v>
      </c>
      <c r="M123" s="451"/>
      <c r="N123" s="221">
        <f t="shared" si="189"/>
        <v>0.9999712398464794</v>
      </c>
      <c r="O123" s="176">
        <f t="shared" si="190"/>
        <v>1.8408561460810189</v>
      </c>
      <c r="P123" s="176">
        <f t="shared" si="191"/>
        <v>4.908949722882717</v>
      </c>
      <c r="Q123" s="221">
        <f t="shared" si="192"/>
        <v>0.12272374307206793</v>
      </c>
      <c r="R123" s="221">
        <f t="shared" si="193"/>
        <v>0.23010701826012736</v>
      </c>
      <c r="S123" s="221">
        <f t="shared" si="194"/>
        <v>15</v>
      </c>
      <c r="T123" s="221">
        <f t="shared" si="195"/>
        <v>7.9446729344577111E-2</v>
      </c>
      <c r="U123" s="221">
        <f t="shared" si="196"/>
        <v>0.11917009401686567</v>
      </c>
      <c r="V123" s="221">
        <f t="shared" si="197"/>
        <v>3.4274487729362178E-6</v>
      </c>
      <c r="W123" s="201">
        <f t="shared" si="198"/>
        <v>350</v>
      </c>
      <c r="X123" s="451">
        <f t="shared" si="199"/>
        <v>350</v>
      </c>
      <c r="Z123" s="221">
        <f t="shared" si="200"/>
        <v>1.9047071235171036</v>
      </c>
      <c r="AA123" s="177">
        <f t="shared" si="201"/>
        <v>8.2171867201568798E-5</v>
      </c>
      <c r="AB123" s="177">
        <f t="shared" si="202"/>
        <v>0.34129476953431226</v>
      </c>
      <c r="AC123" s="177"/>
      <c r="AD123" s="177">
        <f t="shared" si="203"/>
        <v>6.4712206554230591E-6</v>
      </c>
      <c r="AE123" s="555">
        <f t="shared" si="204"/>
        <v>2149.5901234567909</v>
      </c>
      <c r="AF123" s="538">
        <f t="shared" si="205"/>
        <v>2.1166825946720815E-3</v>
      </c>
      <c r="AH123" s="177">
        <f t="shared" si="206"/>
        <v>0.36903993847614408</v>
      </c>
      <c r="AI123" s="177">
        <f t="shared" si="207"/>
        <v>0.36903993847614408</v>
      </c>
      <c r="AJ123" s="177">
        <f t="shared" si="208"/>
        <v>1.3622518062786253</v>
      </c>
      <c r="AL123" s="555">
        <f t="shared" si="209"/>
        <v>13.000000000000002</v>
      </c>
      <c r="AM123" s="469">
        <f t="shared" si="210"/>
        <v>350</v>
      </c>
      <c r="AO123" s="469">
        <f t="shared" si="211"/>
        <v>13.000000000000002</v>
      </c>
      <c r="AP123" s="469">
        <f t="shared" si="212"/>
        <v>350</v>
      </c>
      <c r="AR123" s="5">
        <f t="shared" si="160"/>
        <v>2.8571428571428572</v>
      </c>
      <c r="AS123" s="5">
        <f t="shared" si="246"/>
        <v>0.55355990771421615</v>
      </c>
      <c r="AT123" s="5">
        <f t="shared" si="247"/>
        <v>2.3035829494286411</v>
      </c>
      <c r="AU123" s="177">
        <f t="shared" si="248"/>
        <v>0.19374596769997565</v>
      </c>
      <c r="AW123" s="5">
        <f t="shared" si="216"/>
        <v>4.7975192001898738E-2</v>
      </c>
      <c r="AX123" s="5"/>
      <c r="AY123" s="5">
        <f t="shared" si="217"/>
        <v>0.44976742501780059</v>
      </c>
      <c r="AZ123" s="5"/>
      <c r="BA123" s="5">
        <f t="shared" si="218"/>
        <v>2.0796234960119675E-2</v>
      </c>
      <c r="BB123" s="5"/>
      <c r="BC123" s="5"/>
      <c r="BD123" s="177">
        <f t="shared" si="219"/>
        <v>9.3784070433175201E-2</v>
      </c>
      <c r="BE123" s="177">
        <f t="shared" si="220"/>
        <v>2383.9048321522869</v>
      </c>
      <c r="BF123" s="177">
        <f t="shared" si="221"/>
        <v>11770.650947399126</v>
      </c>
      <c r="BG123" s="177"/>
      <c r="BH123" s="538">
        <f t="shared" si="222"/>
        <v>3.0784081534551682E-3</v>
      </c>
      <c r="BI123" s="538">
        <f t="shared" si="223"/>
        <v>449.10740262343512</v>
      </c>
      <c r="BJ123" s="538">
        <f t="shared" si="224"/>
        <v>4.3749999999999995E-3</v>
      </c>
      <c r="BK123" s="538">
        <f t="shared" si="225"/>
        <v>8462830.4513776898</v>
      </c>
      <c r="BL123">
        <f t="shared" si="226"/>
        <v>5.7999999999999996E-3</v>
      </c>
      <c r="BM123">
        <f t="shared" si="227"/>
        <v>1.3124999999999999E-5</v>
      </c>
      <c r="BN123">
        <f t="shared" si="228"/>
        <v>8468089.1617682278</v>
      </c>
      <c r="BO123" s="469">
        <f t="shared" si="229"/>
        <v>8463279572.03372</v>
      </c>
      <c r="BP123" s="177">
        <f t="shared" si="230"/>
        <v>3.9000000000000003E-3</v>
      </c>
      <c r="BQ123" s="177">
        <f t="shared" si="231"/>
        <v>1.95E-2</v>
      </c>
      <c r="BR123" s="538"/>
      <c r="BT123" s="469">
        <f t="shared" si="232"/>
        <v>23.400000000000002</v>
      </c>
      <c r="BU123" s="538">
        <f t="shared" si="233"/>
        <v>8.7954518670147668E-4</v>
      </c>
      <c r="BV123" s="538">
        <f t="shared" si="234"/>
        <v>170490.06746277068</v>
      </c>
      <c r="BW123" s="538">
        <f t="shared" si="235"/>
        <v>6927411.1862753974</v>
      </c>
      <c r="BX123" s="538">
        <f t="shared" si="236"/>
        <v>0</v>
      </c>
      <c r="BY123" s="538">
        <f t="shared" si="180"/>
        <v>-14.000024655218763</v>
      </c>
      <c r="BZ123" s="538">
        <f t="shared" si="166"/>
        <v>7097901.2546177134</v>
      </c>
      <c r="CA123" s="641">
        <f t="shared" si="237"/>
        <v>2.3833333333333337E-3</v>
      </c>
      <c r="CB123" s="469">
        <f t="shared" si="238"/>
        <v>14195788511.594105</v>
      </c>
      <c r="CC123" s="177">
        <f t="shared" si="168"/>
        <v>8468075.1875269059</v>
      </c>
      <c r="CD123" s="5">
        <f t="shared" si="239"/>
        <v>0.71500000000000008</v>
      </c>
      <c r="CE123" s="177">
        <f t="shared" si="240"/>
        <v>8.4434765137927188E-8</v>
      </c>
      <c r="CF123" s="5">
        <f t="shared" si="241"/>
        <v>8.443476513792719E-6</v>
      </c>
      <c r="CG123">
        <f t="shared" si="242"/>
        <v>13</v>
      </c>
      <c r="CI123" s="571">
        <f t="shared" si="243"/>
        <v>-50</v>
      </c>
      <c r="CJ123">
        <f t="shared" si="244"/>
        <v>-50</v>
      </c>
    </row>
    <row r="124" spans="5:88" x14ac:dyDescent="0.25">
      <c r="E124" s="174">
        <v>14</v>
      </c>
      <c r="F124" s="221">
        <f t="shared" si="245"/>
        <v>1.4000000000000002E-2</v>
      </c>
      <c r="G124" s="221">
        <f t="shared" si="183"/>
        <v>7.0000000000000007E-2</v>
      </c>
      <c r="H124" s="221">
        <f t="shared" si="184"/>
        <v>0.21000000000000002</v>
      </c>
      <c r="I124" s="221">
        <f t="shared" si="185"/>
        <v>0.56000000000000005</v>
      </c>
      <c r="J124" s="551">
        <f t="shared" si="186"/>
        <v>20</v>
      </c>
      <c r="K124" s="451">
        <f t="shared" si="187"/>
        <v>695386.58000000007</v>
      </c>
      <c r="L124" s="451">
        <f t="shared" si="188"/>
        <v>695406.58000000007</v>
      </c>
      <c r="M124" s="451"/>
      <c r="N124" s="221">
        <f t="shared" si="189"/>
        <v>0.9999712398464794</v>
      </c>
      <c r="O124" s="176">
        <f t="shared" si="190"/>
        <v>1.8408561460810189</v>
      </c>
      <c r="P124" s="176">
        <f t="shared" si="191"/>
        <v>4.908949722882717</v>
      </c>
      <c r="Q124" s="221">
        <f t="shared" si="192"/>
        <v>0.12272374307206793</v>
      </c>
      <c r="R124" s="221">
        <f t="shared" si="193"/>
        <v>0.23010701826012736</v>
      </c>
      <c r="S124" s="221">
        <f t="shared" si="194"/>
        <v>15</v>
      </c>
      <c r="T124" s="221">
        <f t="shared" si="195"/>
        <v>8.5558016217236882E-2</v>
      </c>
      <c r="U124" s="221">
        <f t="shared" si="196"/>
        <v>0.12833702432585531</v>
      </c>
      <c r="V124" s="221">
        <f t="shared" si="197"/>
        <v>3.691098678546696E-6</v>
      </c>
      <c r="W124" s="201">
        <f t="shared" si="198"/>
        <v>350</v>
      </c>
      <c r="X124" s="451">
        <f t="shared" si="199"/>
        <v>350</v>
      </c>
      <c r="Z124" s="221">
        <f t="shared" si="200"/>
        <v>1.9047071235171036</v>
      </c>
      <c r="AA124" s="177">
        <f t="shared" si="201"/>
        <v>8.2171867201568798E-5</v>
      </c>
      <c r="AB124" s="177">
        <f t="shared" si="202"/>
        <v>0.34129476953431226</v>
      </c>
      <c r="AC124" s="177"/>
      <c r="AD124" s="177">
        <f t="shared" si="203"/>
        <v>6.4712206554230591E-6</v>
      </c>
      <c r="AE124" s="555">
        <f t="shared" si="204"/>
        <v>2314.9432098765442</v>
      </c>
      <c r="AF124" s="538">
        <f t="shared" si="205"/>
        <v>2.1166825946720815E-3</v>
      </c>
      <c r="AH124" s="177">
        <f t="shared" si="206"/>
        <v>0.38297084310253526</v>
      </c>
      <c r="AI124" s="177">
        <f t="shared" si="207"/>
        <v>0.38297084310253526</v>
      </c>
      <c r="AJ124" s="177">
        <f t="shared" si="208"/>
        <v>1.3725709948907667</v>
      </c>
      <c r="AL124" s="555">
        <f t="shared" si="209"/>
        <v>14.000000000000002</v>
      </c>
      <c r="AM124" s="469">
        <f t="shared" si="210"/>
        <v>350</v>
      </c>
      <c r="AO124" s="469">
        <f t="shared" si="211"/>
        <v>14.000000000000002</v>
      </c>
      <c r="AP124" s="469">
        <f t="shared" si="212"/>
        <v>350</v>
      </c>
      <c r="AR124" s="5">
        <f t="shared" si="160"/>
        <v>2.8571428571428572</v>
      </c>
      <c r="AS124" s="5">
        <f t="shared" si="246"/>
        <v>0.57445626465380284</v>
      </c>
      <c r="AT124" s="5">
        <f t="shared" si="247"/>
        <v>2.2826865924890543</v>
      </c>
      <c r="AU124" s="177">
        <f t="shared" si="248"/>
        <v>0.201059692628831</v>
      </c>
      <c r="AW124" s="5">
        <f t="shared" si="216"/>
        <v>5.3615918034354941E-2</v>
      </c>
      <c r="AX124" s="5"/>
      <c r="AY124" s="5">
        <f t="shared" si="217"/>
        <v>0.50264923157207753</v>
      </c>
      <c r="AZ124" s="5"/>
      <c r="BA124" s="5">
        <f t="shared" si="218"/>
        <v>2.2192786315865805E-2</v>
      </c>
      <c r="BB124" s="5"/>
      <c r="BC124" s="5"/>
      <c r="BD124" s="177">
        <f t="shared" si="219"/>
        <v>9.9144263439520652E-2</v>
      </c>
      <c r="BE124" s="177">
        <f t="shared" si="220"/>
        <v>2462.6487474250225</v>
      </c>
      <c r="BF124" s="177">
        <f t="shared" si="221"/>
        <v>12159.453020538151</v>
      </c>
      <c r="BG124" s="177"/>
      <c r="BH124" s="538">
        <f t="shared" si="222"/>
        <v>3.4403547405377748E-3</v>
      </c>
      <c r="BI124" s="538">
        <f t="shared" si="223"/>
        <v>466.06077742288875</v>
      </c>
      <c r="BJ124" s="538">
        <f t="shared" si="224"/>
        <v>4.3749999999999995E-3</v>
      </c>
      <c r="BK124" s="538">
        <f t="shared" si="225"/>
        <v>8462830.4513776898</v>
      </c>
      <c r="BL124">
        <f t="shared" si="226"/>
        <v>5.7999999999999996E-3</v>
      </c>
      <c r="BM124">
        <f t="shared" si="227"/>
        <v>1.3124999999999999E-5</v>
      </c>
      <c r="BN124">
        <f t="shared" si="228"/>
        <v>8468671.9772500023</v>
      </c>
      <c r="BO124" s="469">
        <f t="shared" si="229"/>
        <v>8463296525.7704668</v>
      </c>
      <c r="BP124" s="177">
        <f t="shared" si="230"/>
        <v>4.2000000000000006E-3</v>
      </c>
      <c r="BQ124" s="177">
        <f t="shared" si="231"/>
        <v>2.1000000000000001E-2</v>
      </c>
      <c r="BR124" s="538"/>
      <c r="BT124" s="469">
        <f t="shared" si="232"/>
        <v>25.2</v>
      </c>
      <c r="BU124" s="538">
        <f t="shared" si="233"/>
        <v>9.8295849729650728E-4</v>
      </c>
      <c r="BV124" s="538">
        <f t="shared" si="234"/>
        <v>181939.16559582099</v>
      </c>
      <c r="BW124" s="538">
        <f t="shared" si="235"/>
        <v>7392614.887933718</v>
      </c>
      <c r="BX124" s="538">
        <f t="shared" si="236"/>
        <v>0</v>
      </c>
      <c r="BY124" s="538">
        <f t="shared" si="180"/>
        <v>-14.000023103708489</v>
      </c>
      <c r="BZ124" s="538">
        <f t="shared" si="166"/>
        <v>7574554.054512498</v>
      </c>
      <c r="CA124" s="641">
        <f t="shared" si="237"/>
        <v>2.5666666666666672E-3</v>
      </c>
      <c r="CB124" s="469">
        <f t="shared" si="238"/>
        <v>15149094111.568562</v>
      </c>
      <c r="CC124" s="177">
        <f t="shared" si="168"/>
        <v>8468658.0049935654</v>
      </c>
      <c r="CD124" s="5">
        <f t="shared" si="239"/>
        <v>0.77</v>
      </c>
      <c r="CE124" s="177">
        <f t="shared" si="240"/>
        <v>9.0923488648954937E-8</v>
      </c>
      <c r="CF124" s="5">
        <f t="shared" si="241"/>
        <v>9.0923488648954938E-6</v>
      </c>
      <c r="CG124">
        <f t="shared" si="242"/>
        <v>14.000000000000002</v>
      </c>
      <c r="CI124" s="571">
        <f t="shared" si="243"/>
        <v>-50</v>
      </c>
      <c r="CJ124">
        <f t="shared" si="244"/>
        <v>-50</v>
      </c>
    </row>
    <row r="125" spans="5:88" x14ac:dyDescent="0.25">
      <c r="E125" s="174">
        <v>15</v>
      </c>
      <c r="F125" s="221">
        <f t="shared" si="245"/>
        <v>1.4999999999999999E-2</v>
      </c>
      <c r="G125" s="221">
        <f t="shared" si="183"/>
        <v>7.4999999999999997E-2</v>
      </c>
      <c r="H125" s="221">
        <f t="shared" si="184"/>
        <v>0.22499999999999998</v>
      </c>
      <c r="I125" s="221">
        <f t="shared" si="185"/>
        <v>0.6</v>
      </c>
      <c r="J125" s="551">
        <f t="shared" si="186"/>
        <v>20</v>
      </c>
      <c r="K125" s="451">
        <f t="shared" si="187"/>
        <v>695386.58000000007</v>
      </c>
      <c r="L125" s="451">
        <f t="shared" si="188"/>
        <v>695406.58000000007</v>
      </c>
      <c r="M125" s="451"/>
      <c r="N125" s="221">
        <f t="shared" si="189"/>
        <v>0.9999712398464794</v>
      </c>
      <c r="O125" s="176">
        <f t="shared" si="190"/>
        <v>1.8408561460810189</v>
      </c>
      <c r="P125" s="176">
        <f t="shared" si="191"/>
        <v>4.908949722882717</v>
      </c>
      <c r="Q125" s="221">
        <f t="shared" si="192"/>
        <v>0.12272374307206793</v>
      </c>
      <c r="R125" s="221">
        <f t="shared" si="193"/>
        <v>0.23010701826012736</v>
      </c>
      <c r="S125" s="221">
        <f t="shared" si="194"/>
        <v>15</v>
      </c>
      <c r="T125" s="221">
        <f t="shared" si="195"/>
        <v>9.1669303089896653E-2</v>
      </c>
      <c r="U125" s="221">
        <f t="shared" si="196"/>
        <v>0.13750395463484499</v>
      </c>
      <c r="V125" s="221">
        <f t="shared" si="197"/>
        <v>3.9547485841571742E-6</v>
      </c>
      <c r="W125" s="201">
        <f t="shared" si="198"/>
        <v>350</v>
      </c>
      <c r="X125" s="451">
        <f t="shared" si="199"/>
        <v>350</v>
      </c>
      <c r="Z125" s="221">
        <f t="shared" si="200"/>
        <v>1.9047071235171036</v>
      </c>
      <c r="AA125" s="177">
        <f t="shared" si="201"/>
        <v>8.2171867201568798E-5</v>
      </c>
      <c r="AB125" s="177">
        <f t="shared" si="202"/>
        <v>0.34129476953431226</v>
      </c>
      <c r="AC125" s="177"/>
      <c r="AD125" s="177">
        <f t="shared" si="203"/>
        <v>6.4712206554230591E-6</v>
      </c>
      <c r="AE125" s="555">
        <f t="shared" si="204"/>
        <v>2480.296296296297</v>
      </c>
      <c r="AF125" s="538">
        <f t="shared" si="205"/>
        <v>2.1166825946720815E-3</v>
      </c>
      <c r="AH125" s="177">
        <f t="shared" si="206"/>
        <v>0.39641248358604592</v>
      </c>
      <c r="AI125" s="177">
        <f t="shared" si="207"/>
        <v>0.39641248358604592</v>
      </c>
      <c r="AJ125" s="177">
        <f t="shared" si="208"/>
        <v>1.3825277656192934</v>
      </c>
      <c r="AL125" s="555">
        <f t="shared" si="209"/>
        <v>15</v>
      </c>
      <c r="AM125" s="469">
        <f t="shared" si="210"/>
        <v>350</v>
      </c>
      <c r="AO125" s="469">
        <f t="shared" si="211"/>
        <v>15</v>
      </c>
      <c r="AP125" s="469">
        <f t="shared" si="212"/>
        <v>350</v>
      </c>
      <c r="AR125" s="5">
        <f t="shared" si="160"/>
        <v>2.8571428571428572</v>
      </c>
      <c r="AS125" s="5">
        <f t="shared" si="246"/>
        <v>0.5946187253790689</v>
      </c>
      <c r="AT125" s="5">
        <f t="shared" si="247"/>
        <v>2.2625241317637883</v>
      </c>
      <c r="AU125" s="177">
        <f t="shared" si="248"/>
        <v>0.20811655388267411</v>
      </c>
      <c r="AW125" s="5">
        <f t="shared" si="216"/>
        <v>5.9461872537906885E-2</v>
      </c>
      <c r="AX125" s="5"/>
      <c r="AY125" s="5">
        <f t="shared" si="217"/>
        <v>0.55745505504287707</v>
      </c>
      <c r="AZ125" s="5"/>
      <c r="BA125" s="5">
        <f t="shared" si="218"/>
        <v>2.356795970587279E-2</v>
      </c>
      <c r="BB125" s="5"/>
      <c r="BC125" s="5"/>
      <c r="BD125" s="177">
        <f t="shared" si="219"/>
        <v>0.10440949812453014</v>
      </c>
      <c r="BE125" s="177">
        <f t="shared" si="220"/>
        <v>2537.8009152388836</v>
      </c>
      <c r="BF125" s="177">
        <f t="shared" si="221"/>
        <v>12530.520658535544</v>
      </c>
      <c r="BG125" s="177"/>
      <c r="BH125" s="538">
        <f t="shared" si="222"/>
        <v>3.8154701545156915E-3</v>
      </c>
      <c r="BI125" s="538">
        <f t="shared" si="223"/>
        <v>482.41873658978716</v>
      </c>
      <c r="BJ125" s="538">
        <f t="shared" si="224"/>
        <v>4.3749999999999995E-3</v>
      </c>
      <c r="BK125" s="538">
        <f t="shared" si="225"/>
        <v>8462830.4513776898</v>
      </c>
      <c r="BL125">
        <f t="shared" si="226"/>
        <v>5.7999999999999996E-3</v>
      </c>
      <c r="BM125">
        <f t="shared" si="227"/>
        <v>1.3124999999999999E-5</v>
      </c>
      <c r="BN125">
        <f t="shared" si="228"/>
        <v>8469274.8666147515</v>
      </c>
      <c r="BO125" s="469">
        <f t="shared" si="229"/>
        <v>8463312884.1047487</v>
      </c>
      <c r="BP125" s="177">
        <f t="shared" si="230"/>
        <v>4.4999999999999997E-3</v>
      </c>
      <c r="BQ125" s="177">
        <f t="shared" si="231"/>
        <v>2.2499999999999999E-2</v>
      </c>
      <c r="BR125" s="538"/>
      <c r="BT125" s="469">
        <f t="shared" si="232"/>
        <v>27</v>
      </c>
      <c r="BU125" s="538">
        <f t="shared" si="233"/>
        <v>1.0901343298616263E-3</v>
      </c>
      <c r="BV125" s="538">
        <f t="shared" si="234"/>
        <v>193213.00456161945</v>
      </c>
      <c r="BW125" s="538">
        <f t="shared" si="235"/>
        <v>7850697.3986993032</v>
      </c>
      <c r="BX125" s="538">
        <f t="shared" si="236"/>
        <v>0</v>
      </c>
      <c r="BY125" s="538">
        <f t="shared" si="180"/>
        <v>-14.000021755621725</v>
      </c>
      <c r="BZ125" s="538">
        <f t="shared" si="166"/>
        <v>8043910.4043510566</v>
      </c>
      <c r="CA125" s="641">
        <f t="shared" si="237"/>
        <v>2.7499999999999994E-3</v>
      </c>
      <c r="CB125" s="469">
        <f t="shared" si="238"/>
        <v>16087806811.430357</v>
      </c>
      <c r="CC125" s="177">
        <f t="shared" si="168"/>
        <v>8469260.8963429965</v>
      </c>
      <c r="CD125" s="5">
        <f t="shared" si="239"/>
        <v>0.82499999999999996</v>
      </c>
      <c r="CE125" s="177">
        <f t="shared" si="240"/>
        <v>9.7411088137819089E-8</v>
      </c>
      <c r="CF125" s="5">
        <f t="shared" si="241"/>
        <v>9.7411088137819091E-6</v>
      </c>
      <c r="CG125">
        <f t="shared" si="242"/>
        <v>15</v>
      </c>
      <c r="CI125" s="571">
        <f t="shared" si="243"/>
        <v>-50</v>
      </c>
      <c r="CJ125">
        <f t="shared" si="244"/>
        <v>-50</v>
      </c>
    </row>
    <row r="126" spans="5:88" x14ac:dyDescent="0.25">
      <c r="E126" s="174">
        <v>16</v>
      </c>
      <c r="F126" s="221">
        <f t="shared" si="245"/>
        <v>1.6E-2</v>
      </c>
      <c r="G126" s="221">
        <f t="shared" si="183"/>
        <v>0.08</v>
      </c>
      <c r="H126" s="221">
        <f t="shared" si="184"/>
        <v>0.24</v>
      </c>
      <c r="I126" s="221">
        <f t="shared" si="185"/>
        <v>0.64</v>
      </c>
      <c r="J126" s="551">
        <f t="shared" si="186"/>
        <v>20</v>
      </c>
      <c r="K126" s="451">
        <f t="shared" si="187"/>
        <v>695386.58000000007</v>
      </c>
      <c r="L126" s="451">
        <f t="shared" si="188"/>
        <v>695406.58000000007</v>
      </c>
      <c r="M126" s="451"/>
      <c r="N126" s="221">
        <f t="shared" si="189"/>
        <v>0.9999712398464794</v>
      </c>
      <c r="O126" s="176">
        <f t="shared" si="190"/>
        <v>1.8408561460810189</v>
      </c>
      <c r="P126" s="176">
        <f t="shared" si="191"/>
        <v>4.908949722882717</v>
      </c>
      <c r="Q126" s="221">
        <f t="shared" si="192"/>
        <v>0.12272374307206793</v>
      </c>
      <c r="R126" s="221">
        <f t="shared" si="193"/>
        <v>0.23010701826012736</v>
      </c>
      <c r="S126" s="221">
        <f t="shared" si="194"/>
        <v>15</v>
      </c>
      <c r="T126" s="221">
        <f t="shared" si="195"/>
        <v>9.7780589962556425E-2</v>
      </c>
      <c r="U126" s="221">
        <f t="shared" si="196"/>
        <v>0.14667088494383462</v>
      </c>
      <c r="V126" s="221">
        <f t="shared" si="197"/>
        <v>4.2183984897676525E-6</v>
      </c>
      <c r="W126" s="201">
        <f t="shared" si="198"/>
        <v>350</v>
      </c>
      <c r="X126" s="451">
        <f t="shared" si="199"/>
        <v>350</v>
      </c>
      <c r="Z126" s="221">
        <f t="shared" si="200"/>
        <v>1.9047071235171036</v>
      </c>
      <c r="AA126" s="177">
        <f t="shared" si="201"/>
        <v>8.2171867201568798E-5</v>
      </c>
      <c r="AB126" s="177">
        <f t="shared" si="202"/>
        <v>0.34129476953431226</v>
      </c>
      <c r="AC126" s="177"/>
      <c r="AD126" s="177">
        <f t="shared" si="203"/>
        <v>6.4712206554230591E-6</v>
      </c>
      <c r="AE126" s="555">
        <f t="shared" si="204"/>
        <v>2645.6493827160502</v>
      </c>
      <c r="AF126" s="538">
        <f t="shared" si="205"/>
        <v>2.1166825946720815E-3</v>
      </c>
      <c r="AH126" s="177">
        <f t="shared" si="206"/>
        <v>0.40941305257532717</v>
      </c>
      <c r="AI126" s="177">
        <f t="shared" si="207"/>
        <v>0.40941305257532717</v>
      </c>
      <c r="AJ126" s="177">
        <f t="shared" si="208"/>
        <v>1.3921578167224646</v>
      </c>
      <c r="AL126" s="555">
        <f t="shared" si="209"/>
        <v>16</v>
      </c>
      <c r="AM126" s="469">
        <f t="shared" si="210"/>
        <v>350</v>
      </c>
      <c r="AO126" s="469">
        <f t="shared" si="211"/>
        <v>16</v>
      </c>
      <c r="AP126" s="469">
        <f t="shared" si="212"/>
        <v>350</v>
      </c>
      <c r="AR126" s="5">
        <f t="shared" si="160"/>
        <v>2.8571428571428572</v>
      </c>
      <c r="AS126" s="5">
        <f t="shared" si="246"/>
        <v>0.61411957886299073</v>
      </c>
      <c r="AT126" s="5">
        <f t="shared" si="247"/>
        <v>2.2430232782798667</v>
      </c>
      <c r="AU126" s="177">
        <f t="shared" si="248"/>
        <v>0.21494185260204676</v>
      </c>
      <c r="AW126" s="5">
        <f t="shared" si="216"/>
        <v>6.5506088412052341E-2</v>
      </c>
      <c r="AX126" s="5"/>
      <c r="AY126" s="5">
        <f t="shared" si="217"/>
        <v>0.61411957886299073</v>
      </c>
      <c r="AZ126" s="5"/>
      <c r="BA126" s="5">
        <f t="shared" si="218"/>
        <v>2.4922480869776293E-2</v>
      </c>
      <c r="BB126" s="5"/>
      <c r="BC126" s="5"/>
      <c r="BD126" s="177">
        <f t="shared" si="219"/>
        <v>0.10958763407524408</v>
      </c>
      <c r="BE126" s="177">
        <f t="shared" si="220"/>
        <v>2609.7096521906033</v>
      </c>
      <c r="BF126" s="177">
        <f t="shared" si="221"/>
        <v>12885.573692243634</v>
      </c>
      <c r="BG126" s="177"/>
      <c r="BH126" s="538">
        <f t="shared" si="222"/>
        <v>4.2033073397733586E-3</v>
      </c>
      <c r="BI126" s="538">
        <f t="shared" si="223"/>
        <v>498.23992872284487</v>
      </c>
      <c r="BJ126" s="538">
        <f t="shared" si="224"/>
        <v>4.3749999999999995E-3</v>
      </c>
      <c r="BK126" s="538">
        <f t="shared" si="225"/>
        <v>8462830.4513776898</v>
      </c>
      <c r="BL126">
        <f t="shared" si="226"/>
        <v>5.7999999999999996E-3</v>
      </c>
      <c r="BM126">
        <f t="shared" si="227"/>
        <v>1.3124999999999999E-5</v>
      </c>
      <c r="BN126">
        <f t="shared" si="228"/>
        <v>8469897.1979707405</v>
      </c>
      <c r="BO126" s="469">
        <f t="shared" si="229"/>
        <v>8463328705.68472</v>
      </c>
      <c r="BP126" s="177">
        <f t="shared" si="230"/>
        <v>4.7999999999999996E-3</v>
      </c>
      <c r="BQ126" s="177">
        <f t="shared" si="231"/>
        <v>2.4E-2</v>
      </c>
      <c r="BR126" s="538"/>
      <c r="BT126" s="469">
        <f t="shared" si="232"/>
        <v>28.8</v>
      </c>
      <c r="BU126" s="538">
        <f t="shared" si="233"/>
        <v>1.2009449542209599E-3</v>
      </c>
      <c r="BV126" s="538">
        <f t="shared" si="234"/>
        <v>204317.53406210398</v>
      </c>
      <c r="BW126" s="538">
        <f t="shared" si="235"/>
        <v>8301900.4689120622</v>
      </c>
      <c r="BX126" s="538">
        <f t="shared" si="236"/>
        <v>0</v>
      </c>
      <c r="BY126" s="538">
        <f t="shared" si="180"/>
        <v>-14.000020573215627</v>
      </c>
      <c r="BZ126" s="538">
        <f t="shared" si="166"/>
        <v>8506218.0041751117</v>
      </c>
      <c r="CA126" s="641">
        <f t="shared" si="237"/>
        <v>2.9333333333333338E-3</v>
      </c>
      <c r="CB126" s="469">
        <f t="shared" si="238"/>
        <v>17012422011.262987</v>
      </c>
      <c r="CC126" s="177">
        <f t="shared" si="168"/>
        <v>8469883.2296834998</v>
      </c>
      <c r="CD126" s="5">
        <f t="shared" si="239"/>
        <v>0.88</v>
      </c>
      <c r="CE126" s="177">
        <f t="shared" si="240"/>
        <v>1.038975254683719E-7</v>
      </c>
      <c r="CF126" s="5">
        <f t="shared" si="241"/>
        <v>1.038975254683719E-5</v>
      </c>
      <c r="CG126">
        <f t="shared" si="242"/>
        <v>16</v>
      </c>
      <c r="CI126" s="571">
        <f t="shared" si="243"/>
        <v>-50</v>
      </c>
      <c r="CJ126">
        <f t="shared" si="244"/>
        <v>-50</v>
      </c>
    </row>
    <row r="127" spans="5:88" x14ac:dyDescent="0.25">
      <c r="E127" s="174">
        <v>17</v>
      </c>
      <c r="F127" s="221">
        <f t="shared" si="245"/>
        <v>1.7000000000000001E-2</v>
      </c>
      <c r="G127" s="221">
        <f t="shared" si="183"/>
        <v>8.5000000000000006E-2</v>
      </c>
      <c r="H127" s="221">
        <f t="shared" si="184"/>
        <v>0.255</v>
      </c>
      <c r="I127" s="221">
        <f t="shared" si="185"/>
        <v>0.68</v>
      </c>
      <c r="J127" s="551">
        <f t="shared" si="186"/>
        <v>20</v>
      </c>
      <c r="K127" s="451">
        <f t="shared" si="187"/>
        <v>695386.58000000007</v>
      </c>
      <c r="L127" s="451">
        <f t="shared" si="188"/>
        <v>695406.58000000007</v>
      </c>
      <c r="M127" s="451"/>
      <c r="N127" s="221">
        <f t="shared" si="189"/>
        <v>0.9999712398464794</v>
      </c>
      <c r="O127" s="176">
        <f t="shared" si="190"/>
        <v>1.8408561460810189</v>
      </c>
      <c r="P127" s="176">
        <f t="shared" si="191"/>
        <v>4.908949722882717</v>
      </c>
      <c r="Q127" s="221">
        <f t="shared" si="192"/>
        <v>0.12272374307206793</v>
      </c>
      <c r="R127" s="221">
        <f t="shared" si="193"/>
        <v>0.23010701826012736</v>
      </c>
      <c r="S127" s="221">
        <f t="shared" si="194"/>
        <v>15</v>
      </c>
      <c r="T127" s="221">
        <f t="shared" si="195"/>
        <v>0.10389187683521621</v>
      </c>
      <c r="U127" s="221">
        <f t="shared" si="196"/>
        <v>0.15583781525282431</v>
      </c>
      <c r="V127" s="221">
        <f t="shared" si="197"/>
        <v>4.4820483953781298E-6</v>
      </c>
      <c r="W127" s="201">
        <f t="shared" si="198"/>
        <v>350</v>
      </c>
      <c r="X127" s="451">
        <f t="shared" si="199"/>
        <v>350</v>
      </c>
      <c r="Z127" s="221">
        <f t="shared" si="200"/>
        <v>1.9047071235171036</v>
      </c>
      <c r="AA127" s="177">
        <f t="shared" si="201"/>
        <v>8.2171867201568798E-5</v>
      </c>
      <c r="AB127" s="177">
        <f t="shared" si="202"/>
        <v>0.34129476953431226</v>
      </c>
      <c r="AC127" s="177"/>
      <c r="AD127" s="177">
        <f t="shared" si="203"/>
        <v>6.4712206554230591E-6</v>
      </c>
      <c r="AE127" s="555">
        <f t="shared" si="204"/>
        <v>2811.0024691358035</v>
      </c>
      <c r="AF127" s="538">
        <f t="shared" si="205"/>
        <v>2.1166825946720815E-3</v>
      </c>
      <c r="AH127" s="177">
        <f t="shared" si="206"/>
        <v>0.42201331506865764</v>
      </c>
      <c r="AI127" s="177">
        <f t="shared" si="207"/>
        <v>0.42201331506865764</v>
      </c>
      <c r="AJ127" s="177">
        <f t="shared" si="208"/>
        <v>1.4014913444953019</v>
      </c>
      <c r="AL127" s="555">
        <f t="shared" si="209"/>
        <v>17</v>
      </c>
      <c r="AM127" s="469">
        <f t="shared" si="210"/>
        <v>350</v>
      </c>
      <c r="AO127" s="469">
        <f t="shared" si="211"/>
        <v>17</v>
      </c>
      <c r="AP127" s="469">
        <f t="shared" si="212"/>
        <v>350</v>
      </c>
      <c r="AR127" s="5">
        <f t="shared" si="160"/>
        <v>2.8571428571428572</v>
      </c>
      <c r="AS127" s="5">
        <f t="shared" si="246"/>
        <v>0.63301997260298648</v>
      </c>
      <c r="AT127" s="5">
        <f t="shared" si="247"/>
        <v>2.2241228845398706</v>
      </c>
      <c r="AU127" s="177">
        <f t="shared" si="248"/>
        <v>0.22155699041104526</v>
      </c>
      <c r="AW127" s="5">
        <f t="shared" si="216"/>
        <v>7.1742263561671807E-2</v>
      </c>
      <c r="AX127" s="5"/>
      <c r="AY127" s="5">
        <f t="shared" si="217"/>
        <v>0.6725837208906732</v>
      </c>
      <c r="AZ127" s="5"/>
      <c r="BA127" s="5">
        <f t="shared" si="218"/>
        <v>2.625700627581791E-2</v>
      </c>
      <c r="BB127" s="5"/>
      <c r="BC127" s="5"/>
      <c r="BD127" s="177">
        <f t="shared" si="219"/>
        <v>0.11468543202883193</v>
      </c>
      <c r="BE127" s="177">
        <f t="shared" si="220"/>
        <v>2678.6696692194441</v>
      </c>
      <c r="BF127" s="177">
        <f t="shared" si="221"/>
        <v>13226.067271863727</v>
      </c>
      <c r="BG127" s="177"/>
      <c r="BH127" s="538">
        <f t="shared" si="222"/>
        <v>4.6034619118739389E-3</v>
      </c>
      <c r="BI127" s="538">
        <f t="shared" si="223"/>
        <v>513.57396325612592</v>
      </c>
      <c r="BJ127" s="538">
        <f t="shared" si="224"/>
        <v>4.3749999999999995E-3</v>
      </c>
      <c r="BK127" s="538">
        <f t="shared" si="225"/>
        <v>8462830.4513776898</v>
      </c>
      <c r="BL127">
        <f t="shared" si="226"/>
        <v>5.7999999999999996E-3</v>
      </c>
      <c r="BM127">
        <f t="shared" si="227"/>
        <v>1.3124999999999999E-5</v>
      </c>
      <c r="BN127">
        <f t="shared" si="228"/>
        <v>8470538.3970170487</v>
      </c>
      <c r="BO127" s="469">
        <f t="shared" si="229"/>
        <v>8463344040.1194077</v>
      </c>
      <c r="BP127" s="177">
        <f t="shared" si="230"/>
        <v>5.1000000000000004E-3</v>
      </c>
      <c r="BQ127" s="177">
        <f t="shared" si="231"/>
        <v>2.5500000000000002E-2</v>
      </c>
      <c r="BR127" s="538"/>
      <c r="BT127" s="469">
        <f t="shared" si="232"/>
        <v>30.6</v>
      </c>
      <c r="BU127" s="538">
        <f t="shared" si="233"/>
        <v>1.3152748319639829E-3</v>
      </c>
      <c r="BV127" s="538">
        <f t="shared" si="234"/>
        <v>215258.13590388617</v>
      </c>
      <c r="BW127" s="538">
        <f t="shared" si="235"/>
        <v>8746442.7739932407</v>
      </c>
      <c r="BX127" s="538">
        <f t="shared" si="236"/>
        <v>0</v>
      </c>
      <c r="BY127" s="538">
        <f t="shared" si="180"/>
        <v>-14.000019527570249</v>
      </c>
      <c r="BZ127" s="538">
        <f t="shared" si="166"/>
        <v>8961700.9112124015</v>
      </c>
      <c r="CA127" s="641">
        <f t="shared" si="237"/>
        <v>3.1166666666666669E-3</v>
      </c>
      <c r="CB127" s="469">
        <f t="shared" si="238"/>
        <v>17923387825.521942</v>
      </c>
      <c r="CC127" s="177">
        <f t="shared" si="168"/>
        <v>8470524.4307141881</v>
      </c>
      <c r="CD127" s="5">
        <f t="shared" si="239"/>
        <v>0.93500000000000005</v>
      </c>
      <c r="CE127" s="177">
        <f t="shared" si="240"/>
        <v>1.1038276371670671E-7</v>
      </c>
      <c r="CF127" s="5">
        <f t="shared" si="241"/>
        <v>1.1038276371670671E-5</v>
      </c>
      <c r="CG127">
        <f t="shared" si="242"/>
        <v>17</v>
      </c>
      <c r="CI127" s="571">
        <f t="shared" si="243"/>
        <v>-50</v>
      </c>
      <c r="CJ127">
        <f t="shared" si="244"/>
        <v>-50</v>
      </c>
    </row>
    <row r="128" spans="5:88" x14ac:dyDescent="0.25">
      <c r="E128" s="174">
        <v>18</v>
      </c>
      <c r="F128" s="221">
        <f t="shared" si="245"/>
        <v>1.7999999999999999E-2</v>
      </c>
      <c r="G128" s="221">
        <f t="shared" si="183"/>
        <v>0.09</v>
      </c>
      <c r="H128" s="221">
        <f t="shared" si="184"/>
        <v>0.26999999999999996</v>
      </c>
      <c r="I128" s="221">
        <f t="shared" si="185"/>
        <v>0.72</v>
      </c>
      <c r="J128" s="551">
        <f t="shared" si="186"/>
        <v>20</v>
      </c>
      <c r="K128" s="451">
        <f t="shared" si="187"/>
        <v>695386.58000000007</v>
      </c>
      <c r="L128" s="451">
        <f t="shared" si="188"/>
        <v>695406.58000000007</v>
      </c>
      <c r="M128" s="451"/>
      <c r="N128" s="221">
        <f t="shared" si="189"/>
        <v>0.9999712398464794</v>
      </c>
      <c r="O128" s="176">
        <f t="shared" si="190"/>
        <v>1.8408561460810189</v>
      </c>
      <c r="P128" s="176">
        <f t="shared" si="191"/>
        <v>4.908949722882717</v>
      </c>
      <c r="Q128" s="221">
        <f t="shared" si="192"/>
        <v>0.12272374307206793</v>
      </c>
      <c r="R128" s="221">
        <f t="shared" si="193"/>
        <v>0.23010701826012736</v>
      </c>
      <c r="S128" s="221">
        <f t="shared" si="194"/>
        <v>15</v>
      </c>
      <c r="T128" s="221">
        <f t="shared" si="195"/>
        <v>0.11000316370787598</v>
      </c>
      <c r="U128" s="221">
        <f t="shared" si="196"/>
        <v>0.16500474556181399</v>
      </c>
      <c r="V128" s="221">
        <f t="shared" si="197"/>
        <v>4.7456983009886089E-6</v>
      </c>
      <c r="W128" s="201">
        <f t="shared" si="198"/>
        <v>350</v>
      </c>
      <c r="X128" s="451">
        <f t="shared" si="199"/>
        <v>350</v>
      </c>
      <c r="Z128" s="221">
        <f t="shared" si="200"/>
        <v>1.9047071235171036</v>
      </c>
      <c r="AA128" s="177">
        <f t="shared" si="201"/>
        <v>8.2171867201568798E-5</v>
      </c>
      <c r="AB128" s="177">
        <f t="shared" si="202"/>
        <v>0.34129476953431226</v>
      </c>
      <c r="AC128" s="177"/>
      <c r="AD128" s="177">
        <f t="shared" si="203"/>
        <v>6.4712206554230591E-6</v>
      </c>
      <c r="AE128" s="555">
        <f t="shared" si="204"/>
        <v>2976.3555555555558</v>
      </c>
      <c r="AF128" s="538">
        <f t="shared" si="205"/>
        <v>2.1166825946720815E-3</v>
      </c>
      <c r="AH128" s="177">
        <f t="shared" si="206"/>
        <v>0.43424811867344754</v>
      </c>
      <c r="AI128" s="177">
        <f t="shared" si="207"/>
        <v>0.43424811867344754</v>
      </c>
      <c r="AJ128" s="177">
        <f t="shared" si="208"/>
        <v>1.4105541619803315</v>
      </c>
      <c r="AL128" s="555">
        <f t="shared" si="209"/>
        <v>18</v>
      </c>
      <c r="AM128" s="469">
        <f t="shared" si="210"/>
        <v>350</v>
      </c>
      <c r="AO128" s="469">
        <f t="shared" si="211"/>
        <v>18</v>
      </c>
      <c r="AP128" s="469">
        <f t="shared" si="212"/>
        <v>350</v>
      </c>
      <c r="AR128" s="5">
        <f t="shared" si="160"/>
        <v>2.8571428571428572</v>
      </c>
      <c r="AS128" s="5">
        <f t="shared" si="246"/>
        <v>0.65137217801017133</v>
      </c>
      <c r="AT128" s="5">
        <f t="shared" si="247"/>
        <v>2.2057706791326859</v>
      </c>
      <c r="AU128" s="177">
        <f t="shared" si="248"/>
        <v>0.22798026230355997</v>
      </c>
      <c r="AW128" s="5">
        <f t="shared" si="216"/>
        <v>7.816466136122055E-2</v>
      </c>
      <c r="AX128" s="5"/>
      <c r="AY128" s="5">
        <f t="shared" si="217"/>
        <v>0.73279370026144275</v>
      </c>
      <c r="AZ128" s="5"/>
      <c r="BA128" s="5">
        <f t="shared" si="218"/>
        <v>2.757213348915856E-2</v>
      </c>
      <c r="BB128" s="5"/>
      <c r="BC128" s="5"/>
      <c r="BD128" s="177">
        <f t="shared" si="219"/>
        <v>0.11970876290490921</v>
      </c>
      <c r="BE128" s="177">
        <f t="shared" si="220"/>
        <v>2744.932962137972</v>
      </c>
      <c r="BF128" s="177">
        <f t="shared" si="221"/>
        <v>13553.245639493898</v>
      </c>
      <c r="BG128" s="177"/>
      <c r="BH128" s="538">
        <f t="shared" si="222"/>
        <v>5.0155657706783185E-3</v>
      </c>
      <c r="BI128" s="538">
        <f t="shared" si="223"/>
        <v>528.46324838673854</v>
      </c>
      <c r="BJ128" s="538">
        <f t="shared" si="224"/>
        <v>4.3749999999999995E-3</v>
      </c>
      <c r="BK128" s="538">
        <f t="shared" si="225"/>
        <v>8462830.4513776898</v>
      </c>
      <c r="BL128">
        <f t="shared" si="226"/>
        <v>5.7999999999999996E-3</v>
      </c>
      <c r="BM128">
        <f t="shared" si="227"/>
        <v>1.3124999999999999E-5</v>
      </c>
      <c r="BN128">
        <f t="shared" si="228"/>
        <v>8471197.9389091786</v>
      </c>
      <c r="BO128" s="469">
        <f t="shared" si="229"/>
        <v>8463358929.8166409</v>
      </c>
      <c r="BP128" s="177">
        <f t="shared" si="230"/>
        <v>5.3999999999999994E-3</v>
      </c>
      <c r="BQ128" s="177">
        <f t="shared" si="231"/>
        <v>2.7E-2</v>
      </c>
      <c r="BR128" s="538"/>
      <c r="BT128" s="469">
        <f t="shared" si="232"/>
        <v>32.4</v>
      </c>
      <c r="BU128" s="538">
        <f t="shared" si="233"/>
        <v>1.4330187916223769E-3</v>
      </c>
      <c r="BV128" s="538">
        <f t="shared" si="234"/>
        <v>226039.70899894621</v>
      </c>
      <c r="BW128" s="538">
        <f t="shared" si="235"/>
        <v>9184523.3682230171</v>
      </c>
      <c r="BX128" s="538">
        <f t="shared" si="236"/>
        <v>0</v>
      </c>
      <c r="BY128" s="538">
        <f t="shared" si="180"/>
        <v>-14.000018596148923</v>
      </c>
      <c r="BZ128" s="538">
        <f t="shared" si="166"/>
        <v>9410563.0786549821</v>
      </c>
      <c r="CA128" s="641">
        <f t="shared" si="237"/>
        <v>3.3000000000000004E-3</v>
      </c>
      <c r="CB128" s="469">
        <f t="shared" si="238"/>
        <v>18821112160.591366</v>
      </c>
      <c r="CC128" s="177">
        <f t="shared" si="168"/>
        <v>8471183.9745905828</v>
      </c>
      <c r="CD128" s="5">
        <f t="shared" si="239"/>
        <v>0.99</v>
      </c>
      <c r="CE128" s="177">
        <f t="shared" si="240"/>
        <v>1.1686676706248112E-7</v>
      </c>
      <c r="CF128" s="5">
        <f t="shared" si="241"/>
        <v>1.1686676706248111E-5</v>
      </c>
      <c r="CG128">
        <f t="shared" si="242"/>
        <v>17.999999999999996</v>
      </c>
      <c r="CI128" s="571">
        <f t="shared" si="243"/>
        <v>-50</v>
      </c>
      <c r="CJ128">
        <f t="shared" si="244"/>
        <v>-50</v>
      </c>
    </row>
    <row r="129" spans="5:88" x14ac:dyDescent="0.25">
      <c r="E129" s="174">
        <v>19</v>
      </c>
      <c r="F129" s="221">
        <f t="shared" si="245"/>
        <v>1.9000000000000003E-2</v>
      </c>
      <c r="G129" s="221">
        <f t="shared" si="183"/>
        <v>9.5000000000000001E-2</v>
      </c>
      <c r="H129" s="221">
        <f t="shared" si="184"/>
        <v>0.28500000000000003</v>
      </c>
      <c r="I129" s="221">
        <f t="shared" si="185"/>
        <v>0.76</v>
      </c>
      <c r="J129" s="551">
        <f t="shared" si="186"/>
        <v>20</v>
      </c>
      <c r="K129" s="451">
        <f t="shared" si="187"/>
        <v>695386.58000000007</v>
      </c>
      <c r="L129" s="451">
        <f t="shared" si="188"/>
        <v>695406.58000000007</v>
      </c>
      <c r="M129" s="451"/>
      <c r="N129" s="221">
        <f t="shared" si="189"/>
        <v>0.9999712398464794</v>
      </c>
      <c r="O129" s="176">
        <f t="shared" si="190"/>
        <v>1.8408561460810189</v>
      </c>
      <c r="P129" s="176">
        <f t="shared" si="191"/>
        <v>4.908949722882717</v>
      </c>
      <c r="Q129" s="221">
        <f t="shared" si="192"/>
        <v>0.12272374307206793</v>
      </c>
      <c r="R129" s="221">
        <f t="shared" si="193"/>
        <v>0.23010701826012736</v>
      </c>
      <c r="S129" s="221">
        <f t="shared" si="194"/>
        <v>15</v>
      </c>
      <c r="T129" s="221">
        <f t="shared" si="195"/>
        <v>0.11611445058053575</v>
      </c>
      <c r="U129" s="221">
        <f t="shared" si="196"/>
        <v>0.17417167587080362</v>
      </c>
      <c r="V129" s="221">
        <f t="shared" si="197"/>
        <v>5.0093482065990871E-6</v>
      </c>
      <c r="W129" s="201">
        <f t="shared" si="198"/>
        <v>350</v>
      </c>
      <c r="X129" s="451">
        <f t="shared" si="199"/>
        <v>350</v>
      </c>
      <c r="Z129" s="221">
        <f t="shared" si="200"/>
        <v>1.9047071235171036</v>
      </c>
      <c r="AA129" s="177">
        <f t="shared" si="201"/>
        <v>8.2171867201568798E-5</v>
      </c>
      <c r="AB129" s="177">
        <f t="shared" si="202"/>
        <v>0.34129476953431226</v>
      </c>
      <c r="AC129" s="177"/>
      <c r="AD129" s="177">
        <f t="shared" si="203"/>
        <v>6.4712206554230591E-6</v>
      </c>
      <c r="AE129" s="555">
        <f t="shared" si="204"/>
        <v>3141.7086419753105</v>
      </c>
      <c r="AF129" s="538">
        <f t="shared" si="205"/>
        <v>2.1166825946720815E-3</v>
      </c>
      <c r="AH129" s="177">
        <f t="shared" si="206"/>
        <v>0.44614753058558893</v>
      </c>
      <c r="AI129" s="177">
        <f t="shared" si="207"/>
        <v>0.44614753058558893</v>
      </c>
      <c r="AJ129" s="177">
        <f t="shared" si="208"/>
        <v>1.4193685411745103</v>
      </c>
      <c r="AL129" s="555">
        <f t="shared" si="209"/>
        <v>19.000000000000004</v>
      </c>
      <c r="AM129" s="469">
        <f t="shared" si="210"/>
        <v>350</v>
      </c>
      <c r="AO129" s="469">
        <f t="shared" si="211"/>
        <v>19.000000000000004</v>
      </c>
      <c r="AP129" s="469">
        <f t="shared" si="212"/>
        <v>350</v>
      </c>
      <c r="AR129" s="5">
        <f t="shared" si="160"/>
        <v>2.8571428571428572</v>
      </c>
      <c r="AS129" s="5">
        <f t="shared" si="246"/>
        <v>0.66922129587838342</v>
      </c>
      <c r="AT129" s="5">
        <f t="shared" si="247"/>
        <v>2.1879215612644738</v>
      </c>
      <c r="AU129" s="177">
        <f t="shared" si="248"/>
        <v>0.23422745355743418</v>
      </c>
      <c r="AW129" s="5">
        <f t="shared" si="216"/>
        <v>8.4768030811261927E-2</v>
      </c>
      <c r="AX129" s="5"/>
      <c r="AY129" s="5">
        <f t="shared" si="217"/>
        <v>0.79470028885558042</v>
      </c>
      <c r="AZ129" s="5"/>
      <c r="BA129" s="5">
        <f t="shared" si="218"/>
        <v>2.8868409488906246E-2</v>
      </c>
      <c r="BB129" s="5"/>
      <c r="BC129" s="5"/>
      <c r="BD129" s="177">
        <f t="shared" si="219"/>
        <v>0.12466276769240825</v>
      </c>
      <c r="BE129" s="177">
        <f t="shared" si="220"/>
        <v>2808.7170116658899</v>
      </c>
      <c r="BF129" s="177">
        <f t="shared" si="221"/>
        <v>13868.182617211627</v>
      </c>
      <c r="BG129" s="177"/>
      <c r="BH129" s="538">
        <f t="shared" si="222"/>
        <v>5.4392819770559707E-3</v>
      </c>
      <c r="BI129" s="538">
        <f t="shared" si="223"/>
        <v>542.94437473494713</v>
      </c>
      <c r="BJ129" s="538">
        <f t="shared" si="224"/>
        <v>4.3749999999999995E-3</v>
      </c>
      <c r="BK129" s="538">
        <f t="shared" si="225"/>
        <v>8462830.4513776898</v>
      </c>
      <c r="BL129">
        <f t="shared" si="226"/>
        <v>5.7999999999999996E-3</v>
      </c>
      <c r="BM129">
        <f t="shared" si="227"/>
        <v>1.3124999999999999E-5</v>
      </c>
      <c r="BN129">
        <f t="shared" si="228"/>
        <v>8471875.3416433707</v>
      </c>
      <c r="BO129" s="469">
        <f t="shared" si="229"/>
        <v>8463373411.3667068</v>
      </c>
      <c r="BP129" s="177">
        <f t="shared" si="230"/>
        <v>5.7000000000000011E-3</v>
      </c>
      <c r="BQ129" s="177">
        <f t="shared" si="231"/>
        <v>2.8499999999999998E-2</v>
      </c>
      <c r="BR129" s="538"/>
      <c r="BT129" s="469">
        <f t="shared" si="232"/>
        <v>34.200000000000003</v>
      </c>
      <c r="BU129" s="538">
        <f t="shared" si="233"/>
        <v>1.5540805648731346E-3</v>
      </c>
      <c r="BV129" s="538">
        <f t="shared" si="234"/>
        <v>236666.73754864099</v>
      </c>
      <c r="BW129" s="538">
        <f t="shared" si="235"/>
        <v>9616324.4552165382</v>
      </c>
      <c r="BX129" s="538">
        <f t="shared" si="236"/>
        <v>0</v>
      </c>
      <c r="BY129" s="538">
        <f t="shared" si="180"/>
        <v>-14.000017761126403</v>
      </c>
      <c r="BZ129" s="538">
        <f t="shared" si="166"/>
        <v>9852991.1943192594</v>
      </c>
      <c r="CA129" s="641">
        <f t="shared" si="237"/>
        <v>3.4833333333333326E-3</v>
      </c>
      <c r="CB129" s="469">
        <f t="shared" si="238"/>
        <v>19705968392.104088</v>
      </c>
      <c r="CC129" s="177">
        <f t="shared" si="168"/>
        <v>8471861.3793089427</v>
      </c>
      <c r="CD129" s="5">
        <f t="shared" si="239"/>
        <v>1.0449999999999999</v>
      </c>
      <c r="CE129" s="177">
        <f t="shared" si="240"/>
        <v>1.2334950069556182E-7</v>
      </c>
      <c r="CF129" s="5">
        <f t="shared" si="241"/>
        <v>1.2334950069556182E-5</v>
      </c>
      <c r="CG129">
        <f t="shared" si="242"/>
        <v>19.000000000000004</v>
      </c>
      <c r="CI129" s="571">
        <f t="shared" si="243"/>
        <v>-50</v>
      </c>
      <c r="CJ129">
        <f t="shared" si="244"/>
        <v>-50</v>
      </c>
    </row>
    <row r="130" spans="5:88" x14ac:dyDescent="0.25">
      <c r="E130" s="174">
        <v>20</v>
      </c>
      <c r="F130" s="221">
        <f t="shared" si="245"/>
        <v>2.0000000000000004E-2</v>
      </c>
      <c r="G130" s="221">
        <f t="shared" si="183"/>
        <v>0.1</v>
      </c>
      <c r="H130" s="221">
        <f t="shared" si="184"/>
        <v>0.30000000000000004</v>
      </c>
      <c r="I130" s="221">
        <f t="shared" si="185"/>
        <v>0.8</v>
      </c>
      <c r="J130" s="551">
        <f t="shared" si="186"/>
        <v>20</v>
      </c>
      <c r="K130" s="451">
        <f t="shared" si="187"/>
        <v>695386.58000000007</v>
      </c>
      <c r="L130" s="451">
        <f t="shared" si="188"/>
        <v>695406.58000000007</v>
      </c>
      <c r="M130" s="451"/>
      <c r="N130" s="221">
        <f t="shared" si="189"/>
        <v>0.9999712398464794</v>
      </c>
      <c r="O130" s="176">
        <f t="shared" si="190"/>
        <v>1.8408561460810189</v>
      </c>
      <c r="P130" s="176">
        <f t="shared" si="191"/>
        <v>4.908949722882717</v>
      </c>
      <c r="Q130" s="221">
        <f t="shared" si="192"/>
        <v>0.12272374307206793</v>
      </c>
      <c r="R130" s="221">
        <f t="shared" si="193"/>
        <v>0.23010701826012736</v>
      </c>
      <c r="S130" s="221">
        <f t="shared" si="194"/>
        <v>15</v>
      </c>
      <c r="T130" s="221">
        <f t="shared" si="195"/>
        <v>0.12222573745319555</v>
      </c>
      <c r="U130" s="221">
        <f t="shared" si="196"/>
        <v>0.18333860617979333</v>
      </c>
      <c r="V130" s="221">
        <f t="shared" si="197"/>
        <v>5.2729981122095662E-6</v>
      </c>
      <c r="W130" s="201">
        <f t="shared" si="198"/>
        <v>350</v>
      </c>
      <c r="X130" s="451">
        <f t="shared" si="199"/>
        <v>350</v>
      </c>
      <c r="Z130" s="221">
        <f t="shared" si="200"/>
        <v>1.9047071235171036</v>
      </c>
      <c r="AA130" s="177">
        <f t="shared" si="201"/>
        <v>8.2171867201568798E-5</v>
      </c>
      <c r="AB130" s="177">
        <f t="shared" si="202"/>
        <v>0.34129476953431226</v>
      </c>
      <c r="AC130" s="177"/>
      <c r="AD130" s="177">
        <f t="shared" si="203"/>
        <v>6.4712206554230591E-6</v>
      </c>
      <c r="AE130" s="555">
        <f t="shared" si="204"/>
        <v>3307.0617283950633</v>
      </c>
      <c r="AF130" s="538">
        <f t="shared" si="205"/>
        <v>2.1166825946720815E-3</v>
      </c>
      <c r="AH130" s="177">
        <f t="shared" si="206"/>
        <v>0.45773770821706344</v>
      </c>
      <c r="AI130" s="177">
        <f t="shared" si="207"/>
        <v>0.45773770821706344</v>
      </c>
      <c r="AJ130" s="177">
        <f t="shared" si="208"/>
        <v>1.4279538579385656</v>
      </c>
      <c r="AL130" s="555">
        <f t="shared" si="209"/>
        <v>20.000000000000004</v>
      </c>
      <c r="AM130" s="469">
        <f t="shared" si="210"/>
        <v>350</v>
      </c>
      <c r="AO130" s="469">
        <f t="shared" si="211"/>
        <v>20.000000000000004</v>
      </c>
      <c r="AP130" s="469">
        <f t="shared" si="212"/>
        <v>350</v>
      </c>
      <c r="AR130" s="5">
        <f t="shared" si="160"/>
        <v>2.8571428571428572</v>
      </c>
      <c r="AS130" s="5">
        <f t="shared" si="246"/>
        <v>0.68660656232559525</v>
      </c>
      <c r="AT130" s="5">
        <f t="shared" si="247"/>
        <v>2.170536294817262</v>
      </c>
      <c r="AU130" s="177">
        <f t="shared" si="248"/>
        <v>0.24031229681395833</v>
      </c>
      <c r="AW130" s="5">
        <f t="shared" si="216"/>
        <v>9.1547541643412722E-2</v>
      </c>
      <c r="AX130" s="5"/>
      <c r="AY130" s="5">
        <f t="shared" si="217"/>
        <v>0.85825820290699417</v>
      </c>
      <c r="AZ130" s="5"/>
      <c r="BA130" s="5">
        <f t="shared" si="218"/>
        <v>3.014633742801753E-2</v>
      </c>
      <c r="BB130" s="5"/>
      <c r="BC130" s="5"/>
      <c r="BD130" s="177">
        <f t="shared" si="219"/>
        <v>0.12955198172146573</v>
      </c>
      <c r="BE130" s="177">
        <f t="shared" si="220"/>
        <v>2870.2110634481169</v>
      </c>
      <c r="BF130" s="177">
        <f t="shared" si="221"/>
        <v>14171.812614981462</v>
      </c>
      <c r="BG130" s="177"/>
      <c r="BH130" s="538">
        <f t="shared" si="222"/>
        <v>5.8743005887856468E-3</v>
      </c>
      <c r="BI130" s="538">
        <f t="shared" si="223"/>
        <v>557.04917486446561</v>
      </c>
      <c r="BJ130" s="538">
        <f t="shared" si="224"/>
        <v>4.3749999999999995E-3</v>
      </c>
      <c r="BK130" s="538">
        <f t="shared" si="225"/>
        <v>8462830.4513776898</v>
      </c>
      <c r="BL130">
        <f t="shared" si="226"/>
        <v>5.7999999999999996E-3</v>
      </c>
      <c r="BM130">
        <f t="shared" si="227"/>
        <v>1.3124999999999999E-5</v>
      </c>
      <c r="BN130">
        <f t="shared" si="228"/>
        <v>8472570.1606144272</v>
      </c>
      <c r="BO130" s="469">
        <f t="shared" si="229"/>
        <v>8463387516.6018553</v>
      </c>
      <c r="BP130" s="177">
        <f t="shared" si="230"/>
        <v>6.000000000000001E-3</v>
      </c>
      <c r="BQ130" s="177">
        <f t="shared" si="231"/>
        <v>0.03</v>
      </c>
      <c r="BR130" s="538"/>
      <c r="BT130" s="469">
        <f t="shared" si="232"/>
        <v>36</v>
      </c>
      <c r="BU130" s="538">
        <f t="shared" si="233"/>
        <v>1.6783715967958993E-3</v>
      </c>
      <c r="BV130" s="538">
        <f t="shared" si="234"/>
        <v>247143.34646219909</v>
      </c>
      <c r="BW130" s="538">
        <f t="shared" si="235"/>
        <v>10042013.639707385</v>
      </c>
      <c r="BX130" s="538">
        <f t="shared" si="236"/>
        <v>0</v>
      </c>
      <c r="BY130" s="538">
        <f t="shared" si="180"/>
        <v>-14.000017008216787</v>
      </c>
      <c r="BZ130" s="538">
        <f t="shared" si="166"/>
        <v>10289156.987847956</v>
      </c>
      <c r="CA130" s="641">
        <f t="shared" si="237"/>
        <v>3.6666666666666666E-3</v>
      </c>
      <c r="CB130" s="469">
        <f t="shared" si="238"/>
        <v>20578299979.34557</v>
      </c>
      <c r="CC130" s="177">
        <f t="shared" si="168"/>
        <v>8472556.2002640851</v>
      </c>
      <c r="CD130" s="5">
        <f t="shared" si="239"/>
        <v>1.1000000000000001</v>
      </c>
      <c r="CE130" s="177">
        <f t="shared" si="240"/>
        <v>1.2983093073512926E-7</v>
      </c>
      <c r="CF130" s="5">
        <f t="shared" si="241"/>
        <v>1.2983093073512926E-5</v>
      </c>
      <c r="CG130">
        <f t="shared" si="242"/>
        <v>20.000000000000004</v>
      </c>
      <c r="CI130" s="571">
        <f t="shared" si="243"/>
        <v>-50</v>
      </c>
      <c r="CJ130">
        <f t="shared" si="244"/>
        <v>-50</v>
      </c>
    </row>
    <row r="131" spans="5:88" x14ac:dyDescent="0.25">
      <c r="E131" s="174">
        <v>21</v>
      </c>
      <c r="F131" s="221">
        <f t="shared" si="245"/>
        <v>2.1000000000000001E-2</v>
      </c>
      <c r="G131" s="221">
        <f t="shared" si="183"/>
        <v>0.105</v>
      </c>
      <c r="H131" s="221">
        <f t="shared" si="184"/>
        <v>0.315</v>
      </c>
      <c r="I131" s="221">
        <f t="shared" si="185"/>
        <v>0.84</v>
      </c>
      <c r="J131" s="551">
        <f t="shared" si="186"/>
        <v>20</v>
      </c>
      <c r="K131" s="451">
        <f t="shared" si="187"/>
        <v>695386.58000000007</v>
      </c>
      <c r="L131" s="451">
        <f t="shared" si="188"/>
        <v>695406.58000000007</v>
      </c>
      <c r="M131" s="451"/>
      <c r="N131" s="221">
        <f t="shared" si="189"/>
        <v>0.9999712398464794</v>
      </c>
      <c r="O131" s="176">
        <f t="shared" si="190"/>
        <v>1.8408561460810189</v>
      </c>
      <c r="P131" s="176">
        <f t="shared" si="191"/>
        <v>4.908949722882717</v>
      </c>
      <c r="Q131" s="221">
        <f t="shared" si="192"/>
        <v>0.12272374307206793</v>
      </c>
      <c r="R131" s="221">
        <f t="shared" si="193"/>
        <v>0.23010701826012736</v>
      </c>
      <c r="S131" s="221">
        <f t="shared" si="194"/>
        <v>15</v>
      </c>
      <c r="T131" s="221">
        <f t="shared" si="195"/>
        <v>0.12833702432585531</v>
      </c>
      <c r="U131" s="221">
        <f t="shared" si="196"/>
        <v>0.19250553648878299</v>
      </c>
      <c r="V131" s="221">
        <f t="shared" si="197"/>
        <v>5.5366480178200427E-6</v>
      </c>
      <c r="W131" s="201">
        <f t="shared" si="198"/>
        <v>350</v>
      </c>
      <c r="X131" s="451">
        <f t="shared" si="199"/>
        <v>350</v>
      </c>
      <c r="Z131" s="221">
        <f t="shared" si="200"/>
        <v>1.9047071235171036</v>
      </c>
      <c r="AA131" s="177">
        <f t="shared" si="201"/>
        <v>8.2171867201568798E-5</v>
      </c>
      <c r="AB131" s="177">
        <f t="shared" si="202"/>
        <v>0.34129476953431226</v>
      </c>
      <c r="AC131" s="177"/>
      <c r="AD131" s="177">
        <f t="shared" si="203"/>
        <v>6.4712206554230591E-6</v>
      </c>
      <c r="AE131" s="555">
        <f t="shared" si="204"/>
        <v>3472.4148148148156</v>
      </c>
      <c r="AF131" s="538">
        <f t="shared" si="205"/>
        <v>2.1166825946720815E-3</v>
      </c>
      <c r="AH131" s="177">
        <f t="shared" si="206"/>
        <v>0.46904157598234297</v>
      </c>
      <c r="AI131" s="177">
        <f t="shared" si="207"/>
        <v>0.46904157598234297</v>
      </c>
      <c r="AJ131" s="177">
        <f t="shared" si="208"/>
        <v>1.4363270933202541</v>
      </c>
      <c r="AL131" s="555">
        <f t="shared" si="209"/>
        <v>21</v>
      </c>
      <c r="AM131" s="469">
        <f t="shared" si="210"/>
        <v>350</v>
      </c>
      <c r="AO131" s="469">
        <f t="shared" si="211"/>
        <v>21</v>
      </c>
      <c r="AP131" s="469">
        <f t="shared" si="212"/>
        <v>350</v>
      </c>
      <c r="AR131" s="5">
        <f t="shared" si="160"/>
        <v>2.8571428571428572</v>
      </c>
      <c r="AS131" s="5">
        <f t="shared" si="246"/>
        <v>0.70356236397351457</v>
      </c>
      <c r="AT131" s="5">
        <f t="shared" si="247"/>
        <v>2.1535804931693425</v>
      </c>
      <c r="AU131" s="177">
        <f t="shared" si="248"/>
        <v>0.24624682739073009</v>
      </c>
      <c r="AW131" s="5">
        <f t="shared" si="216"/>
        <v>9.8498730956292038E-2</v>
      </c>
      <c r="AX131" s="5"/>
      <c r="AY131" s="5">
        <f t="shared" si="217"/>
        <v>0.92342560271523788</v>
      </c>
      <c r="AZ131" s="5"/>
      <c r="BA131" s="5">
        <f t="shared" si="218"/>
        <v>3.1406382192052905E-2</v>
      </c>
      <c r="BB131" s="5"/>
      <c r="BC131" s="5"/>
      <c r="BD131" s="177">
        <f t="shared" si="219"/>
        <v>0.13438043263555974</v>
      </c>
      <c r="BE131" s="177">
        <f t="shared" si="220"/>
        <v>2929.5810105888027</v>
      </c>
      <c r="BF131" s="177">
        <f t="shared" si="221"/>
        <v>14464.954738414137</v>
      </c>
      <c r="BG131" s="177"/>
      <c r="BH131" s="538">
        <f t="shared" si="222"/>
        <v>6.320335236362073E-3</v>
      </c>
      <c r="BI131" s="538">
        <f t="shared" si="223"/>
        <v>570.80554690545978</v>
      </c>
      <c r="BJ131" s="538">
        <f t="shared" si="224"/>
        <v>4.3749999999999995E-3</v>
      </c>
      <c r="BK131" s="538">
        <f t="shared" si="225"/>
        <v>8462830.4513776898</v>
      </c>
      <c r="BL131">
        <f t="shared" si="226"/>
        <v>5.7999999999999996E-3</v>
      </c>
      <c r="BM131">
        <f t="shared" si="227"/>
        <v>1.3124999999999999E-5</v>
      </c>
      <c r="BN131">
        <f t="shared" si="228"/>
        <v>8473281.9840929173</v>
      </c>
      <c r="BO131" s="469">
        <f t="shared" si="229"/>
        <v>8463401273.4199295</v>
      </c>
      <c r="BP131" s="177">
        <f t="shared" si="230"/>
        <v>6.3E-3</v>
      </c>
      <c r="BQ131" s="177">
        <f t="shared" si="231"/>
        <v>3.15E-2</v>
      </c>
      <c r="BR131" s="538"/>
      <c r="BT131" s="469">
        <f t="shared" si="232"/>
        <v>37.799999999999997</v>
      </c>
      <c r="BU131" s="538">
        <f t="shared" si="233"/>
        <v>1.8058100675320211E-3</v>
      </c>
      <c r="BV131" s="538">
        <f t="shared" si="234"/>
        <v>257473.34692807528</v>
      </c>
      <c r="BW131" s="538">
        <f t="shared" si="235"/>
        <v>10461745.77921848</v>
      </c>
      <c r="BX131" s="538">
        <f t="shared" si="236"/>
        <v>0</v>
      </c>
      <c r="BY131" s="538">
        <f t="shared" si="180"/>
        <v>-14.000016325835118</v>
      </c>
      <c r="BZ131" s="538">
        <f t="shared" si="166"/>
        <v>10719219.127952365</v>
      </c>
      <c r="CA131" s="641">
        <f t="shared" si="237"/>
        <v>3.8500000000000014E-3</v>
      </c>
      <c r="CB131" s="469">
        <f t="shared" si="238"/>
        <v>21438424259.738403</v>
      </c>
      <c r="CC131" s="177">
        <f t="shared" si="168"/>
        <v>8473268.0257265922</v>
      </c>
      <c r="CD131" s="5">
        <f t="shared" si="239"/>
        <v>1.155</v>
      </c>
      <c r="CE131" s="177">
        <f t="shared" si="240"/>
        <v>1.3631102415903156E-7</v>
      </c>
      <c r="CF131" s="5">
        <f t="shared" si="241"/>
        <v>1.3631102415903156E-5</v>
      </c>
      <c r="CG131">
        <f t="shared" si="242"/>
        <v>21</v>
      </c>
      <c r="CI131" s="571">
        <f t="shared" si="243"/>
        <v>-50</v>
      </c>
      <c r="CJ131">
        <f t="shared" si="244"/>
        <v>-50</v>
      </c>
    </row>
    <row r="132" spans="5:88" x14ac:dyDescent="0.25">
      <c r="E132" s="174">
        <v>22</v>
      </c>
      <c r="F132" s="221">
        <f t="shared" si="245"/>
        <v>2.2000000000000002E-2</v>
      </c>
      <c r="G132" s="221">
        <f t="shared" si="183"/>
        <v>0.11</v>
      </c>
      <c r="H132" s="221">
        <f t="shared" si="184"/>
        <v>0.33</v>
      </c>
      <c r="I132" s="221">
        <f t="shared" si="185"/>
        <v>0.88</v>
      </c>
      <c r="J132" s="551">
        <f t="shared" si="186"/>
        <v>20</v>
      </c>
      <c r="K132" s="451">
        <f t="shared" si="187"/>
        <v>695386.58000000007</v>
      </c>
      <c r="L132" s="451">
        <f t="shared" si="188"/>
        <v>695406.58000000007</v>
      </c>
      <c r="M132" s="451"/>
      <c r="N132" s="221">
        <f t="shared" si="189"/>
        <v>0.9999712398464794</v>
      </c>
      <c r="O132" s="176">
        <f t="shared" si="190"/>
        <v>1.8408561460810189</v>
      </c>
      <c r="P132" s="176">
        <f t="shared" si="191"/>
        <v>4.908949722882717</v>
      </c>
      <c r="Q132" s="221">
        <f t="shared" si="192"/>
        <v>0.12272374307206793</v>
      </c>
      <c r="R132" s="221">
        <f t="shared" si="193"/>
        <v>0.23010701826012736</v>
      </c>
      <c r="S132" s="221">
        <f t="shared" si="194"/>
        <v>15</v>
      </c>
      <c r="T132" s="221">
        <f t="shared" si="195"/>
        <v>0.13444831119851508</v>
      </c>
      <c r="U132" s="221">
        <f t="shared" si="196"/>
        <v>0.20167246679777262</v>
      </c>
      <c r="V132" s="221">
        <f t="shared" si="197"/>
        <v>5.800297923430521E-6</v>
      </c>
      <c r="W132" s="201">
        <f t="shared" si="198"/>
        <v>350</v>
      </c>
      <c r="X132" s="451">
        <f t="shared" si="199"/>
        <v>350</v>
      </c>
      <c r="Z132" s="221">
        <f t="shared" si="200"/>
        <v>1.9047071235171036</v>
      </c>
      <c r="AA132" s="177">
        <f t="shared" si="201"/>
        <v>8.2171867201568798E-5</v>
      </c>
      <c r="AB132" s="177">
        <f t="shared" si="202"/>
        <v>0.34129476953431226</v>
      </c>
      <c r="AC132" s="177"/>
      <c r="AD132" s="177">
        <f t="shared" si="203"/>
        <v>6.4712206554230591E-6</v>
      </c>
      <c r="AE132" s="555">
        <f t="shared" si="204"/>
        <v>3637.7679012345689</v>
      </c>
      <c r="AF132" s="538">
        <f t="shared" si="205"/>
        <v>2.1166825946720815E-3</v>
      </c>
      <c r="AH132" s="177">
        <f t="shared" si="206"/>
        <v>0.48007935851918326</v>
      </c>
      <c r="AI132" s="177">
        <f t="shared" si="207"/>
        <v>0.48007935851918326</v>
      </c>
      <c r="AJ132" s="177">
        <f t="shared" si="208"/>
        <v>1.4445032285327284</v>
      </c>
      <c r="AL132" s="555">
        <f t="shared" si="209"/>
        <v>22.000000000000004</v>
      </c>
      <c r="AM132" s="469">
        <f t="shared" si="210"/>
        <v>350</v>
      </c>
      <c r="AO132" s="469">
        <f t="shared" si="211"/>
        <v>22.000000000000004</v>
      </c>
      <c r="AP132" s="469">
        <f t="shared" si="212"/>
        <v>350</v>
      </c>
      <c r="AR132" s="5">
        <f t="shared" si="160"/>
        <v>2.8571428571428572</v>
      </c>
      <c r="AS132" s="5">
        <f t="shared" si="246"/>
        <v>0.72011903777877495</v>
      </c>
      <c r="AT132" s="5">
        <f t="shared" si="247"/>
        <v>2.1370238193640825</v>
      </c>
      <c r="AU132" s="177">
        <f t="shared" si="248"/>
        <v>0.25204166322257121</v>
      </c>
      <c r="AW132" s="5">
        <f t="shared" si="216"/>
        <v>0.10561745887422033</v>
      </c>
      <c r="AX132" s="5"/>
      <c r="AY132" s="5">
        <f t="shared" si="217"/>
        <v>0.99016367694581542</v>
      </c>
      <c r="AZ132" s="5"/>
      <c r="BA132" s="5">
        <f t="shared" si="218"/>
        <v>3.2648975018062368E-2</v>
      </c>
      <c r="BB132" s="5"/>
      <c r="BC132" s="5"/>
      <c r="BD132" s="177">
        <f t="shared" si="219"/>
        <v>0.13915171861535544</v>
      </c>
      <c r="BE132" s="177">
        <f t="shared" si="220"/>
        <v>2986.9732410370152</v>
      </c>
      <c r="BF132" s="177">
        <f t="shared" si="221"/>
        <v>14748.331785428507</v>
      </c>
      <c r="BG132" s="177"/>
      <c r="BH132" s="538">
        <f t="shared" si="222"/>
        <v>6.7771202777624703E-3</v>
      </c>
      <c r="BI132" s="538">
        <f t="shared" si="223"/>
        <v>584.23810346373352</v>
      </c>
      <c r="BJ132" s="538">
        <f t="shared" si="224"/>
        <v>4.3749999999999995E-3</v>
      </c>
      <c r="BK132" s="538">
        <f t="shared" si="225"/>
        <v>8462830.4513776898</v>
      </c>
      <c r="BL132">
        <f t="shared" si="226"/>
        <v>5.7999999999999996E-3</v>
      </c>
      <c r="BM132">
        <f t="shared" si="227"/>
        <v>1.3124999999999999E-5</v>
      </c>
      <c r="BN132">
        <f t="shared" si="228"/>
        <v>8474010.4294316769</v>
      </c>
      <c r="BO132" s="469">
        <f t="shared" si="229"/>
        <v>8463414706.4332743</v>
      </c>
      <c r="BP132" s="177">
        <f t="shared" si="230"/>
        <v>6.6000000000000008E-3</v>
      </c>
      <c r="BQ132" s="177">
        <f t="shared" si="231"/>
        <v>3.3000000000000002E-2</v>
      </c>
      <c r="BR132" s="538"/>
      <c r="BT132" s="469">
        <f t="shared" si="232"/>
        <v>39.6</v>
      </c>
      <c r="BU132" s="538">
        <f t="shared" si="233"/>
        <v>1.936320079360706E-3</v>
      </c>
      <c r="BV132" s="538">
        <f t="shared" si="234"/>
        <v>267660.27428013511</v>
      </c>
      <c r="BW132" s="538">
        <f t="shared" si="235"/>
        <v>10875664.522654042</v>
      </c>
      <c r="BX132" s="538">
        <f t="shared" si="236"/>
        <v>0</v>
      </c>
      <c r="BY132" s="538">
        <f t="shared" si="180"/>
        <v>-14.000015704486719</v>
      </c>
      <c r="BZ132" s="538">
        <f t="shared" si="166"/>
        <v>11143324.798870496</v>
      </c>
      <c r="CA132" s="641">
        <f t="shared" si="237"/>
        <v>4.0333333333333341E-3</v>
      </c>
      <c r="CB132" s="469">
        <f t="shared" si="238"/>
        <v>22286635601.758621</v>
      </c>
      <c r="CC132" s="177">
        <f t="shared" si="168"/>
        <v>8473996.4730493054</v>
      </c>
      <c r="CD132" s="5">
        <f t="shared" si="239"/>
        <v>1.21</v>
      </c>
      <c r="CE132" s="177">
        <f t="shared" si="240"/>
        <v>1.4278974874165769E-7</v>
      </c>
      <c r="CF132" s="5">
        <f t="shared" si="241"/>
        <v>1.427897487416577E-5</v>
      </c>
      <c r="CG132">
        <f t="shared" si="242"/>
        <v>22</v>
      </c>
      <c r="CI132" s="571">
        <f t="shared" si="243"/>
        <v>-50</v>
      </c>
      <c r="CJ132">
        <f t="shared" si="244"/>
        <v>-50</v>
      </c>
    </row>
    <row r="133" spans="5:88" x14ac:dyDescent="0.25">
      <c r="E133" s="174">
        <v>23</v>
      </c>
      <c r="F133" s="221">
        <f t="shared" si="245"/>
        <v>2.3000000000000003E-2</v>
      </c>
      <c r="G133" s="221">
        <f t="shared" si="183"/>
        <v>0.115</v>
      </c>
      <c r="H133" s="221">
        <f t="shared" si="184"/>
        <v>0.34500000000000003</v>
      </c>
      <c r="I133" s="221">
        <f t="shared" si="185"/>
        <v>0.92</v>
      </c>
      <c r="J133" s="551">
        <f t="shared" si="186"/>
        <v>20</v>
      </c>
      <c r="K133" s="451">
        <f t="shared" si="187"/>
        <v>695386.58000000007</v>
      </c>
      <c r="L133" s="451">
        <f t="shared" si="188"/>
        <v>695406.58000000007</v>
      </c>
      <c r="M133" s="451"/>
      <c r="N133" s="221">
        <f t="shared" si="189"/>
        <v>0.9999712398464794</v>
      </c>
      <c r="O133" s="176">
        <f t="shared" si="190"/>
        <v>1.8408561460810189</v>
      </c>
      <c r="P133" s="176">
        <f t="shared" si="191"/>
        <v>4.908949722882717</v>
      </c>
      <c r="Q133" s="221">
        <f t="shared" si="192"/>
        <v>0.12272374307206793</v>
      </c>
      <c r="R133" s="221">
        <f t="shared" si="193"/>
        <v>0.23010701826012736</v>
      </c>
      <c r="S133" s="221">
        <f t="shared" si="194"/>
        <v>15</v>
      </c>
      <c r="T133" s="221">
        <f t="shared" si="195"/>
        <v>0.14055959807117488</v>
      </c>
      <c r="U133" s="221">
        <f t="shared" si="196"/>
        <v>0.21083939710676233</v>
      </c>
      <c r="V133" s="221">
        <f t="shared" si="197"/>
        <v>6.063947829041E-6</v>
      </c>
      <c r="W133" s="201">
        <f t="shared" si="198"/>
        <v>350</v>
      </c>
      <c r="X133" s="451">
        <f t="shared" si="199"/>
        <v>350</v>
      </c>
      <c r="Z133" s="221">
        <f t="shared" si="200"/>
        <v>1.9047071235171036</v>
      </c>
      <c r="AA133" s="177">
        <f t="shared" si="201"/>
        <v>8.2171867201568798E-5</v>
      </c>
      <c r="AB133" s="177">
        <f t="shared" si="202"/>
        <v>0.34129476953431226</v>
      </c>
      <c r="AC133" s="177"/>
      <c r="AD133" s="177">
        <f t="shared" si="203"/>
        <v>6.4712206554230591E-6</v>
      </c>
      <c r="AE133" s="555">
        <f t="shared" si="204"/>
        <v>3803.1209876543221</v>
      </c>
      <c r="AF133" s="538">
        <f t="shared" si="205"/>
        <v>2.1166825946720815E-3</v>
      </c>
      <c r="AH133" s="177">
        <f t="shared" si="206"/>
        <v>0.49086900589911048</v>
      </c>
      <c r="AI133" s="177">
        <f t="shared" si="207"/>
        <v>0.49086900589911048</v>
      </c>
      <c r="AJ133" s="177">
        <f t="shared" si="208"/>
        <v>1.4524955599252669</v>
      </c>
      <c r="AL133" s="555">
        <f t="shared" si="209"/>
        <v>23.000000000000004</v>
      </c>
      <c r="AM133" s="469">
        <f t="shared" si="210"/>
        <v>350</v>
      </c>
      <c r="AO133" s="469">
        <f t="shared" si="211"/>
        <v>23.000000000000004</v>
      </c>
      <c r="AP133" s="469">
        <f t="shared" si="212"/>
        <v>350</v>
      </c>
      <c r="AR133" s="5">
        <f t="shared" si="160"/>
        <v>2.8571428571428572</v>
      </c>
      <c r="AS133" s="5">
        <f t="shared" si="246"/>
        <v>0.7363035088486658</v>
      </c>
      <c r="AT133" s="5">
        <f t="shared" si="247"/>
        <v>2.1208393482941914</v>
      </c>
      <c r="AU133" s="177">
        <f t="shared" si="248"/>
        <v>0.25770622809703303</v>
      </c>
      <c r="AW133" s="5">
        <f t="shared" si="216"/>
        <v>0.11289987135679543</v>
      </c>
      <c r="AX133" s="5"/>
      <c r="AY133" s="5">
        <f t="shared" si="217"/>
        <v>1.0584362939699572</v>
      </c>
      <c r="AZ133" s="5"/>
      <c r="BA133" s="5">
        <f t="shared" si="218"/>
        <v>3.3874517368587778E-2</v>
      </c>
      <c r="BB133" s="5"/>
      <c r="BC133" s="5"/>
      <c r="BD133" s="177">
        <f t="shared" si="219"/>
        <v>0.14386907155030168</v>
      </c>
      <c r="BE133" s="177">
        <f t="shared" si="220"/>
        <v>3042.5177060958395</v>
      </c>
      <c r="BF133" s="177">
        <f t="shared" si="221"/>
        <v>15022.5853971707</v>
      </c>
      <c r="BG133" s="177"/>
      <c r="BH133" s="538">
        <f t="shared" si="222"/>
        <v>7.244408412061038E-3</v>
      </c>
      <c r="BI133" s="538">
        <f t="shared" si="223"/>
        <v>597.36868908552549</v>
      </c>
      <c r="BJ133" s="538">
        <f t="shared" si="224"/>
        <v>4.3749999999999995E-3</v>
      </c>
      <c r="BK133" s="538">
        <f t="shared" si="225"/>
        <v>8462830.4513776898</v>
      </c>
      <c r="BL133">
        <f t="shared" si="226"/>
        <v>5.7999999999999996E-3</v>
      </c>
      <c r="BM133">
        <f t="shared" si="227"/>
        <v>1.3124999999999999E-5</v>
      </c>
      <c r="BN133">
        <f t="shared" si="228"/>
        <v>8474755.1398572773</v>
      </c>
      <c r="BO133" s="469">
        <f t="shared" si="229"/>
        <v>8463427837.4861832</v>
      </c>
      <c r="BP133" s="177">
        <f t="shared" si="230"/>
        <v>6.9000000000000008E-3</v>
      </c>
      <c r="BQ133" s="177">
        <f t="shared" si="231"/>
        <v>3.4500000000000003E-2</v>
      </c>
      <c r="BR133" s="538"/>
      <c r="BT133" s="469">
        <f t="shared" si="232"/>
        <v>41.400000000000006</v>
      </c>
      <c r="BU133" s="538">
        <f t="shared" si="233"/>
        <v>2.0698309748745825E-3</v>
      </c>
      <c r="BV133" s="538">
        <f t="shared" si="234"/>
        <v>277707.4197572007</v>
      </c>
      <c r="BW133" s="538">
        <f t="shared" si="235"/>
        <v>11283903.600764319</v>
      </c>
      <c r="BX133" s="538">
        <f t="shared" si="236"/>
        <v>0</v>
      </c>
      <c r="BY133" s="538">
        <f t="shared" si="180"/>
        <v>-14.000015136315248</v>
      </c>
      <c r="BZ133" s="538">
        <f t="shared" si="166"/>
        <v>11561611.022591351</v>
      </c>
      <c r="CA133" s="641">
        <f t="shared" si="237"/>
        <v>4.2166666666666672E-3</v>
      </c>
      <c r="CB133" s="469">
        <f t="shared" si="238"/>
        <v>23123208049.384232</v>
      </c>
      <c r="CC133" s="177">
        <f t="shared" si="168"/>
        <v>8474741.1854588073</v>
      </c>
      <c r="CD133" s="5">
        <f t="shared" si="239"/>
        <v>1.2650000000000001</v>
      </c>
      <c r="CE133" s="177">
        <f t="shared" si="240"/>
        <v>1.4926707299895766E-7</v>
      </c>
      <c r="CF133" s="5">
        <f t="shared" si="241"/>
        <v>1.4926707299895765E-5</v>
      </c>
      <c r="CG133">
        <f t="shared" si="242"/>
        <v>23</v>
      </c>
      <c r="CI133" s="571">
        <f t="shared" si="243"/>
        <v>-50</v>
      </c>
      <c r="CJ133">
        <f t="shared" si="244"/>
        <v>-50</v>
      </c>
    </row>
    <row r="134" spans="5:88" x14ac:dyDescent="0.25">
      <c r="E134" s="174">
        <v>24</v>
      </c>
      <c r="F134" s="221">
        <f t="shared" si="245"/>
        <v>2.4E-2</v>
      </c>
      <c r="G134" s="221">
        <f t="shared" si="183"/>
        <v>0.12</v>
      </c>
      <c r="H134" s="221">
        <f t="shared" si="184"/>
        <v>0.36</v>
      </c>
      <c r="I134" s="221">
        <f t="shared" si="185"/>
        <v>0.96</v>
      </c>
      <c r="J134" s="551">
        <f t="shared" si="186"/>
        <v>20</v>
      </c>
      <c r="K134" s="451">
        <f t="shared" si="187"/>
        <v>695386.58000000007</v>
      </c>
      <c r="L134" s="451">
        <f t="shared" si="188"/>
        <v>695406.58000000007</v>
      </c>
      <c r="M134" s="451"/>
      <c r="N134" s="221">
        <f t="shared" si="189"/>
        <v>0.9999712398464794</v>
      </c>
      <c r="O134" s="176">
        <f t="shared" si="190"/>
        <v>1.8408561460810189</v>
      </c>
      <c r="P134" s="176">
        <f t="shared" si="191"/>
        <v>4.908949722882717</v>
      </c>
      <c r="Q134" s="221">
        <f t="shared" si="192"/>
        <v>0.12272374307206793</v>
      </c>
      <c r="R134" s="221">
        <f t="shared" si="193"/>
        <v>0.23010701826012736</v>
      </c>
      <c r="S134" s="221">
        <f t="shared" si="194"/>
        <v>15</v>
      </c>
      <c r="T134" s="221">
        <f t="shared" si="195"/>
        <v>0.14667088494383462</v>
      </c>
      <c r="U134" s="221">
        <f t="shared" si="196"/>
        <v>0.22000632741575193</v>
      </c>
      <c r="V134" s="221">
        <f t="shared" si="197"/>
        <v>6.3275977346514766E-6</v>
      </c>
      <c r="W134" s="201">
        <f t="shared" si="198"/>
        <v>350</v>
      </c>
      <c r="X134" s="451">
        <f t="shared" si="199"/>
        <v>350</v>
      </c>
      <c r="Z134" s="221">
        <f t="shared" si="200"/>
        <v>1.9047071235171036</v>
      </c>
      <c r="AA134" s="177">
        <f t="shared" si="201"/>
        <v>8.2171867201568798E-5</v>
      </c>
      <c r="AB134" s="177">
        <f t="shared" si="202"/>
        <v>0.34129476953431226</v>
      </c>
      <c r="AC134" s="177"/>
      <c r="AD134" s="177">
        <f t="shared" si="203"/>
        <v>6.4712206554230591E-6</v>
      </c>
      <c r="AE134" s="555">
        <f t="shared" si="204"/>
        <v>3968.4740740740758</v>
      </c>
      <c r="AF134" s="538">
        <f t="shared" si="205"/>
        <v>2.1166825946720815E-3</v>
      </c>
      <c r="AH134" s="177">
        <f t="shared" si="206"/>
        <v>0.50142653642240698</v>
      </c>
      <c r="AI134" s="177">
        <f t="shared" si="207"/>
        <v>0.50142653642240698</v>
      </c>
      <c r="AJ134" s="177">
        <f t="shared" si="208"/>
        <v>1.4603159529054865</v>
      </c>
      <c r="AL134" s="555">
        <f t="shared" si="209"/>
        <v>24</v>
      </c>
      <c r="AM134" s="469">
        <f t="shared" si="210"/>
        <v>350</v>
      </c>
      <c r="AO134" s="469">
        <f t="shared" si="211"/>
        <v>24</v>
      </c>
      <c r="AP134" s="469">
        <f t="shared" si="212"/>
        <v>350</v>
      </c>
      <c r="AR134" s="5">
        <f t="shared" ref="AR134:AR197" si="249">1/AM134*1000</f>
        <v>2.8571428571428572</v>
      </c>
      <c r="AS134" s="5">
        <f t="shared" si="246"/>
        <v>0.75213980463361041</v>
      </c>
      <c r="AT134" s="5">
        <f t="shared" si="247"/>
        <v>2.1050030525092467</v>
      </c>
      <c r="AU134" s="177">
        <f t="shared" si="248"/>
        <v>0.26324893162176366</v>
      </c>
      <c r="AW134" s="5">
        <f t="shared" si="216"/>
        <v>0.12034236874137766</v>
      </c>
      <c r="AX134" s="5"/>
      <c r="AY134" s="5">
        <f t="shared" si="217"/>
        <v>1.1282097069504156</v>
      </c>
      <c r="AZ134" s="5"/>
      <c r="BA134" s="5">
        <f t="shared" si="218"/>
        <v>3.5083384208487431E-2</v>
      </c>
      <c r="BB134" s="5"/>
      <c r="BC134" s="5"/>
      <c r="BD134" s="177">
        <f t="shared" si="219"/>
        <v>0.14853540858187958</v>
      </c>
      <c r="BE134" s="177">
        <f t="shared" si="220"/>
        <v>3096.3303945523216</v>
      </c>
      <c r="BF134" s="177">
        <f t="shared" si="221"/>
        <v>15288.288274156152</v>
      </c>
      <c r="BG134" s="177"/>
      <c r="BH134" s="538">
        <f t="shared" si="222"/>
        <v>7.721968660905066E-3</v>
      </c>
      <c r="BI134" s="538">
        <f t="shared" si="223"/>
        <v>610.21679742581523</v>
      </c>
      <c r="BJ134" s="538">
        <f t="shared" si="224"/>
        <v>4.3749999999999995E-3</v>
      </c>
      <c r="BK134" s="538">
        <f t="shared" si="225"/>
        <v>8462830.4513776898</v>
      </c>
      <c r="BL134">
        <f t="shared" si="226"/>
        <v>5.7999999999999996E-3</v>
      </c>
      <c r="BM134">
        <f t="shared" si="227"/>
        <v>1.3124999999999999E-5</v>
      </c>
      <c r="BN134">
        <f t="shared" si="228"/>
        <v>8475515.7817355879</v>
      </c>
      <c r="BO134" s="469">
        <f t="shared" si="229"/>
        <v>8463440686.0720835</v>
      </c>
      <c r="BP134" s="177">
        <f t="shared" si="230"/>
        <v>7.1999999999999998E-3</v>
      </c>
      <c r="BQ134" s="177">
        <f t="shared" si="231"/>
        <v>3.5999999999999997E-2</v>
      </c>
      <c r="BR134" s="538"/>
      <c r="BT134" s="469">
        <f t="shared" si="232"/>
        <v>43.199999999999996</v>
      </c>
      <c r="BU134" s="538">
        <f t="shared" si="233"/>
        <v>2.2062767602585905E-3</v>
      </c>
      <c r="BV134" s="538">
        <f t="shared" si="234"/>
        <v>287617.85736685607</v>
      </c>
      <c r="BW134" s="538">
        <f t="shared" si="235"/>
        <v>11686587.917685024</v>
      </c>
      <c r="BX134" s="538">
        <f t="shared" si="236"/>
        <v>0</v>
      </c>
      <c r="BY134" s="538">
        <f t="shared" si="180"/>
        <v>-14.000014614763263</v>
      </c>
      <c r="BZ134" s="538">
        <f t="shared" ref="BZ134:BZ197" si="250">SUM(BU134:BX134)</f>
        <v>11974205.777258158</v>
      </c>
      <c r="CA134" s="641">
        <f t="shared" si="237"/>
        <v>4.4000000000000003E-3</v>
      </c>
      <c r="CB134" s="469">
        <f t="shared" si="238"/>
        <v>23948397558.901703</v>
      </c>
      <c r="CC134" s="177">
        <f t="shared" ref="CC134:CC197" si="251">SUM(BN134,BP134:BS134,BY134, CA134)</f>
        <v>8475501.8293209746</v>
      </c>
      <c r="CD134" s="5">
        <f t="shared" si="239"/>
        <v>1.3199999999999998</v>
      </c>
      <c r="CE134" s="177">
        <f t="shared" si="240"/>
        <v>1.5574296613950916E-7</v>
      </c>
      <c r="CF134" s="5">
        <f t="shared" si="241"/>
        <v>1.5574296613950917E-5</v>
      </c>
      <c r="CG134">
        <f t="shared" si="242"/>
        <v>24</v>
      </c>
      <c r="CI134" s="571">
        <f t="shared" si="243"/>
        <v>-50</v>
      </c>
      <c r="CJ134">
        <f t="shared" si="244"/>
        <v>-50</v>
      </c>
    </row>
    <row r="135" spans="5:88" x14ac:dyDescent="0.25">
      <c r="E135" s="174">
        <v>25</v>
      </c>
      <c r="F135" s="221">
        <f t="shared" si="245"/>
        <v>2.5000000000000001E-2</v>
      </c>
      <c r="G135" s="221">
        <f t="shared" si="183"/>
        <v>0.125</v>
      </c>
      <c r="H135" s="221">
        <f t="shared" si="184"/>
        <v>0.375</v>
      </c>
      <c r="I135" s="221">
        <f t="shared" si="185"/>
        <v>1</v>
      </c>
      <c r="J135" s="551">
        <f t="shared" si="186"/>
        <v>20</v>
      </c>
      <c r="K135" s="451">
        <f t="shared" si="187"/>
        <v>695386.58000000007</v>
      </c>
      <c r="L135" s="451">
        <f t="shared" si="188"/>
        <v>695406.58000000007</v>
      </c>
      <c r="M135" s="451"/>
      <c r="N135" s="221">
        <f t="shared" si="189"/>
        <v>0.9999712398464794</v>
      </c>
      <c r="O135" s="176">
        <f t="shared" si="190"/>
        <v>1.8408561460810189</v>
      </c>
      <c r="P135" s="176">
        <f t="shared" si="191"/>
        <v>4.908949722882717</v>
      </c>
      <c r="Q135" s="221">
        <f t="shared" si="192"/>
        <v>0.12272374307206793</v>
      </c>
      <c r="R135" s="221">
        <f t="shared" si="193"/>
        <v>0.23010701826012736</v>
      </c>
      <c r="S135" s="221">
        <f t="shared" si="194"/>
        <v>15</v>
      </c>
      <c r="T135" s="221">
        <f t="shared" si="195"/>
        <v>0.15278217181649442</v>
      </c>
      <c r="U135" s="221">
        <f t="shared" si="196"/>
        <v>0.22917325772474165</v>
      </c>
      <c r="V135" s="221">
        <f t="shared" si="197"/>
        <v>6.5912476402619573E-6</v>
      </c>
      <c r="W135" s="201">
        <f t="shared" si="198"/>
        <v>350</v>
      </c>
      <c r="X135" s="451">
        <f t="shared" si="199"/>
        <v>350</v>
      </c>
      <c r="Z135" s="221">
        <f t="shared" si="200"/>
        <v>1.9047071235171036</v>
      </c>
      <c r="AA135" s="177">
        <f t="shared" si="201"/>
        <v>8.2171867201568798E-5</v>
      </c>
      <c r="AB135" s="177">
        <f t="shared" si="202"/>
        <v>0.34129476953431226</v>
      </c>
      <c r="AC135" s="177"/>
      <c r="AD135" s="177">
        <f t="shared" si="203"/>
        <v>6.4712206554230591E-6</v>
      </c>
      <c r="AE135" s="555">
        <f t="shared" si="204"/>
        <v>4133.8271604938282</v>
      </c>
      <c r="AF135" s="538">
        <f t="shared" si="205"/>
        <v>2.1166825946720815E-3</v>
      </c>
      <c r="AH135" s="177">
        <f t="shared" si="206"/>
        <v>0.51176631571915898</v>
      </c>
      <c r="AI135" s="177">
        <f t="shared" si="207"/>
        <v>0.51176631571915898</v>
      </c>
      <c r="AJ135" s="177">
        <f t="shared" si="208"/>
        <v>1.4679750486808585</v>
      </c>
      <c r="AL135" s="555">
        <f t="shared" si="209"/>
        <v>25</v>
      </c>
      <c r="AM135" s="469">
        <f t="shared" si="210"/>
        <v>350</v>
      </c>
      <c r="AO135" s="469">
        <f t="shared" si="211"/>
        <v>25</v>
      </c>
      <c r="AP135" s="469">
        <f t="shared" si="212"/>
        <v>350</v>
      </c>
      <c r="AR135" s="5">
        <f t="shared" si="249"/>
        <v>2.8571428571428572</v>
      </c>
      <c r="AS135" s="5">
        <f t="shared" si="246"/>
        <v>0.76764947357873836</v>
      </c>
      <c r="AT135" s="5">
        <f t="shared" si="247"/>
        <v>2.0894933835641187</v>
      </c>
      <c r="AU135" s="177">
        <f t="shared" si="248"/>
        <v>0.26867731575255843</v>
      </c>
      <c r="AW135" s="5">
        <f t="shared" si="216"/>
        <v>0.12794157892978972</v>
      </c>
      <c r="AX135" s="5"/>
      <c r="AY135" s="5">
        <f t="shared" si="217"/>
        <v>1.1994523024667787</v>
      </c>
      <c r="AZ135" s="5"/>
      <c r="BA135" s="5">
        <f t="shared" si="218"/>
        <v>3.6275926797988162E-2</v>
      </c>
      <c r="BB135" s="5"/>
      <c r="BC135" s="5"/>
      <c r="BD135" s="177">
        <f t="shared" si="219"/>
        <v>0.15315337455351127</v>
      </c>
      <c r="BE135" s="177">
        <f t="shared" si="220"/>
        <v>3148.5153473937994</v>
      </c>
      <c r="BF135" s="177">
        <f t="shared" si="221"/>
        <v>15545.954124033618</v>
      </c>
      <c r="BG135" s="177"/>
      <c r="BH135" s="538">
        <f t="shared" si="222"/>
        <v>8.209584647994839E-3</v>
      </c>
      <c r="BI135" s="538">
        <f t="shared" si="223"/>
        <v>622.79991090355611</v>
      </c>
      <c r="BJ135" s="538">
        <f t="shared" si="224"/>
        <v>4.3749999999999995E-3</v>
      </c>
      <c r="BK135" s="538">
        <f t="shared" si="225"/>
        <v>8462830.4513776898</v>
      </c>
      <c r="BL135">
        <f t="shared" si="226"/>
        <v>5.7999999999999996E-3</v>
      </c>
      <c r="BM135">
        <f t="shared" si="227"/>
        <v>1.3124999999999999E-5</v>
      </c>
      <c r="BN135">
        <f t="shared" si="228"/>
        <v>8476292.0422251131</v>
      </c>
      <c r="BO135" s="469">
        <f t="shared" si="229"/>
        <v>8463453269.6731777</v>
      </c>
      <c r="BP135" s="177">
        <f t="shared" si="230"/>
        <v>7.4999999999999997E-3</v>
      </c>
      <c r="BQ135" s="177">
        <f t="shared" si="231"/>
        <v>3.7499999999999999E-2</v>
      </c>
      <c r="BR135" s="538"/>
      <c r="BT135" s="469">
        <f t="shared" si="232"/>
        <v>45</v>
      </c>
      <c r="BU135" s="538">
        <f t="shared" si="233"/>
        <v>2.3455956137128117E-3</v>
      </c>
      <c r="BV135" s="538">
        <f t="shared" si="234"/>
        <v>297394.46678322891</v>
      </c>
      <c r="BW135" s="538">
        <f t="shared" si="235"/>
        <v>12083834.481327893</v>
      </c>
      <c r="BX135" s="538">
        <f t="shared" si="236"/>
        <v>0</v>
      </c>
      <c r="BY135" s="538">
        <f t="shared" si="180"/>
        <v>-14.00001413431392</v>
      </c>
      <c r="BZ135" s="538">
        <f t="shared" si="250"/>
        <v>12381228.950456718</v>
      </c>
      <c r="CA135" s="641">
        <f t="shared" si="237"/>
        <v>4.5833333333333342E-3</v>
      </c>
      <c r="CB135" s="469">
        <f t="shared" si="238"/>
        <v>24762443905.482635</v>
      </c>
      <c r="CC135" s="177">
        <f t="shared" si="251"/>
        <v>8476278.091794312</v>
      </c>
      <c r="CD135" s="5">
        <f t="shared" si="239"/>
        <v>1.375</v>
      </c>
      <c r="CE135" s="177">
        <f t="shared" si="240"/>
        <v>1.6221739802074015E-7</v>
      </c>
      <c r="CF135" s="5">
        <f t="shared" si="241"/>
        <v>1.6221739802074015E-5</v>
      </c>
      <c r="CG135">
        <f t="shared" si="242"/>
        <v>25</v>
      </c>
      <c r="CI135" s="571">
        <f t="shared" si="243"/>
        <v>-50</v>
      </c>
      <c r="CJ135">
        <f t="shared" si="244"/>
        <v>-50</v>
      </c>
    </row>
    <row r="136" spans="5:88" x14ac:dyDescent="0.25">
      <c r="E136" s="174">
        <v>26</v>
      </c>
      <c r="F136" s="221">
        <f t="shared" si="245"/>
        <v>2.6000000000000002E-2</v>
      </c>
      <c r="G136" s="221">
        <f t="shared" si="183"/>
        <v>0.13</v>
      </c>
      <c r="H136" s="221">
        <f t="shared" si="184"/>
        <v>0.39</v>
      </c>
      <c r="I136" s="221">
        <f t="shared" si="185"/>
        <v>1.04</v>
      </c>
      <c r="J136" s="551">
        <f t="shared" si="186"/>
        <v>20</v>
      </c>
      <c r="K136" s="451">
        <f t="shared" si="187"/>
        <v>695386.58000000007</v>
      </c>
      <c r="L136" s="451">
        <f t="shared" si="188"/>
        <v>695406.58000000007</v>
      </c>
      <c r="M136" s="451"/>
      <c r="N136" s="221">
        <f t="shared" si="189"/>
        <v>0.9999712398464794</v>
      </c>
      <c r="O136" s="176">
        <f t="shared" si="190"/>
        <v>1.8408561460810189</v>
      </c>
      <c r="P136" s="176">
        <f t="shared" si="191"/>
        <v>4.908949722882717</v>
      </c>
      <c r="Q136" s="221">
        <f t="shared" si="192"/>
        <v>0.12272374307206793</v>
      </c>
      <c r="R136" s="221">
        <f t="shared" si="193"/>
        <v>0.23010701826012736</v>
      </c>
      <c r="S136" s="221">
        <f t="shared" si="194"/>
        <v>15</v>
      </c>
      <c r="T136" s="221">
        <f t="shared" si="195"/>
        <v>0.15889345868915422</v>
      </c>
      <c r="U136" s="221">
        <f t="shared" si="196"/>
        <v>0.23834018803373133</v>
      </c>
      <c r="V136" s="221">
        <f t="shared" si="197"/>
        <v>6.8548975458724356E-6</v>
      </c>
      <c r="W136" s="201">
        <f t="shared" si="198"/>
        <v>350</v>
      </c>
      <c r="X136" s="451">
        <f t="shared" si="199"/>
        <v>350</v>
      </c>
      <c r="Z136" s="221">
        <f t="shared" si="200"/>
        <v>1.9047071235171036</v>
      </c>
      <c r="AA136" s="177">
        <f t="shared" si="201"/>
        <v>8.2171867201568798E-5</v>
      </c>
      <c r="AB136" s="177">
        <f t="shared" si="202"/>
        <v>0.34129476953431226</v>
      </c>
      <c r="AC136" s="177"/>
      <c r="AD136" s="177">
        <f t="shared" si="203"/>
        <v>6.4712206554230591E-6</v>
      </c>
      <c r="AE136" s="555">
        <f t="shared" si="204"/>
        <v>4299.1802469135819</v>
      </c>
      <c r="AF136" s="538">
        <f t="shared" si="205"/>
        <v>2.1166825946720815E-3</v>
      </c>
      <c r="AH136" s="177">
        <f t="shared" si="206"/>
        <v>0.52190128605029551</v>
      </c>
      <c r="AI136" s="177">
        <f t="shared" si="207"/>
        <v>0.52190128605029551</v>
      </c>
      <c r="AJ136" s="177">
        <f t="shared" si="208"/>
        <v>1.47548243411133</v>
      </c>
      <c r="AL136" s="555">
        <f t="shared" si="209"/>
        <v>26.000000000000004</v>
      </c>
      <c r="AM136" s="469">
        <f t="shared" si="210"/>
        <v>350</v>
      </c>
      <c r="AO136" s="469">
        <f t="shared" si="211"/>
        <v>26.000000000000004</v>
      </c>
      <c r="AP136" s="469">
        <f t="shared" si="212"/>
        <v>350</v>
      </c>
      <c r="AR136" s="5">
        <f t="shared" si="249"/>
        <v>2.8571428571428572</v>
      </c>
      <c r="AS136" s="5">
        <f t="shared" si="246"/>
        <v>0.78285192907544343</v>
      </c>
      <c r="AT136" s="5">
        <f t="shared" si="247"/>
        <v>2.0742909280674136</v>
      </c>
      <c r="AU136" s="177">
        <f t="shared" si="248"/>
        <v>0.27399817517640518</v>
      </c>
      <c r="AW136" s="5">
        <f t="shared" si="216"/>
        <v>0.13569433437307687</v>
      </c>
      <c r="AX136" s="5"/>
      <c r="AY136" s="5">
        <f t="shared" si="217"/>
        <v>1.2721343847475957</v>
      </c>
      <c r="AZ136" s="5"/>
      <c r="BA136" s="5">
        <f t="shared" si="218"/>
        <v>3.7452475090106074E-2</v>
      </c>
      <c r="BB136" s="5"/>
      <c r="BC136" s="5"/>
      <c r="BD136" s="177">
        <f t="shared" si="219"/>
        <v>0.15772537727031782</v>
      </c>
      <c r="BE136" s="177">
        <f t="shared" si="220"/>
        <v>3199.1663132829772</v>
      </c>
      <c r="BF136" s="177">
        <f t="shared" si="221"/>
        <v>15796.045835577261</v>
      </c>
      <c r="BG136" s="177"/>
      <c r="BH136" s="538">
        <f t="shared" si="222"/>
        <v>8.7070531222724311E-3</v>
      </c>
      <c r="BI136" s="538">
        <f t="shared" si="223"/>
        <v>635.13377975221601</v>
      </c>
      <c r="BJ136" s="538">
        <f t="shared" si="224"/>
        <v>4.3749999999999995E-3</v>
      </c>
      <c r="BK136" s="538">
        <f t="shared" si="225"/>
        <v>8462830.4513776898</v>
      </c>
      <c r="BL136">
        <f t="shared" si="226"/>
        <v>5.7999999999999996E-3</v>
      </c>
      <c r="BM136">
        <f t="shared" si="227"/>
        <v>1.3124999999999999E-5</v>
      </c>
      <c r="BN136">
        <f t="shared" si="228"/>
        <v>8477083.627250256</v>
      </c>
      <c r="BO136" s="469">
        <f t="shared" si="229"/>
        <v>8463465604.0394936</v>
      </c>
      <c r="BP136" s="177">
        <f t="shared" si="230"/>
        <v>7.8000000000000005E-3</v>
      </c>
      <c r="BQ136" s="177">
        <f t="shared" si="231"/>
        <v>3.9E-2</v>
      </c>
      <c r="BR136" s="538"/>
      <c r="BT136" s="469">
        <f t="shared" si="232"/>
        <v>46.800000000000004</v>
      </c>
      <c r="BU136" s="538">
        <f t="shared" si="233"/>
        <v>2.4877294635064092E-3</v>
      </c>
      <c r="BV136" s="538">
        <f t="shared" si="234"/>
        <v>307039.95300133788</v>
      </c>
      <c r="BW136" s="538">
        <f t="shared" si="235"/>
        <v>12475753.201982886</v>
      </c>
      <c r="BX136" s="538">
        <f t="shared" si="236"/>
        <v>0</v>
      </c>
      <c r="BY136" s="538">
        <f t="shared" si="180"/>
        <v>-14.000013690292018</v>
      </c>
      <c r="BZ136" s="538">
        <f t="shared" si="250"/>
        <v>12782793.157471953</v>
      </c>
      <c r="CA136" s="641">
        <f t="shared" si="237"/>
        <v>4.7666666666666673E-3</v>
      </c>
      <c r="CB136" s="469">
        <f t="shared" si="238"/>
        <v>25565572319.69688</v>
      </c>
      <c r="CC136" s="177">
        <f t="shared" si="251"/>
        <v>8477069.6788032334</v>
      </c>
      <c r="CD136" s="5">
        <f t="shared" si="239"/>
        <v>1.4300000000000002</v>
      </c>
      <c r="CE136" s="177">
        <f t="shared" si="240"/>
        <v>1.6869033910957522E-7</v>
      </c>
      <c r="CF136" s="5">
        <f t="shared" si="241"/>
        <v>1.6869033910957522E-5</v>
      </c>
      <c r="CG136">
        <f t="shared" si="242"/>
        <v>26</v>
      </c>
      <c r="CI136" s="571">
        <f t="shared" si="243"/>
        <v>-50</v>
      </c>
      <c r="CJ136">
        <f t="shared" si="244"/>
        <v>-50</v>
      </c>
    </row>
    <row r="137" spans="5:88" x14ac:dyDescent="0.25">
      <c r="E137" s="174">
        <v>27</v>
      </c>
      <c r="F137" s="221">
        <f t="shared" si="245"/>
        <v>2.7000000000000003E-2</v>
      </c>
      <c r="G137" s="221">
        <f t="shared" si="183"/>
        <v>0.13500000000000001</v>
      </c>
      <c r="H137" s="221">
        <f t="shared" si="184"/>
        <v>0.40500000000000003</v>
      </c>
      <c r="I137" s="221">
        <f t="shared" si="185"/>
        <v>1.08</v>
      </c>
      <c r="J137" s="551">
        <f t="shared" si="186"/>
        <v>20</v>
      </c>
      <c r="K137" s="451">
        <f t="shared" si="187"/>
        <v>695386.58000000007</v>
      </c>
      <c r="L137" s="451">
        <f t="shared" si="188"/>
        <v>695406.58000000007</v>
      </c>
      <c r="M137" s="451"/>
      <c r="N137" s="221">
        <f t="shared" si="189"/>
        <v>0.9999712398464794</v>
      </c>
      <c r="O137" s="176">
        <f t="shared" si="190"/>
        <v>1.8408561460810189</v>
      </c>
      <c r="P137" s="176">
        <f t="shared" si="191"/>
        <v>4.908949722882717</v>
      </c>
      <c r="Q137" s="221">
        <f t="shared" si="192"/>
        <v>0.12272374307206793</v>
      </c>
      <c r="R137" s="221">
        <f t="shared" si="193"/>
        <v>0.23010701826012736</v>
      </c>
      <c r="S137" s="221">
        <f t="shared" si="194"/>
        <v>15</v>
      </c>
      <c r="T137" s="221">
        <f t="shared" si="195"/>
        <v>0.16500474556181399</v>
      </c>
      <c r="U137" s="221">
        <f t="shared" si="196"/>
        <v>0.24750711834272102</v>
      </c>
      <c r="V137" s="221">
        <f t="shared" si="197"/>
        <v>7.1185474514829138E-6</v>
      </c>
      <c r="W137" s="201">
        <f t="shared" si="198"/>
        <v>350</v>
      </c>
      <c r="X137" s="451">
        <f t="shared" si="199"/>
        <v>350</v>
      </c>
      <c r="Z137" s="221">
        <f t="shared" si="200"/>
        <v>1.9047071235171036</v>
      </c>
      <c r="AA137" s="177">
        <f t="shared" si="201"/>
        <v>8.2171867201568798E-5</v>
      </c>
      <c r="AB137" s="177">
        <f t="shared" si="202"/>
        <v>0.34129476953431226</v>
      </c>
      <c r="AC137" s="177"/>
      <c r="AD137" s="177">
        <f t="shared" si="203"/>
        <v>6.4712206554230591E-6</v>
      </c>
      <c r="AE137" s="555">
        <f t="shared" si="204"/>
        <v>4464.5333333333347</v>
      </c>
      <c r="AF137" s="538">
        <f t="shared" si="205"/>
        <v>2.1166825946720815E-3</v>
      </c>
      <c r="AH137" s="177">
        <f t="shared" si="206"/>
        <v>0.53184315625675105</v>
      </c>
      <c r="AI137" s="177">
        <f t="shared" si="207"/>
        <v>0.53184315625675105</v>
      </c>
      <c r="AJ137" s="177">
        <f t="shared" si="208"/>
        <v>1.4828467824124081</v>
      </c>
      <c r="AL137" s="555">
        <f t="shared" si="209"/>
        <v>27.000000000000004</v>
      </c>
      <c r="AM137" s="469">
        <f t="shared" si="210"/>
        <v>350</v>
      </c>
      <c r="AO137" s="469">
        <f t="shared" si="211"/>
        <v>27.000000000000004</v>
      </c>
      <c r="AP137" s="469">
        <f t="shared" si="212"/>
        <v>350</v>
      </c>
      <c r="AR137" s="5">
        <f t="shared" si="249"/>
        <v>2.8571428571428572</v>
      </c>
      <c r="AS137" s="5">
        <f t="shared" si="246"/>
        <v>0.79776473438512663</v>
      </c>
      <c r="AT137" s="5">
        <f t="shared" si="247"/>
        <v>2.0593781227577308</v>
      </c>
      <c r="AU137" s="177">
        <f t="shared" si="248"/>
        <v>0.27921765703479429</v>
      </c>
      <c r="AW137" s="5">
        <f t="shared" si="216"/>
        <v>0.1435976521893228</v>
      </c>
      <c r="AX137" s="5"/>
      <c r="AY137" s="5">
        <f t="shared" si="217"/>
        <v>1.3462279892749014</v>
      </c>
      <c r="AZ137" s="5"/>
      <c r="BA137" s="5">
        <f t="shared" si="218"/>
        <v>3.8613339801707447E-2</v>
      </c>
      <c r="BB137" s="5"/>
      <c r="BC137" s="5"/>
      <c r="BD137" s="177">
        <f t="shared" si="219"/>
        <v>0.1622536170157978</v>
      </c>
      <c r="BE137" s="177">
        <f t="shared" si="220"/>
        <v>3248.3681201279219</v>
      </c>
      <c r="BF137" s="177">
        <f t="shared" si="221"/>
        <v>16038.98225088304</v>
      </c>
      <c r="BG137" s="177"/>
      <c r="BH137" s="538">
        <f t="shared" si="222"/>
        <v>9.214182682148216E-3</v>
      </c>
      <c r="BI137" s="538">
        <f t="shared" si="223"/>
        <v>647.23265318059759</v>
      </c>
      <c r="BJ137" s="538">
        <f t="shared" si="224"/>
        <v>4.3749999999999995E-3</v>
      </c>
      <c r="BK137" s="538">
        <f t="shared" si="225"/>
        <v>8462830.4513776898</v>
      </c>
      <c r="BL137">
        <f t="shared" si="226"/>
        <v>5.7999999999999996E-3</v>
      </c>
      <c r="BM137">
        <f t="shared" si="227"/>
        <v>1.3124999999999999E-5</v>
      </c>
      <c r="BN137">
        <f t="shared" si="228"/>
        <v>8477890.2597405873</v>
      </c>
      <c r="BO137" s="469">
        <f t="shared" si="229"/>
        <v>8463477703.4200525</v>
      </c>
      <c r="BP137" s="177">
        <f t="shared" si="230"/>
        <v>8.1000000000000013E-3</v>
      </c>
      <c r="BQ137" s="177">
        <f t="shared" si="231"/>
        <v>4.0500000000000001E-2</v>
      </c>
      <c r="BR137" s="538"/>
      <c r="BT137" s="469">
        <f t="shared" si="232"/>
        <v>48.6</v>
      </c>
      <c r="BU137" s="538">
        <f t="shared" si="233"/>
        <v>2.6326236234709192E-3</v>
      </c>
      <c r="BV137" s="538">
        <f t="shared" si="234"/>
        <v>316556.86331590224</v>
      </c>
      <c r="BW137" s="538">
        <f t="shared" si="235"/>
        <v>12862447.582207061</v>
      </c>
      <c r="BX137" s="538">
        <f t="shared" si="236"/>
        <v>0</v>
      </c>
      <c r="BY137" s="538">
        <f t="shared" si="180"/>
        <v>-14.000013278709078</v>
      </c>
      <c r="BZ137" s="538">
        <f t="shared" si="250"/>
        <v>13179004.448155588</v>
      </c>
      <c r="CA137" s="641">
        <f t="shared" si="237"/>
        <v>4.9500000000000021E-3</v>
      </c>
      <c r="CB137" s="469">
        <f t="shared" si="238"/>
        <v>26357994901.247898</v>
      </c>
      <c r="CC137" s="177">
        <f t="shared" si="251"/>
        <v>8477876.3132773079</v>
      </c>
      <c r="CD137" s="5">
        <f t="shared" si="239"/>
        <v>1.4850000000000001</v>
      </c>
      <c r="CE137" s="177">
        <f t="shared" si="240"/>
        <v>1.7516176044690688E-7</v>
      </c>
      <c r="CF137" s="5">
        <f t="shared" si="241"/>
        <v>1.7516176044690689E-5</v>
      </c>
      <c r="CG137">
        <f t="shared" si="242"/>
        <v>27</v>
      </c>
      <c r="CI137" s="571">
        <f t="shared" si="243"/>
        <v>-50</v>
      </c>
      <c r="CJ137">
        <f t="shared" si="244"/>
        <v>-50</v>
      </c>
    </row>
    <row r="138" spans="5:88" x14ac:dyDescent="0.25">
      <c r="E138" s="174">
        <v>28</v>
      </c>
      <c r="F138" s="221">
        <f t="shared" si="245"/>
        <v>2.8000000000000004E-2</v>
      </c>
      <c r="G138" s="221">
        <f t="shared" si="183"/>
        <v>0.14000000000000001</v>
      </c>
      <c r="H138" s="221">
        <f t="shared" si="184"/>
        <v>0.42000000000000004</v>
      </c>
      <c r="I138" s="221">
        <f t="shared" si="185"/>
        <v>1.1200000000000001</v>
      </c>
      <c r="J138" s="551">
        <f t="shared" si="186"/>
        <v>20</v>
      </c>
      <c r="K138" s="451">
        <f t="shared" si="187"/>
        <v>695386.58000000007</v>
      </c>
      <c r="L138" s="451">
        <f t="shared" si="188"/>
        <v>695406.58000000007</v>
      </c>
      <c r="M138" s="451"/>
      <c r="N138" s="221">
        <f t="shared" si="189"/>
        <v>0.9999712398464794</v>
      </c>
      <c r="O138" s="176">
        <f t="shared" si="190"/>
        <v>1.8408561460810189</v>
      </c>
      <c r="P138" s="176">
        <f t="shared" si="191"/>
        <v>4.908949722882717</v>
      </c>
      <c r="Q138" s="221">
        <f t="shared" si="192"/>
        <v>0.12272374307206793</v>
      </c>
      <c r="R138" s="221">
        <f t="shared" si="193"/>
        <v>0.23010701826012736</v>
      </c>
      <c r="S138" s="221">
        <f t="shared" si="194"/>
        <v>15</v>
      </c>
      <c r="T138" s="221">
        <f t="shared" si="195"/>
        <v>0.17111603243447376</v>
      </c>
      <c r="U138" s="221">
        <f t="shared" si="196"/>
        <v>0.25667404865171062</v>
      </c>
      <c r="V138" s="221">
        <f t="shared" si="197"/>
        <v>7.382197357093392E-6</v>
      </c>
      <c r="W138" s="201">
        <f t="shared" si="198"/>
        <v>350</v>
      </c>
      <c r="X138" s="451">
        <f t="shared" si="199"/>
        <v>350</v>
      </c>
      <c r="Z138" s="221">
        <f t="shared" si="200"/>
        <v>1.9047071235171036</v>
      </c>
      <c r="AA138" s="177">
        <f t="shared" si="201"/>
        <v>8.2171867201568798E-5</v>
      </c>
      <c r="AB138" s="177">
        <f t="shared" si="202"/>
        <v>0.34129476953431226</v>
      </c>
      <c r="AC138" s="177"/>
      <c r="AD138" s="177">
        <f t="shared" si="203"/>
        <v>6.4712206554230591E-6</v>
      </c>
      <c r="AE138" s="555">
        <f t="shared" si="204"/>
        <v>4629.8864197530884</v>
      </c>
      <c r="AF138" s="538">
        <f t="shared" si="205"/>
        <v>2.1166825946720815E-3</v>
      </c>
      <c r="AH138" s="177">
        <f t="shared" si="206"/>
        <v>0.54160256030906406</v>
      </c>
      <c r="AI138" s="177">
        <f t="shared" si="207"/>
        <v>0.54160256030906406</v>
      </c>
      <c r="AJ138" s="177">
        <f t="shared" si="208"/>
        <v>1.4900759705993067</v>
      </c>
      <c r="AL138" s="555">
        <f t="shared" si="209"/>
        <v>28.000000000000004</v>
      </c>
      <c r="AM138" s="469">
        <f t="shared" si="210"/>
        <v>350</v>
      </c>
      <c r="AO138" s="469">
        <f t="shared" si="211"/>
        <v>28.000000000000004</v>
      </c>
      <c r="AP138" s="469">
        <f t="shared" si="212"/>
        <v>350</v>
      </c>
      <c r="AR138" s="5">
        <f t="shared" si="249"/>
        <v>2.8571428571428572</v>
      </c>
      <c r="AS138" s="5">
        <f t="shared" si="246"/>
        <v>0.81240384046359615</v>
      </c>
      <c r="AT138" s="5">
        <f t="shared" si="247"/>
        <v>2.0447390166792609</v>
      </c>
      <c r="AU138" s="177">
        <f t="shared" si="248"/>
        <v>0.28434134416225865</v>
      </c>
      <c r="AW138" s="5">
        <f t="shared" si="216"/>
        <v>0.15164871688653797</v>
      </c>
      <c r="AX138" s="5"/>
      <c r="AY138" s="5">
        <f t="shared" si="217"/>
        <v>1.4217067208112935</v>
      </c>
      <c r="AZ138" s="5"/>
      <c r="BA138" s="5">
        <f t="shared" si="218"/>
        <v>3.9758814213207851E-2</v>
      </c>
      <c r="BB138" s="5"/>
      <c r="BC138" s="5"/>
      <c r="BD138" s="177">
        <f t="shared" si="219"/>
        <v>0.16674011143852566</v>
      </c>
      <c r="BE138" s="177">
        <f t="shared" si="220"/>
        <v>3296.1978200925905</v>
      </c>
      <c r="BF138" s="177">
        <f t="shared" si="221"/>
        <v>16275.143818916215</v>
      </c>
      <c r="BG138" s="177"/>
      <c r="BH138" s="538">
        <f t="shared" si="222"/>
        <v>9.7307926668861837E-3</v>
      </c>
      <c r="BI138" s="538">
        <f t="shared" si="223"/>
        <v>659.10947232159765</v>
      </c>
      <c r="BJ138" s="538">
        <f t="shared" si="224"/>
        <v>4.3749999999999995E-3</v>
      </c>
      <c r="BK138" s="538">
        <f t="shared" si="225"/>
        <v>8462830.4513776898</v>
      </c>
      <c r="BL138">
        <f t="shared" si="226"/>
        <v>5.7999999999999996E-3</v>
      </c>
      <c r="BM138">
        <f t="shared" si="227"/>
        <v>1.3124999999999999E-5</v>
      </c>
      <c r="BN138">
        <f t="shared" si="228"/>
        <v>8478711.6780929118</v>
      </c>
      <c r="BO138" s="469">
        <f t="shared" si="229"/>
        <v>8463489580.7558041</v>
      </c>
      <c r="BP138" s="177">
        <f t="shared" si="230"/>
        <v>8.4000000000000012E-3</v>
      </c>
      <c r="BQ138" s="177">
        <f t="shared" si="231"/>
        <v>4.2000000000000003E-2</v>
      </c>
      <c r="BR138" s="538"/>
      <c r="BT138" s="469">
        <f t="shared" si="232"/>
        <v>50.4</v>
      </c>
      <c r="BU138" s="538">
        <f t="shared" si="233"/>
        <v>2.7802264762531955E-3</v>
      </c>
      <c r="BV138" s="538">
        <f t="shared" si="234"/>
        <v>325947.60207549436</v>
      </c>
      <c r="BW138" s="538">
        <f t="shared" si="235"/>
        <v>13244015.316320334</v>
      </c>
      <c r="BX138" s="538">
        <f t="shared" si="236"/>
        <v>0</v>
      </c>
      <c r="BY138" s="538">
        <f t="shared" si="180"/>
        <v>-14.000012896141444</v>
      </c>
      <c r="BZ138" s="538">
        <f t="shared" si="250"/>
        <v>13569962.921176054</v>
      </c>
      <c r="CA138" s="641">
        <f t="shared" si="237"/>
        <v>5.1333333333333344E-3</v>
      </c>
      <c r="CB138" s="469">
        <f t="shared" si="238"/>
        <v>27139911847.472546</v>
      </c>
      <c r="CC138" s="177">
        <f t="shared" si="251"/>
        <v>8478697.7336133476</v>
      </c>
      <c r="CD138" s="5">
        <f t="shared" si="239"/>
        <v>1.54</v>
      </c>
      <c r="CE138" s="177">
        <f t="shared" si="240"/>
        <v>1.8163163361538851E-7</v>
      </c>
      <c r="CF138" s="5">
        <f t="shared" si="241"/>
        <v>1.8163163361538851E-5</v>
      </c>
      <c r="CG138">
        <f t="shared" si="242"/>
        <v>28.000000000000004</v>
      </c>
      <c r="CI138" s="571">
        <f t="shared" si="243"/>
        <v>-50</v>
      </c>
      <c r="CJ138">
        <f t="shared" si="244"/>
        <v>-50</v>
      </c>
    </row>
    <row r="139" spans="5:88" x14ac:dyDescent="0.25">
      <c r="E139" s="174">
        <v>29</v>
      </c>
      <c r="F139" s="221">
        <f t="shared" si="245"/>
        <v>2.8999999999999998E-2</v>
      </c>
      <c r="G139" s="221">
        <f t="shared" si="183"/>
        <v>0.14499999999999999</v>
      </c>
      <c r="H139" s="221">
        <f t="shared" si="184"/>
        <v>0.43499999999999994</v>
      </c>
      <c r="I139" s="221">
        <f t="shared" si="185"/>
        <v>1.1599999999999999</v>
      </c>
      <c r="J139" s="551">
        <f t="shared" si="186"/>
        <v>20</v>
      </c>
      <c r="K139" s="451">
        <f t="shared" si="187"/>
        <v>695386.58000000007</v>
      </c>
      <c r="L139" s="451">
        <f t="shared" si="188"/>
        <v>695406.58000000007</v>
      </c>
      <c r="M139" s="451"/>
      <c r="N139" s="221">
        <f t="shared" si="189"/>
        <v>0.9999712398464794</v>
      </c>
      <c r="O139" s="176">
        <f t="shared" si="190"/>
        <v>1.8408561460810189</v>
      </c>
      <c r="P139" s="176">
        <f t="shared" si="191"/>
        <v>4.908949722882717</v>
      </c>
      <c r="Q139" s="221">
        <f t="shared" si="192"/>
        <v>0.12272374307206793</v>
      </c>
      <c r="R139" s="221">
        <f t="shared" si="193"/>
        <v>0.23010701826012736</v>
      </c>
      <c r="S139" s="221">
        <f t="shared" si="194"/>
        <v>15</v>
      </c>
      <c r="T139" s="221">
        <f t="shared" si="195"/>
        <v>0.17722731930713351</v>
      </c>
      <c r="U139" s="221">
        <f t="shared" si="196"/>
        <v>0.26584097896070025</v>
      </c>
      <c r="V139" s="221">
        <f t="shared" si="197"/>
        <v>7.6458472627038677E-6</v>
      </c>
      <c r="W139" s="201">
        <f t="shared" si="198"/>
        <v>350</v>
      </c>
      <c r="X139" s="451">
        <f t="shared" si="199"/>
        <v>350</v>
      </c>
      <c r="Z139" s="221">
        <f t="shared" si="200"/>
        <v>1.9047071235171036</v>
      </c>
      <c r="AA139" s="177">
        <f t="shared" si="201"/>
        <v>8.2171867201568798E-5</v>
      </c>
      <c r="AB139" s="177">
        <f t="shared" si="202"/>
        <v>0.34129476953431226</v>
      </c>
      <c r="AC139" s="177"/>
      <c r="AD139" s="177">
        <f t="shared" si="203"/>
        <v>6.4712206554230591E-6</v>
      </c>
      <c r="AE139" s="555">
        <f t="shared" si="204"/>
        <v>4795.2395061728412</v>
      </c>
      <c r="AF139" s="538">
        <f t="shared" si="205"/>
        <v>2.1166825946720815E-3</v>
      </c>
      <c r="AH139" s="177">
        <f t="shared" si="206"/>
        <v>0.55118919057754001</v>
      </c>
      <c r="AI139" s="177">
        <f t="shared" si="207"/>
        <v>0.55118919057754001</v>
      </c>
      <c r="AJ139" s="177">
        <f t="shared" si="208"/>
        <v>1.4971771782055852</v>
      </c>
      <c r="AL139" s="555">
        <f t="shared" si="209"/>
        <v>28.999999999999996</v>
      </c>
      <c r="AM139" s="469">
        <f t="shared" si="210"/>
        <v>350</v>
      </c>
      <c r="AO139" s="469">
        <f t="shared" si="211"/>
        <v>28.999999999999996</v>
      </c>
      <c r="AP139" s="469">
        <f t="shared" si="212"/>
        <v>350</v>
      </c>
      <c r="AR139" s="5">
        <f t="shared" si="249"/>
        <v>2.8571428571428572</v>
      </c>
      <c r="AS139" s="5">
        <f t="shared" si="246"/>
        <v>0.82678378586631018</v>
      </c>
      <c r="AT139" s="5">
        <f t="shared" si="247"/>
        <v>2.0303590712765471</v>
      </c>
      <c r="AU139" s="177">
        <f t="shared" si="248"/>
        <v>0.28937432505320854</v>
      </c>
      <c r="AW139" s="5">
        <f t="shared" si="216"/>
        <v>0.15984486526748662</v>
      </c>
      <c r="AX139" s="5"/>
      <c r="AY139" s="5">
        <f t="shared" si="217"/>
        <v>1.4985456118826872</v>
      </c>
      <c r="AZ139" s="5"/>
      <c r="BA139" s="5">
        <f t="shared" si="218"/>
        <v>4.0889175740986008E-2</v>
      </c>
      <c r="BB139" s="5"/>
      <c r="BC139" s="5"/>
      <c r="BD139" s="177">
        <f t="shared" si="219"/>
        <v>0.1711867166742381</v>
      </c>
      <c r="BE139" s="177">
        <f t="shared" si="220"/>
        <v>3342.7256521855534</v>
      </c>
      <c r="BF139" s="177">
        <f t="shared" si="221"/>
        <v>16504.877348341972</v>
      </c>
      <c r="BG139" s="177"/>
      <c r="BH139" s="538">
        <f t="shared" si="222"/>
        <v>1.0256712187997053E-2</v>
      </c>
      <c r="BI139" s="538">
        <f t="shared" si="223"/>
        <v>670.77603241686688</v>
      </c>
      <c r="BJ139" s="538">
        <f t="shared" si="224"/>
        <v>4.3749999999999995E-3</v>
      </c>
      <c r="BK139" s="538">
        <f t="shared" si="225"/>
        <v>8462830.4513776898</v>
      </c>
      <c r="BL139">
        <f t="shared" si="226"/>
        <v>5.7999999999999996E-3</v>
      </c>
      <c r="BM139">
        <f t="shared" si="227"/>
        <v>1.3124999999999999E-5</v>
      </c>
      <c r="BN139">
        <f t="shared" si="228"/>
        <v>8479547.6348211449</v>
      </c>
      <c r="BO139" s="469">
        <f t="shared" si="229"/>
        <v>8463501247.8418179</v>
      </c>
      <c r="BP139" s="177">
        <f t="shared" si="230"/>
        <v>8.6999999999999994E-3</v>
      </c>
      <c r="BQ139" s="177">
        <f t="shared" si="231"/>
        <v>4.3499999999999997E-2</v>
      </c>
      <c r="BR139" s="538"/>
      <c r="BT139" s="469">
        <f t="shared" si="232"/>
        <v>52.199999999999996</v>
      </c>
      <c r="BU139" s="538">
        <f t="shared" si="233"/>
        <v>2.9304891965705872E-3</v>
      </c>
      <c r="BV139" s="538">
        <f t="shared" si="234"/>
        <v>335214.44357337995</v>
      </c>
      <c r="BW139" s="538">
        <f t="shared" si="235"/>
        <v>13620548.814190596</v>
      </c>
      <c r="BX139" s="538">
        <f t="shared" si="236"/>
        <v>0</v>
      </c>
      <c r="BY139" s="538">
        <f t="shared" si="180"/>
        <v>-14.00001253963352</v>
      </c>
      <c r="BZ139" s="538">
        <f t="shared" si="250"/>
        <v>13955763.260694465</v>
      </c>
      <c r="CA139" s="641">
        <f t="shared" si="237"/>
        <v>5.3166666666666649E-3</v>
      </c>
      <c r="CB139" s="469">
        <f t="shared" si="238"/>
        <v>27911512526.693058</v>
      </c>
      <c r="CC139" s="177">
        <f t="shared" si="251"/>
        <v>8479533.6923252735</v>
      </c>
      <c r="CD139" s="5">
        <f t="shared" si="239"/>
        <v>1.5949999999999998</v>
      </c>
      <c r="CE139" s="177">
        <f t="shared" si="240"/>
        <v>1.8809993071013157E-7</v>
      </c>
      <c r="CF139" s="5">
        <f t="shared" si="241"/>
        <v>1.8809993071013157E-5</v>
      </c>
      <c r="CG139">
        <f t="shared" si="242"/>
        <v>28.999999999999996</v>
      </c>
      <c r="CI139" s="571">
        <f t="shared" si="243"/>
        <v>-50</v>
      </c>
      <c r="CJ139">
        <f t="shared" si="244"/>
        <v>-50</v>
      </c>
    </row>
    <row r="140" spans="5:88" x14ac:dyDescent="0.25">
      <c r="E140" s="174">
        <v>30</v>
      </c>
      <c r="F140" s="221">
        <f t="shared" si="245"/>
        <v>0.03</v>
      </c>
      <c r="G140" s="221">
        <f t="shared" si="183"/>
        <v>0.15</v>
      </c>
      <c r="H140" s="221">
        <f t="shared" si="184"/>
        <v>0.44999999999999996</v>
      </c>
      <c r="I140" s="221">
        <f t="shared" si="185"/>
        <v>1.2</v>
      </c>
      <c r="J140" s="551">
        <f t="shared" si="186"/>
        <v>20</v>
      </c>
      <c r="K140" s="451">
        <f t="shared" si="187"/>
        <v>695386.58000000007</v>
      </c>
      <c r="L140" s="451">
        <f t="shared" si="188"/>
        <v>695406.58000000007</v>
      </c>
      <c r="M140" s="451"/>
      <c r="N140" s="221">
        <f t="shared" si="189"/>
        <v>0.9999712398464794</v>
      </c>
      <c r="O140" s="176">
        <f t="shared" si="190"/>
        <v>1.8408561460810189</v>
      </c>
      <c r="P140" s="176">
        <f t="shared" si="191"/>
        <v>4.908949722882717</v>
      </c>
      <c r="Q140" s="221">
        <f t="shared" si="192"/>
        <v>0.12272374307206793</v>
      </c>
      <c r="R140" s="221">
        <f t="shared" si="193"/>
        <v>0.23010701826012736</v>
      </c>
      <c r="S140" s="221">
        <f t="shared" si="194"/>
        <v>15</v>
      </c>
      <c r="T140" s="221">
        <f t="shared" si="195"/>
        <v>0.18333860617979331</v>
      </c>
      <c r="U140" s="221">
        <f t="shared" si="196"/>
        <v>0.27500790926968999</v>
      </c>
      <c r="V140" s="221">
        <f t="shared" si="197"/>
        <v>7.9094971683143485E-6</v>
      </c>
      <c r="W140" s="201">
        <f t="shared" si="198"/>
        <v>350</v>
      </c>
      <c r="X140" s="451">
        <f t="shared" si="199"/>
        <v>350</v>
      </c>
      <c r="Z140" s="221">
        <f t="shared" si="200"/>
        <v>1.9047071235171036</v>
      </c>
      <c r="AA140" s="177">
        <f t="shared" si="201"/>
        <v>8.2171867201568798E-5</v>
      </c>
      <c r="AB140" s="177">
        <f t="shared" si="202"/>
        <v>0.34129476953431226</v>
      </c>
      <c r="AC140" s="177"/>
      <c r="AD140" s="177">
        <f t="shared" si="203"/>
        <v>6.4712206554230591E-6</v>
      </c>
      <c r="AE140" s="555">
        <f t="shared" si="204"/>
        <v>4960.592592592594</v>
      </c>
      <c r="AF140" s="538">
        <f t="shared" si="205"/>
        <v>2.1166825946720815E-3</v>
      </c>
      <c r="AH140" s="177">
        <f t="shared" si="206"/>
        <v>0.56061191058138804</v>
      </c>
      <c r="AI140" s="177">
        <f t="shared" si="207"/>
        <v>0.56061191058138804</v>
      </c>
      <c r="AJ140" s="177">
        <f t="shared" si="208"/>
        <v>1.5041569708010281</v>
      </c>
      <c r="AL140" s="555">
        <f t="shared" si="209"/>
        <v>30</v>
      </c>
      <c r="AM140" s="469">
        <f t="shared" si="210"/>
        <v>350</v>
      </c>
      <c r="AO140" s="469">
        <f t="shared" si="211"/>
        <v>30</v>
      </c>
      <c r="AP140" s="469">
        <f t="shared" si="212"/>
        <v>350</v>
      </c>
      <c r="AR140" s="5">
        <f t="shared" si="249"/>
        <v>2.8571428571428572</v>
      </c>
      <c r="AS140" s="5">
        <f t="shared" si="246"/>
        <v>0.84091786587208206</v>
      </c>
      <c r="AT140" s="5">
        <f t="shared" si="247"/>
        <v>2.016224991270775</v>
      </c>
      <c r="AU140" s="177">
        <f t="shared" si="248"/>
        <v>0.29432125305522872</v>
      </c>
      <c r="AW140" s="5">
        <f t="shared" si="216"/>
        <v>0.1681835731744164</v>
      </c>
      <c r="AX140" s="5"/>
      <c r="AY140" s="5">
        <f t="shared" si="217"/>
        <v>1.5767209985101538</v>
      </c>
      <c r="AZ140" s="5"/>
      <c r="BA140" s="5">
        <f t="shared" si="218"/>
        <v>4.2004687318141137E-2</v>
      </c>
      <c r="BB140" s="5"/>
      <c r="BC140" s="5"/>
      <c r="BD140" s="177">
        <f t="shared" si="219"/>
        <v>0.17559514538271365</v>
      </c>
      <c r="BE140" s="177">
        <f t="shared" si="220"/>
        <v>3388.0158567473059</v>
      </c>
      <c r="BF140" s="177">
        <f t="shared" si="221"/>
        <v>16728.500029097813</v>
      </c>
      <c r="BG140" s="177"/>
      <c r="BH140" s="538">
        <f t="shared" si="222"/>
        <v>1.0791779278691719E-2</v>
      </c>
      <c r="BI140" s="538">
        <f t="shared" si="223"/>
        <v>682.24312002817067</v>
      </c>
      <c r="BJ140" s="538">
        <f t="shared" si="224"/>
        <v>4.3749999999999995E-3</v>
      </c>
      <c r="BK140" s="538">
        <f t="shared" si="225"/>
        <v>8462830.4513776898</v>
      </c>
      <c r="BL140">
        <f t="shared" si="226"/>
        <v>5.7999999999999996E-3</v>
      </c>
      <c r="BM140">
        <f t="shared" si="227"/>
        <v>1.3124999999999999E-5</v>
      </c>
      <c r="BN140">
        <f t="shared" si="228"/>
        <v>8480397.8953655884</v>
      </c>
      <c r="BO140" s="469">
        <f t="shared" si="229"/>
        <v>8463512715.4644966</v>
      </c>
      <c r="BP140" s="177">
        <f t="shared" si="230"/>
        <v>8.9999999999999993E-3</v>
      </c>
      <c r="BQ140" s="177">
        <f t="shared" si="231"/>
        <v>4.4999999999999998E-2</v>
      </c>
      <c r="BR140" s="538"/>
      <c r="BT140" s="469">
        <f t="shared" si="232"/>
        <v>54</v>
      </c>
      <c r="BU140" s="538">
        <f t="shared" si="233"/>
        <v>3.0833655081976344E-3</v>
      </c>
      <c r="BV140" s="538">
        <f t="shared" si="234"/>
        <v>344359.5433671354</v>
      </c>
      <c r="BW140" s="538">
        <f t="shared" si="235"/>
        <v>13992135.661176277</v>
      </c>
      <c r="BX140" s="538">
        <f t="shared" si="236"/>
        <v>0</v>
      </c>
      <c r="BY140" s="538">
        <f t="shared" si="180"/>
        <v>-14.000012206620244</v>
      </c>
      <c r="BZ140" s="538">
        <f t="shared" si="250"/>
        <v>14336495.207626779</v>
      </c>
      <c r="CA140" s="641">
        <f t="shared" si="237"/>
        <v>5.4999999999999988E-3</v>
      </c>
      <c r="CB140" s="469">
        <f t="shared" si="238"/>
        <v>28672976420.741352</v>
      </c>
      <c r="CC140" s="177">
        <f t="shared" si="251"/>
        <v>8480383.954853382</v>
      </c>
      <c r="CD140" s="5">
        <f t="shared" si="239"/>
        <v>1.65</v>
      </c>
      <c r="CE140" s="177">
        <f t="shared" si="240"/>
        <v>1.9456662431195272E-7</v>
      </c>
      <c r="CF140" s="5">
        <f t="shared" si="241"/>
        <v>1.945666243119527E-5</v>
      </c>
      <c r="CG140">
        <f t="shared" si="242"/>
        <v>30</v>
      </c>
      <c r="CI140" s="571">
        <f t="shared" si="243"/>
        <v>-50</v>
      </c>
      <c r="CJ140">
        <f t="shared" si="244"/>
        <v>-50</v>
      </c>
    </row>
    <row r="141" spans="5:88" x14ac:dyDescent="0.25">
      <c r="E141" s="174">
        <v>31</v>
      </c>
      <c r="F141" s="221">
        <f t="shared" si="245"/>
        <v>3.1E-2</v>
      </c>
      <c r="G141" s="221">
        <f t="shared" si="183"/>
        <v>0.155</v>
      </c>
      <c r="H141" s="221">
        <f t="shared" si="184"/>
        <v>0.46499999999999997</v>
      </c>
      <c r="I141" s="221">
        <f t="shared" si="185"/>
        <v>1.24</v>
      </c>
      <c r="J141" s="551">
        <f t="shared" si="186"/>
        <v>20</v>
      </c>
      <c r="K141" s="451">
        <f t="shared" si="187"/>
        <v>695386.58000000007</v>
      </c>
      <c r="L141" s="451">
        <f t="shared" si="188"/>
        <v>695406.58000000007</v>
      </c>
      <c r="M141" s="451"/>
      <c r="N141" s="221">
        <f t="shared" si="189"/>
        <v>0.9999712398464794</v>
      </c>
      <c r="O141" s="176">
        <f t="shared" si="190"/>
        <v>1.8408561460810189</v>
      </c>
      <c r="P141" s="176">
        <f t="shared" si="191"/>
        <v>4.908949722882717</v>
      </c>
      <c r="Q141" s="221">
        <f t="shared" si="192"/>
        <v>0.12272374307206793</v>
      </c>
      <c r="R141" s="221">
        <f t="shared" si="193"/>
        <v>0.23010701826012736</v>
      </c>
      <c r="S141" s="221">
        <f t="shared" si="194"/>
        <v>15</v>
      </c>
      <c r="T141" s="221">
        <f t="shared" si="195"/>
        <v>0.18944989305245308</v>
      </c>
      <c r="U141" s="221">
        <f t="shared" si="196"/>
        <v>0.28417483957867962</v>
      </c>
      <c r="V141" s="221">
        <f t="shared" si="197"/>
        <v>8.1731470739248258E-6</v>
      </c>
      <c r="W141" s="201">
        <f t="shared" si="198"/>
        <v>350</v>
      </c>
      <c r="X141" s="451">
        <f t="shared" si="199"/>
        <v>350</v>
      </c>
      <c r="Z141" s="221">
        <f t="shared" si="200"/>
        <v>1.9047071235171036</v>
      </c>
      <c r="AA141" s="177">
        <f t="shared" si="201"/>
        <v>8.2171867201568798E-5</v>
      </c>
      <c r="AB141" s="177">
        <f t="shared" si="202"/>
        <v>0.34129476953431226</v>
      </c>
      <c r="AC141" s="177"/>
      <c r="AD141" s="177">
        <f t="shared" si="203"/>
        <v>6.4712206554230591E-6</v>
      </c>
      <c r="AE141" s="555">
        <f t="shared" si="204"/>
        <v>5125.9456790123468</v>
      </c>
      <c r="AF141" s="538">
        <f t="shared" si="205"/>
        <v>2.1166825946720815E-3</v>
      </c>
      <c r="AH141" s="177">
        <f t="shared" si="206"/>
        <v>0.56987885095159019</v>
      </c>
      <c r="AI141" s="177">
        <f t="shared" si="207"/>
        <v>0.56987885095159019</v>
      </c>
      <c r="AJ141" s="177">
        <f t="shared" si="208"/>
        <v>1.5110213710752518</v>
      </c>
      <c r="AL141" s="555">
        <f t="shared" si="209"/>
        <v>31</v>
      </c>
      <c r="AM141" s="469">
        <f t="shared" si="210"/>
        <v>350</v>
      </c>
      <c r="AO141" s="469">
        <f t="shared" si="211"/>
        <v>31</v>
      </c>
      <c r="AP141" s="469">
        <f t="shared" si="212"/>
        <v>350</v>
      </c>
      <c r="AR141" s="5">
        <f t="shared" si="249"/>
        <v>2.8571428571428572</v>
      </c>
      <c r="AS141" s="5">
        <f t="shared" si="246"/>
        <v>0.85481827642738539</v>
      </c>
      <c r="AT141" s="5">
        <f t="shared" si="247"/>
        <v>2.0023245807154719</v>
      </c>
      <c r="AU141" s="177">
        <f t="shared" si="248"/>
        <v>0.29918639674958486</v>
      </c>
      <c r="AW141" s="5">
        <f t="shared" si="216"/>
        <v>0.17666244379499299</v>
      </c>
      <c r="AX141" s="5"/>
      <c r="AY141" s="5">
        <f t="shared" si="217"/>
        <v>1.6562104105780588</v>
      </c>
      <c r="AZ141" s="5"/>
      <c r="BA141" s="5">
        <f t="shared" si="218"/>
        <v>4.3105598612624731E-2</v>
      </c>
      <c r="BB141" s="5"/>
      <c r="BC141" s="5"/>
      <c r="BD141" s="177">
        <f t="shared" si="219"/>
        <v>0.17996698223771135</v>
      </c>
      <c r="BE141" s="177">
        <f t="shared" si="220"/>
        <v>3432.1273687760081</v>
      </c>
      <c r="BF141" s="177">
        <f t="shared" si="221"/>
        <v>16946.302855724527</v>
      </c>
      <c r="BG141" s="177"/>
      <c r="BH141" s="538">
        <f t="shared" si="222"/>
        <v>1.1335840143512048E-2</v>
      </c>
      <c r="BI141" s="538">
        <f t="shared" si="223"/>
        <v>693.52062982050643</v>
      </c>
      <c r="BJ141" s="538">
        <f t="shared" si="224"/>
        <v>4.3749999999999995E-3</v>
      </c>
      <c r="BK141" s="538">
        <f t="shared" si="225"/>
        <v>8462830.4513776898</v>
      </c>
      <c r="BL141">
        <f t="shared" si="226"/>
        <v>5.7999999999999996E-3</v>
      </c>
      <c r="BM141">
        <f t="shared" si="227"/>
        <v>1.3124999999999999E-5</v>
      </c>
      <c r="BN141">
        <f t="shared" si="228"/>
        <v>8481262.2370381858</v>
      </c>
      <c r="BO141" s="469">
        <f t="shared" si="229"/>
        <v>8463523993.5183506</v>
      </c>
      <c r="BP141" s="177">
        <f t="shared" si="230"/>
        <v>9.2999999999999992E-3</v>
      </c>
      <c r="BQ141" s="177">
        <f t="shared" si="231"/>
        <v>4.65E-2</v>
      </c>
      <c r="BR141" s="538"/>
      <c r="BT141" s="469">
        <f t="shared" si="232"/>
        <v>55.800000000000004</v>
      </c>
      <c r="BU141" s="538">
        <f t="shared" si="233"/>
        <v>3.2388114695748715E-3</v>
      </c>
      <c r="BV141" s="538">
        <f t="shared" si="234"/>
        <v>353384.94826503971</v>
      </c>
      <c r="BW141" s="538">
        <f t="shared" si="235"/>
        <v>14358859.023896866</v>
      </c>
      <c r="BX141" s="538">
        <f t="shared" si="236"/>
        <v>0</v>
      </c>
      <c r="BY141" s="538">
        <f t="shared" si="180"/>
        <v>-14.000011894864508</v>
      </c>
      <c r="BZ141" s="538">
        <f t="shared" si="250"/>
        <v>14712243.975400716</v>
      </c>
      <c r="CA141" s="641">
        <f t="shared" si="237"/>
        <v>5.6833333333333328E-3</v>
      </c>
      <c r="CB141" s="469">
        <f t="shared" si="238"/>
        <v>29424473956.47287</v>
      </c>
      <c r="CC141" s="177">
        <f t="shared" si="251"/>
        <v>8481248.298509622</v>
      </c>
      <c r="CD141" s="5">
        <f t="shared" si="239"/>
        <v>1.7050000000000001</v>
      </c>
      <c r="CE141" s="177">
        <f t="shared" si="240"/>
        <v>2.0103168746286867E-7</v>
      </c>
      <c r="CF141" s="5">
        <f t="shared" si="241"/>
        <v>2.0103168746286865E-5</v>
      </c>
      <c r="CG141">
        <f t="shared" si="242"/>
        <v>31</v>
      </c>
      <c r="CI141" s="571">
        <f t="shared" si="243"/>
        <v>-50</v>
      </c>
      <c r="CJ141">
        <f t="shared" si="244"/>
        <v>-50</v>
      </c>
    </row>
    <row r="142" spans="5:88" x14ac:dyDescent="0.25">
      <c r="E142" s="174">
        <v>32</v>
      </c>
      <c r="F142" s="221">
        <f t="shared" si="245"/>
        <v>3.2000000000000001E-2</v>
      </c>
      <c r="G142" s="221">
        <f t="shared" ref="G142:G173" si="252">IF(PLOT_TYPE=1, E142/100*Iout2, min_I*EXP(Q142*rr/100))</f>
        <v>0.16</v>
      </c>
      <c r="H142" s="221">
        <f t="shared" ref="H142:H173" si="253">F142*Vout</f>
        <v>0.48</v>
      </c>
      <c r="I142" s="221">
        <f t="shared" ref="I142:I173" si="254">Vout2*G142</f>
        <v>1.28</v>
      </c>
      <c r="J142" s="551">
        <f t="shared" si="186"/>
        <v>20</v>
      </c>
      <c r="K142" s="451">
        <f t="shared" si="187"/>
        <v>695386.58000000007</v>
      </c>
      <c r="L142" s="451">
        <f t="shared" si="188"/>
        <v>695406.58000000007</v>
      </c>
      <c r="M142" s="451"/>
      <c r="N142" s="221">
        <f t="shared" si="189"/>
        <v>0.9999712398464794</v>
      </c>
      <c r="O142" s="176">
        <f t="shared" ref="O142:O173" si="255">N142*J142*Isw_max*0.5*Efficiency*Pout/(Pout+Pout2)</f>
        <v>1.8408561460810189</v>
      </c>
      <c r="P142" s="176">
        <f t="shared" ref="P142:P173" si="256">N142*J142*Isw_max*0.5*Efficiency*(Pout2/Pout_total)</f>
        <v>4.908949722882717</v>
      </c>
      <c r="Q142" s="221">
        <f t="shared" si="192"/>
        <v>0.12272374307206793</v>
      </c>
      <c r="R142" s="221">
        <f t="shared" ref="R142:R173" si="257">O142/Vout2</f>
        <v>0.23010701826012736</v>
      </c>
      <c r="S142" s="221">
        <f t="shared" ref="S142:S173" si="258">MIN(Vout,O142/F142)</f>
        <v>15</v>
      </c>
      <c r="T142" s="221">
        <f t="shared" ref="T142:T173" si="259">MIN(2*(Vout*F142+Vout2*G142)/(Efficiency*J142*N142), Isw_max)</f>
        <v>0.19556117992511285</v>
      </c>
      <c r="U142" s="221">
        <f t="shared" si="196"/>
        <v>0.29334176988766925</v>
      </c>
      <c r="V142" s="221">
        <f t="shared" si="197"/>
        <v>8.4367969795353049E-6</v>
      </c>
      <c r="W142" s="201">
        <f t="shared" si="198"/>
        <v>350</v>
      </c>
      <c r="X142" s="451">
        <f t="shared" si="199"/>
        <v>350</v>
      </c>
      <c r="Z142" s="221">
        <f t="shared" si="200"/>
        <v>1.9047071235171036</v>
      </c>
      <c r="AA142" s="177">
        <f t="shared" si="201"/>
        <v>8.2171867201568798E-5</v>
      </c>
      <c r="AB142" s="177">
        <f t="shared" ref="AB142:AB173" si="260">0.5*AA142*Z142*Nps*W142/1000*(Pout/(Pout+Pout2))</f>
        <v>0.34129476953431226</v>
      </c>
      <c r="AC142" s="177"/>
      <c r="AD142" s="177">
        <f t="shared" si="203"/>
        <v>6.4712206554230591E-6</v>
      </c>
      <c r="AE142" s="555">
        <f t="shared" ref="AE142:AE173" si="261">MAX(10, F142/(0.5*AD142/1000000*Isw_min*Nps)/1000*Pout_total/Pout)</f>
        <v>5291.2987654321005</v>
      </c>
      <c r="AF142" s="538">
        <f t="shared" ref="AF142:AF173" si="262">0.5*AD142/1000000*Isw_min*Nps*W142*1000*(Pout/Pout_total)</f>
        <v>2.1166825946720815E-3</v>
      </c>
      <c r="AH142" s="177">
        <f t="shared" ref="AH142:AH173" si="263">SQRT((H142+I142)/(0.5*L*Fsw_DCM))</f>
        <v>0.57899749156459668</v>
      </c>
      <c r="AI142" s="177">
        <f t="shared" ref="AI142:AI173" si="264">MAX(IF(F142&gt;AB142,T142,AH142),Isw_min)</f>
        <v>0.57899749156459668</v>
      </c>
      <c r="AJ142" s="177">
        <f t="shared" ref="AJ142:AJ173" si="265">IF(F142&gt;AF142, (AI142-Isw_min)/1.08*0.8+1.2, AE142*0.2/350+1)</f>
        <v>1.5177759196774789</v>
      </c>
      <c r="AL142" s="555">
        <f t="shared" ref="AL142:AL173" si="266">F142*1000</f>
        <v>32</v>
      </c>
      <c r="AM142" s="469">
        <f t="shared" ref="AM142:AM173" si="267">IF(F142&gt;AF142, X142, AE142)</f>
        <v>350</v>
      </c>
      <c r="AO142" s="469">
        <f t="shared" si="211"/>
        <v>32</v>
      </c>
      <c r="AP142" s="469">
        <f t="shared" si="212"/>
        <v>350</v>
      </c>
      <c r="AR142" s="5">
        <f t="shared" si="249"/>
        <v>2.8571428571428572</v>
      </c>
      <c r="AS142" s="5">
        <f t="shared" si="246"/>
        <v>0.86849623734689507</v>
      </c>
      <c r="AT142" s="5">
        <f t="shared" si="247"/>
        <v>1.9886466197959622</v>
      </c>
      <c r="AU142" s="177">
        <f t="shared" si="248"/>
        <v>0.30397368307141326</v>
      </c>
      <c r="AW142" s="5">
        <f t="shared" si="216"/>
        <v>0.18527919730067097</v>
      </c>
      <c r="AX142" s="5"/>
      <c r="AY142" s="5">
        <f t="shared" si="217"/>
        <v>1.7369924746937904</v>
      </c>
      <c r="AZ142" s="5"/>
      <c r="BA142" s="5">
        <f t="shared" si="218"/>
        <v>4.4192147106576929E-2</v>
      </c>
      <c r="BB142" s="5"/>
      <c r="BC142" s="5"/>
      <c r="BD142" s="177">
        <f t="shared" si="219"/>
        <v>0.18430369730001711</v>
      </c>
      <c r="BE142" s="177">
        <f t="shared" si="220"/>
        <v>3475.1144114240155</v>
      </c>
      <c r="BF142" s="177">
        <f t="shared" si="221"/>
        <v>17158.55355778541</v>
      </c>
      <c r="BG142" s="177"/>
      <c r="BH142" s="538">
        <f t="shared" si="222"/>
        <v>1.1888748493459715E-2</v>
      </c>
      <c r="BI142" s="538">
        <f t="shared" si="223"/>
        <v>704.61766451565131</v>
      </c>
      <c r="BJ142" s="538">
        <f t="shared" si="224"/>
        <v>4.3749999999999995E-3</v>
      </c>
      <c r="BK142" s="538">
        <f t="shared" si="225"/>
        <v>8462830.4513776898</v>
      </c>
      <c r="BL142">
        <f t="shared" si="226"/>
        <v>5.7999999999999996E-3</v>
      </c>
      <c r="BM142">
        <f t="shared" ref="BM142:BM173" si="268">(J142-Vdd)*Qg*AM142</f>
        <v>1.3124999999999999E-5</v>
      </c>
      <c r="BN142">
        <f t="shared" ref="BN142:BN173" si="269">(BI142+BJ142+BK142+BL142+BM142+BH142*(1+RdsonTC*(Ta-25)))/(1-BH142*RdsonTC*ThetaJA)</f>
        <v>8482140.4480844159</v>
      </c>
      <c r="BO142" s="469">
        <f t="shared" si="229"/>
        <v>8463535091.1059532</v>
      </c>
      <c r="BP142" s="177">
        <f t="shared" si="230"/>
        <v>9.5999999999999992E-3</v>
      </c>
      <c r="BQ142" s="177">
        <f t="shared" si="231"/>
        <v>4.8000000000000001E-2</v>
      </c>
      <c r="BR142" s="538"/>
      <c r="BT142" s="469">
        <f t="shared" si="232"/>
        <v>57.6</v>
      </c>
      <c r="BU142" s="538">
        <f t="shared" si="233"/>
        <v>3.3967852838456335E-3</v>
      </c>
      <c r="BV142" s="538">
        <f t="shared" si="234"/>
        <v>362292.60517460649</v>
      </c>
      <c r="BW142" s="538">
        <f t="shared" si="235"/>
        <v>14720798.009769518</v>
      </c>
      <c r="BX142" s="538">
        <f t="shared" si="236"/>
        <v>0</v>
      </c>
      <c r="BY142" s="538">
        <f t="shared" si="180"/>
        <v>-14.000011602406262</v>
      </c>
      <c r="BZ142" s="538">
        <f t="shared" si="250"/>
        <v>15083090.618340909</v>
      </c>
      <c r="CA142" s="641">
        <f t="shared" ref="CA142:CA173" si="270">0.5*Lleak*0.000000001*AI142^2*AM142*1000</f>
        <v>5.8666666666666676E-3</v>
      </c>
      <c r="CB142" s="469">
        <f t="shared" si="238"/>
        <v>30166167242.536884</v>
      </c>
      <c r="CC142" s="177">
        <f t="shared" si="251"/>
        <v>8482126.5115394816</v>
      </c>
      <c r="CD142" s="5">
        <f t="shared" si="239"/>
        <v>1.76</v>
      </c>
      <c r="CE142" s="177">
        <f t="shared" si="240"/>
        <v>2.0749509364358684E-7</v>
      </c>
      <c r="CF142" s="5">
        <f t="shared" si="241"/>
        <v>2.0749509364358683E-5</v>
      </c>
      <c r="CG142">
        <f t="shared" si="242"/>
        <v>32</v>
      </c>
      <c r="CI142" s="571">
        <f t="shared" ref="CI142:CI173" si="271">IF(ABS(F142-Ioutmax_Vinmin)&lt;Iout/200, AM142, -50)</f>
        <v>-50</v>
      </c>
      <c r="CJ142">
        <f t="shared" ref="CJ142:CJ173" si="272">IF(ABS(F142-Ioutmax_Vinmin)&lt;Iout/200, (O142+P142)*CE142, -50)</f>
        <v>-50</v>
      </c>
    </row>
    <row r="143" spans="5:88" x14ac:dyDescent="0.25">
      <c r="E143" s="174">
        <v>33</v>
      </c>
      <c r="F143" s="221">
        <f t="shared" ref="F143:F174" si="273">IF(PLOT_TYPE=1, E143/100*Iout_max, min_I*EXP(O143*rr/100))</f>
        <v>3.3000000000000002E-2</v>
      </c>
      <c r="G143" s="221">
        <f t="shared" si="252"/>
        <v>0.16500000000000001</v>
      </c>
      <c r="H143" s="221">
        <f t="shared" si="253"/>
        <v>0.495</v>
      </c>
      <c r="I143" s="221">
        <f t="shared" si="254"/>
        <v>1.32</v>
      </c>
      <c r="J143" s="551">
        <f t="shared" si="186"/>
        <v>20</v>
      </c>
      <c r="K143" s="451">
        <f t="shared" si="187"/>
        <v>695386.58000000007</v>
      </c>
      <c r="L143" s="451">
        <f t="shared" si="188"/>
        <v>695406.58000000007</v>
      </c>
      <c r="M143" s="451"/>
      <c r="N143" s="221">
        <f t="shared" si="189"/>
        <v>0.9999712398464794</v>
      </c>
      <c r="O143" s="176">
        <f t="shared" si="255"/>
        <v>1.8408561460810189</v>
      </c>
      <c r="P143" s="176">
        <f t="shared" si="256"/>
        <v>4.908949722882717</v>
      </c>
      <c r="Q143" s="221">
        <f t="shared" si="192"/>
        <v>0.12272374307206793</v>
      </c>
      <c r="R143" s="221">
        <f t="shared" si="257"/>
        <v>0.23010701826012736</v>
      </c>
      <c r="S143" s="221">
        <f t="shared" si="258"/>
        <v>15</v>
      </c>
      <c r="T143" s="221">
        <f t="shared" si="259"/>
        <v>0.20167246679777262</v>
      </c>
      <c r="U143" s="221">
        <f t="shared" si="196"/>
        <v>0.30250870019665893</v>
      </c>
      <c r="V143" s="221">
        <f t="shared" si="197"/>
        <v>8.7004468851457823E-6</v>
      </c>
      <c r="W143" s="201">
        <f t="shared" si="198"/>
        <v>350</v>
      </c>
      <c r="X143" s="451">
        <f t="shared" si="199"/>
        <v>350</v>
      </c>
      <c r="Z143" s="221">
        <f t="shared" si="200"/>
        <v>1.9047071235171036</v>
      </c>
      <c r="AA143" s="177">
        <f t="shared" si="201"/>
        <v>8.2171867201568798E-5</v>
      </c>
      <c r="AB143" s="177">
        <f t="shared" si="260"/>
        <v>0.34129476953431226</v>
      </c>
      <c r="AC143" s="177"/>
      <c r="AD143" s="177">
        <f t="shared" si="203"/>
        <v>6.4712206554230591E-6</v>
      </c>
      <c r="AE143" s="555">
        <f t="shared" si="261"/>
        <v>5456.6518518518533</v>
      </c>
      <c r="AF143" s="538">
        <f t="shared" si="262"/>
        <v>2.1166825946720815E-3</v>
      </c>
      <c r="AH143" s="177">
        <f t="shared" si="263"/>
        <v>0.58797473220733365</v>
      </c>
      <c r="AI143" s="177">
        <f t="shared" si="264"/>
        <v>0.58797473220733365</v>
      </c>
      <c r="AJ143" s="177">
        <f t="shared" si="265"/>
        <v>1.5244257275609878</v>
      </c>
      <c r="AL143" s="555">
        <f t="shared" si="266"/>
        <v>33</v>
      </c>
      <c r="AM143" s="469">
        <f t="shared" si="267"/>
        <v>350</v>
      </c>
      <c r="AO143" s="469">
        <f t="shared" si="211"/>
        <v>33</v>
      </c>
      <c r="AP143" s="469">
        <f t="shared" si="212"/>
        <v>350</v>
      </c>
      <c r="AR143" s="5">
        <f t="shared" si="249"/>
        <v>2.8571428571428572</v>
      </c>
      <c r="AS143" s="5">
        <f t="shared" si="246"/>
        <v>0.88196209831100059</v>
      </c>
      <c r="AT143" s="5">
        <f t="shared" si="247"/>
        <v>1.9751807588318566</v>
      </c>
      <c r="AU143" s="177">
        <f t="shared" si="248"/>
        <v>0.30868673440885019</v>
      </c>
      <c r="AW143" s="5">
        <f t="shared" si="216"/>
        <v>0.19403166162842014</v>
      </c>
      <c r="AX143" s="5"/>
      <c r="AY143" s="5">
        <f t="shared" si="217"/>
        <v>1.8190468277664389</v>
      </c>
      <c r="AZ143" s="5"/>
      <c r="BA143" s="5">
        <f t="shared" si="218"/>
        <v>4.5264559056563368E-2</v>
      </c>
      <c r="BB143" s="5"/>
      <c r="BC143" s="5"/>
      <c r="BD143" s="177">
        <f t="shared" si="219"/>
        <v>0.18860665761988279</v>
      </c>
      <c r="BE143" s="177">
        <f t="shared" si="220"/>
        <v>3517.0270066952935</v>
      </c>
      <c r="BF143" s="177">
        <f t="shared" si="221"/>
        <v>17365.499121460623</v>
      </c>
      <c r="BG143" s="177"/>
      <c r="BH143" s="538">
        <f t="shared" si="222"/>
        <v>1.2450364954490291E-2</v>
      </c>
      <c r="BI143" s="538">
        <f t="shared" si="223"/>
        <v>715.54262088875612</v>
      </c>
      <c r="BJ143" s="538">
        <f t="shared" si="224"/>
        <v>4.3749999999999995E-3</v>
      </c>
      <c r="BK143" s="538">
        <f t="shared" si="225"/>
        <v>8462830.4513776898</v>
      </c>
      <c r="BL143">
        <f t="shared" si="226"/>
        <v>5.7999999999999996E-3</v>
      </c>
      <c r="BM143">
        <f t="shared" si="268"/>
        <v>1.3124999999999999E-5</v>
      </c>
      <c r="BN143">
        <f t="shared" si="269"/>
        <v>8483032.3268458173</v>
      </c>
      <c r="BO143" s="469">
        <f t="shared" si="229"/>
        <v>8463546016.6239424</v>
      </c>
      <c r="BP143" s="177">
        <f t="shared" si="230"/>
        <v>9.9000000000000008E-3</v>
      </c>
      <c r="BQ143" s="177">
        <f t="shared" si="231"/>
        <v>4.9500000000000002E-2</v>
      </c>
      <c r="BR143" s="538"/>
      <c r="BT143" s="469">
        <f t="shared" si="232"/>
        <v>59.4</v>
      </c>
      <c r="BU143" s="538">
        <f t="shared" si="233"/>
        <v>3.5572471298543694E-3</v>
      </c>
      <c r="BV143" s="538">
        <f t="shared" si="234"/>
        <v>371084.3689747217</v>
      </c>
      <c r="BW143" s="538">
        <f t="shared" si="235"/>
        <v>15078027.986872487</v>
      </c>
      <c r="BX143" s="538">
        <f t="shared" si="236"/>
        <v>0</v>
      </c>
      <c r="BY143" s="538">
        <f t="shared" si="180"/>
        <v>-14.0000113275208</v>
      </c>
      <c r="BZ143" s="538">
        <f t="shared" si="250"/>
        <v>15449112.359404456</v>
      </c>
      <c r="CA143" s="641">
        <f t="shared" si="270"/>
        <v>6.0500000000000007E-3</v>
      </c>
      <c r="CB143" s="469">
        <f t="shared" si="238"/>
        <v>30898210724.847588</v>
      </c>
      <c r="CC143" s="177">
        <f t="shared" si="251"/>
        <v>8483018.3922844902</v>
      </c>
      <c r="CD143" s="5">
        <f t="shared" si="239"/>
        <v>1.8149999999999999</v>
      </c>
      <c r="CE143" s="177">
        <f t="shared" si="240"/>
        <v>2.1395681675276851E-7</v>
      </c>
      <c r="CF143" s="5">
        <f t="shared" si="241"/>
        <v>2.1395681675276852E-5</v>
      </c>
      <c r="CG143">
        <f t="shared" si="242"/>
        <v>33</v>
      </c>
      <c r="CI143" s="571">
        <f t="shared" si="271"/>
        <v>-50</v>
      </c>
      <c r="CJ143">
        <f t="shared" si="272"/>
        <v>-50</v>
      </c>
    </row>
    <row r="144" spans="5:88" x14ac:dyDescent="0.25">
      <c r="E144" s="174">
        <v>34</v>
      </c>
      <c r="F144" s="221">
        <f t="shared" si="273"/>
        <v>3.4000000000000002E-2</v>
      </c>
      <c r="G144" s="221">
        <f t="shared" si="252"/>
        <v>0.17</v>
      </c>
      <c r="H144" s="221">
        <f t="shared" si="253"/>
        <v>0.51</v>
      </c>
      <c r="I144" s="221">
        <f t="shared" si="254"/>
        <v>1.36</v>
      </c>
      <c r="J144" s="551">
        <f t="shared" si="186"/>
        <v>20</v>
      </c>
      <c r="K144" s="451">
        <f t="shared" si="187"/>
        <v>695386.58000000007</v>
      </c>
      <c r="L144" s="451">
        <f t="shared" si="188"/>
        <v>695406.58000000007</v>
      </c>
      <c r="M144" s="451"/>
      <c r="N144" s="221">
        <f t="shared" si="189"/>
        <v>0.9999712398464794</v>
      </c>
      <c r="O144" s="176">
        <f t="shared" si="255"/>
        <v>1.8408561460810189</v>
      </c>
      <c r="P144" s="176">
        <f t="shared" si="256"/>
        <v>4.908949722882717</v>
      </c>
      <c r="Q144" s="221">
        <f t="shared" si="192"/>
        <v>0.12272374307206793</v>
      </c>
      <c r="R144" s="221">
        <f t="shared" si="257"/>
        <v>0.23010701826012736</v>
      </c>
      <c r="S144" s="221">
        <f t="shared" si="258"/>
        <v>15</v>
      </c>
      <c r="T144" s="221">
        <f t="shared" si="259"/>
        <v>0.20778375367043242</v>
      </c>
      <c r="U144" s="221">
        <f t="shared" si="196"/>
        <v>0.31167563050564862</v>
      </c>
      <c r="V144" s="221">
        <f t="shared" si="197"/>
        <v>8.9640967907562597E-6</v>
      </c>
      <c r="W144" s="201">
        <f t="shared" si="198"/>
        <v>350</v>
      </c>
      <c r="X144" s="451">
        <f t="shared" si="199"/>
        <v>350</v>
      </c>
      <c r="Z144" s="221">
        <f t="shared" si="200"/>
        <v>1.9047071235171036</v>
      </c>
      <c r="AA144" s="177">
        <f t="shared" si="201"/>
        <v>8.2171867201568798E-5</v>
      </c>
      <c r="AB144" s="177">
        <f t="shared" si="260"/>
        <v>0.34129476953431226</v>
      </c>
      <c r="AC144" s="177"/>
      <c r="AD144" s="177">
        <f t="shared" si="203"/>
        <v>6.4712206554230591E-6</v>
      </c>
      <c r="AE144" s="555">
        <f t="shared" si="261"/>
        <v>5622.004938271607</v>
      </c>
      <c r="AF144" s="538">
        <f t="shared" si="262"/>
        <v>2.1166825946720815E-3</v>
      </c>
      <c r="AH144" s="177">
        <f t="shared" si="263"/>
        <v>0.59681695367212573</v>
      </c>
      <c r="AI144" s="177">
        <f t="shared" si="264"/>
        <v>0.59681695367212573</v>
      </c>
      <c r="AJ144" s="177">
        <f t="shared" si="265"/>
        <v>1.5309755212386116</v>
      </c>
      <c r="AL144" s="555">
        <f t="shared" si="266"/>
        <v>34</v>
      </c>
      <c r="AM144" s="469">
        <f t="shared" si="267"/>
        <v>350</v>
      </c>
      <c r="AO144" s="469">
        <f t="shared" si="211"/>
        <v>34</v>
      </c>
      <c r="AP144" s="469">
        <f t="shared" si="212"/>
        <v>350</v>
      </c>
      <c r="AR144" s="5">
        <f t="shared" si="249"/>
        <v>2.8571428571428572</v>
      </c>
      <c r="AS144" s="5">
        <f t="shared" si="246"/>
        <v>0.89522543050818859</v>
      </c>
      <c r="AT144" s="5">
        <f t="shared" si="247"/>
        <v>1.9619174266346686</v>
      </c>
      <c r="AU144" s="177">
        <f t="shared" si="248"/>
        <v>0.31332890067786601</v>
      </c>
      <c r="AW144" s="5">
        <f t="shared" si="216"/>
        <v>0.20291776424852276</v>
      </c>
      <c r="AX144" s="5"/>
      <c r="AY144" s="5">
        <f t="shared" si="217"/>
        <v>1.902354039829901</v>
      </c>
      <c r="AZ144" s="5"/>
      <c r="BA144" s="5">
        <f t="shared" si="218"/>
        <v>4.6323050351096337E-2</v>
      </c>
      <c r="BB144" s="5"/>
      <c r="BC144" s="5"/>
      <c r="BD144" s="177">
        <f t="shared" si="219"/>
        <v>0.19287713734973663</v>
      </c>
      <c r="BE144" s="177">
        <f t="shared" si="220"/>
        <v>3557.9114170428097</v>
      </c>
      <c r="BF144" s="177">
        <f t="shared" si="221"/>
        <v>17567.367969956715</v>
      </c>
      <c r="BG144" s="177"/>
      <c r="BH144" s="538">
        <f t="shared" si="222"/>
        <v>1.3020556539280208E-2</v>
      </c>
      <c r="BI144" s="538">
        <f t="shared" si="223"/>
        <v>726.30326411851502</v>
      </c>
      <c r="BJ144" s="538">
        <f t="shared" si="224"/>
        <v>4.3749999999999995E-3</v>
      </c>
      <c r="BK144" s="538">
        <f t="shared" si="225"/>
        <v>8462830.4513776898</v>
      </c>
      <c r="BL144">
        <f t="shared" si="226"/>
        <v>5.7999999999999996E-3</v>
      </c>
      <c r="BM144">
        <f t="shared" si="268"/>
        <v>1.3124999999999999E-5</v>
      </c>
      <c r="BN144">
        <f t="shared" si="269"/>
        <v>8483937.6810096297</v>
      </c>
      <c r="BO144" s="469">
        <f t="shared" si="229"/>
        <v>8463556777.8373642</v>
      </c>
      <c r="BP144" s="177">
        <f t="shared" si="230"/>
        <v>1.0200000000000001E-2</v>
      </c>
      <c r="BQ144" s="177">
        <f t="shared" si="231"/>
        <v>5.1000000000000004E-2</v>
      </c>
      <c r="BR144" s="538"/>
      <c r="BT144" s="469">
        <f t="shared" si="232"/>
        <v>61.2</v>
      </c>
      <c r="BU144" s="538">
        <f t="shared" si="233"/>
        <v>3.7201590112229174E-3</v>
      </c>
      <c r="BV144" s="538">
        <f t="shared" si="234"/>
        <v>379762.0095457072</v>
      </c>
      <c r="BW144" s="538">
        <f t="shared" si="235"/>
        <v>15430620.869593054</v>
      </c>
      <c r="BX144" s="538">
        <f t="shared" si="236"/>
        <v>0</v>
      </c>
      <c r="BY144" s="538">
        <f t="shared" si="180"/>
        <v>-14.000011068684401</v>
      </c>
      <c r="BZ144" s="538">
        <f t="shared" si="250"/>
        <v>15810382.882858921</v>
      </c>
      <c r="CA144" s="641">
        <f t="shared" si="270"/>
        <v>6.2333333333333355E-3</v>
      </c>
      <c r="CB144" s="469">
        <f t="shared" si="238"/>
        <v>31620751771.940109</v>
      </c>
      <c r="CC144" s="177">
        <f t="shared" si="251"/>
        <v>8483923.7484318949</v>
      </c>
      <c r="CD144" s="5">
        <f t="shared" si="239"/>
        <v>1.87</v>
      </c>
      <c r="CE144" s="177">
        <f t="shared" si="240"/>
        <v>2.2041683108787522E-7</v>
      </c>
      <c r="CF144" s="5">
        <f t="shared" si="241"/>
        <v>2.2041683108787521E-5</v>
      </c>
      <c r="CG144">
        <f t="shared" si="242"/>
        <v>34</v>
      </c>
      <c r="CI144" s="571">
        <f t="shared" si="271"/>
        <v>-50</v>
      </c>
      <c r="CJ144">
        <f t="shared" si="272"/>
        <v>-50</v>
      </c>
    </row>
    <row r="145" spans="5:88" x14ac:dyDescent="0.25">
      <c r="E145" s="174">
        <v>35</v>
      </c>
      <c r="F145" s="221">
        <f t="shared" si="273"/>
        <v>3.4999999999999996E-2</v>
      </c>
      <c r="G145" s="221">
        <f t="shared" si="252"/>
        <v>0.17499999999999999</v>
      </c>
      <c r="H145" s="221">
        <f t="shared" si="253"/>
        <v>0.52499999999999991</v>
      </c>
      <c r="I145" s="221">
        <f t="shared" si="254"/>
        <v>1.4</v>
      </c>
      <c r="J145" s="551">
        <f t="shared" si="186"/>
        <v>20</v>
      </c>
      <c r="K145" s="451">
        <f t="shared" si="187"/>
        <v>695386.58000000007</v>
      </c>
      <c r="L145" s="451">
        <f t="shared" si="188"/>
        <v>695406.58000000007</v>
      </c>
      <c r="M145" s="451"/>
      <c r="N145" s="221">
        <f t="shared" si="189"/>
        <v>0.9999712398464794</v>
      </c>
      <c r="O145" s="176">
        <f t="shared" si="255"/>
        <v>1.8408561460810189</v>
      </c>
      <c r="P145" s="176">
        <f t="shared" si="256"/>
        <v>4.908949722882717</v>
      </c>
      <c r="Q145" s="221">
        <f t="shared" si="192"/>
        <v>0.12272374307206793</v>
      </c>
      <c r="R145" s="221">
        <f t="shared" si="257"/>
        <v>0.23010701826012736</v>
      </c>
      <c r="S145" s="221">
        <f t="shared" si="258"/>
        <v>15</v>
      </c>
      <c r="T145" s="221">
        <f t="shared" si="259"/>
        <v>0.21389504054309216</v>
      </c>
      <c r="U145" s="221">
        <f t="shared" si="196"/>
        <v>0.32084256081463824</v>
      </c>
      <c r="V145" s="221">
        <f t="shared" si="197"/>
        <v>9.2277466963667371E-6</v>
      </c>
      <c r="W145" s="201">
        <f t="shared" si="198"/>
        <v>350</v>
      </c>
      <c r="X145" s="451">
        <f t="shared" si="199"/>
        <v>350</v>
      </c>
      <c r="Z145" s="221">
        <f t="shared" si="200"/>
        <v>1.9047071235171036</v>
      </c>
      <c r="AA145" s="177">
        <f t="shared" si="201"/>
        <v>8.2171867201568798E-5</v>
      </c>
      <c r="AB145" s="177">
        <f t="shared" si="260"/>
        <v>0.34129476953431226</v>
      </c>
      <c r="AC145" s="177"/>
      <c r="AD145" s="177">
        <f t="shared" si="203"/>
        <v>6.4712206554230591E-6</v>
      </c>
      <c r="AE145" s="555">
        <f t="shared" si="261"/>
        <v>5787.3580246913589</v>
      </c>
      <c r="AF145" s="538">
        <f t="shared" si="262"/>
        <v>2.1166825946720815E-3</v>
      </c>
      <c r="AH145" s="177">
        <f t="shared" si="263"/>
        <v>0.60553007081949828</v>
      </c>
      <c r="AI145" s="177">
        <f t="shared" si="264"/>
        <v>0.60553007081949828</v>
      </c>
      <c r="AJ145" s="177">
        <f t="shared" si="265"/>
        <v>1.5374296820885172</v>
      </c>
      <c r="AL145" s="555">
        <f t="shared" si="266"/>
        <v>34.999999999999993</v>
      </c>
      <c r="AM145" s="469">
        <f t="shared" si="267"/>
        <v>350</v>
      </c>
      <c r="AO145" s="469">
        <f t="shared" si="211"/>
        <v>34.999999999999993</v>
      </c>
      <c r="AP145" s="469">
        <f t="shared" si="212"/>
        <v>350</v>
      </c>
      <c r="AR145" s="5">
        <f t="shared" si="249"/>
        <v>2.8571428571428572</v>
      </c>
      <c r="AS145" s="5">
        <f t="shared" si="246"/>
        <v>0.90829510622924758</v>
      </c>
      <c r="AT145" s="5">
        <f t="shared" si="247"/>
        <v>1.9488477509136097</v>
      </c>
      <c r="AU145" s="177">
        <f t="shared" si="248"/>
        <v>0.31790328718023664</v>
      </c>
      <c r="AW145" s="5">
        <f t="shared" si="216"/>
        <v>0.21193552478682443</v>
      </c>
      <c r="AX145" s="5"/>
      <c r="AY145" s="5">
        <f t="shared" si="217"/>
        <v>1.9868955448764789</v>
      </c>
      <c r="AZ145" s="5"/>
      <c r="BA145" s="5">
        <f t="shared" si="218"/>
        <v>4.7367827279150225E-2</v>
      </c>
      <c r="BB145" s="5"/>
      <c r="BC145" s="5"/>
      <c r="BD145" s="177">
        <f t="shared" si="219"/>
        <v>0.1971163265965501</v>
      </c>
      <c r="BE145" s="177">
        <f t="shared" si="220"/>
        <v>3597.8105289638943</v>
      </c>
      <c r="BF145" s="177">
        <f t="shared" si="221"/>
        <v>17764.371857528138</v>
      </c>
      <c r="BG145" s="177"/>
      <c r="BH145" s="538">
        <f t="shared" si="222"/>
        <v>1.3599196173821231E-2</v>
      </c>
      <c r="BI145" s="538">
        <f t="shared" si="223"/>
        <v>736.90679236255403</v>
      </c>
      <c r="BJ145" s="538">
        <f t="shared" si="224"/>
        <v>4.3749999999999995E-3</v>
      </c>
      <c r="BK145" s="538">
        <f t="shared" si="225"/>
        <v>8462830.4513776898</v>
      </c>
      <c r="BL145">
        <f t="shared" si="226"/>
        <v>5.7999999999999996E-3</v>
      </c>
      <c r="BM145">
        <f t="shared" si="268"/>
        <v>1.3124999999999999E-5</v>
      </c>
      <c r="BN145">
        <f t="shared" si="269"/>
        <v>8484856.3269343004</v>
      </c>
      <c r="BO145" s="469">
        <f t="shared" si="229"/>
        <v>8463567381.9442482</v>
      </c>
      <c r="BP145" s="177">
        <f t="shared" si="230"/>
        <v>1.0499999999999999E-2</v>
      </c>
      <c r="BQ145" s="177">
        <f t="shared" si="231"/>
        <v>5.2499999999999998E-2</v>
      </c>
      <c r="BR145" s="538"/>
      <c r="BT145" s="469">
        <f t="shared" si="232"/>
        <v>63</v>
      </c>
      <c r="BU145" s="538">
        <f t="shared" si="233"/>
        <v>3.8854846210917802E-3</v>
      </c>
      <c r="BV145" s="538">
        <f t="shared" si="234"/>
        <v>388327.21806970373</v>
      </c>
      <c r="BW145" s="538">
        <f t="shared" si="235"/>
        <v>15778645.374626888</v>
      </c>
      <c r="BX145" s="538">
        <f t="shared" si="236"/>
        <v>0</v>
      </c>
      <c r="BY145" s="538">
        <f t="shared" si="180"/>
        <v>-14.0000108245458</v>
      </c>
      <c r="BZ145" s="538">
        <f t="shared" si="250"/>
        <v>16166972.596582076</v>
      </c>
      <c r="CA145" s="641">
        <f t="shared" si="270"/>
        <v>6.4166666666666669E-3</v>
      </c>
      <c r="CB145" s="469">
        <f t="shared" si="238"/>
        <v>32333931199.569996</v>
      </c>
      <c r="CC145" s="177">
        <f t="shared" si="251"/>
        <v>8484842.3963401448</v>
      </c>
      <c r="CD145" s="5">
        <f t="shared" si="239"/>
        <v>1.9249999999999998</v>
      </c>
      <c r="CE145" s="177">
        <f t="shared" si="240"/>
        <v>2.2687511132743496E-7</v>
      </c>
      <c r="CF145" s="5">
        <f t="shared" si="241"/>
        <v>2.2687511132743496E-5</v>
      </c>
      <c r="CG145">
        <f t="shared" si="242"/>
        <v>34.999999999999993</v>
      </c>
      <c r="CI145" s="571">
        <f t="shared" si="271"/>
        <v>-50</v>
      </c>
      <c r="CJ145">
        <f t="shared" si="272"/>
        <v>-50</v>
      </c>
    </row>
    <row r="146" spans="5:88" x14ac:dyDescent="0.25">
      <c r="E146" s="174">
        <v>36</v>
      </c>
      <c r="F146" s="221">
        <f t="shared" si="273"/>
        <v>3.5999999999999997E-2</v>
      </c>
      <c r="G146" s="221">
        <f t="shared" si="252"/>
        <v>0.18</v>
      </c>
      <c r="H146" s="221">
        <f t="shared" si="253"/>
        <v>0.53999999999999992</v>
      </c>
      <c r="I146" s="221">
        <f t="shared" si="254"/>
        <v>1.44</v>
      </c>
      <c r="J146" s="551">
        <f t="shared" si="186"/>
        <v>20</v>
      </c>
      <c r="K146" s="451">
        <f t="shared" si="187"/>
        <v>695386.58000000007</v>
      </c>
      <c r="L146" s="451">
        <f t="shared" si="188"/>
        <v>695406.58000000007</v>
      </c>
      <c r="M146" s="451"/>
      <c r="N146" s="221">
        <f t="shared" si="189"/>
        <v>0.9999712398464794</v>
      </c>
      <c r="O146" s="176">
        <f t="shared" si="255"/>
        <v>1.8408561460810189</v>
      </c>
      <c r="P146" s="176">
        <f t="shared" si="256"/>
        <v>4.908949722882717</v>
      </c>
      <c r="Q146" s="221">
        <f t="shared" si="192"/>
        <v>0.12272374307206793</v>
      </c>
      <c r="R146" s="221">
        <f t="shared" si="257"/>
        <v>0.23010701826012736</v>
      </c>
      <c r="S146" s="221">
        <f t="shared" si="258"/>
        <v>15</v>
      </c>
      <c r="T146" s="221">
        <f t="shared" si="259"/>
        <v>0.22000632741575196</v>
      </c>
      <c r="U146" s="221">
        <f t="shared" si="196"/>
        <v>0.33000949112362798</v>
      </c>
      <c r="V146" s="221">
        <f t="shared" si="197"/>
        <v>9.4913966019772178E-6</v>
      </c>
      <c r="W146" s="201">
        <f t="shared" si="198"/>
        <v>350</v>
      </c>
      <c r="X146" s="451">
        <f t="shared" si="199"/>
        <v>350</v>
      </c>
      <c r="Z146" s="221">
        <f t="shared" si="200"/>
        <v>1.9047071235171036</v>
      </c>
      <c r="AA146" s="177">
        <f t="shared" si="201"/>
        <v>8.2171867201568798E-5</v>
      </c>
      <c r="AB146" s="177">
        <f t="shared" si="260"/>
        <v>0.34129476953431226</v>
      </c>
      <c r="AC146" s="177"/>
      <c r="AD146" s="177">
        <f t="shared" si="203"/>
        <v>6.4712206554230591E-6</v>
      </c>
      <c r="AE146" s="555">
        <f t="shared" si="261"/>
        <v>5952.7111111111117</v>
      </c>
      <c r="AF146" s="538">
        <f t="shared" si="262"/>
        <v>2.1166825946720815E-3</v>
      </c>
      <c r="AH146" s="177">
        <f t="shared" si="263"/>
        <v>0.61411957886299073</v>
      </c>
      <c r="AI146" s="177">
        <f t="shared" si="264"/>
        <v>0.61411957886299073</v>
      </c>
      <c r="AJ146" s="177">
        <f t="shared" si="265"/>
        <v>1.5437922806392523</v>
      </c>
      <c r="AL146" s="555">
        <f t="shared" si="266"/>
        <v>36</v>
      </c>
      <c r="AM146" s="469">
        <f t="shared" si="267"/>
        <v>350</v>
      </c>
      <c r="AO146" s="469">
        <f t="shared" si="211"/>
        <v>36</v>
      </c>
      <c r="AP146" s="469">
        <f t="shared" si="212"/>
        <v>350</v>
      </c>
      <c r="AR146" s="5">
        <f t="shared" si="249"/>
        <v>2.8571428571428572</v>
      </c>
      <c r="AS146" s="5">
        <f t="shared" si="246"/>
        <v>0.92117936829448621</v>
      </c>
      <c r="AT146" s="5">
        <f t="shared" si="247"/>
        <v>1.935963488848371</v>
      </c>
      <c r="AU146" s="177">
        <f t="shared" si="248"/>
        <v>0.32241277890307019</v>
      </c>
      <c r="AW146" s="5">
        <f t="shared" si="216"/>
        <v>0.22108304839067669</v>
      </c>
      <c r="AX146" s="5"/>
      <c r="AY146" s="5">
        <f t="shared" si="217"/>
        <v>2.0726535786625937</v>
      </c>
      <c r="AZ146" s="5"/>
      <c r="BA146" s="5">
        <f t="shared" si="218"/>
        <v>4.8399087221209253E-2</v>
      </c>
      <c r="BB146" s="5"/>
      <c r="BC146" s="5"/>
      <c r="BD146" s="177">
        <f t="shared" si="219"/>
        <v>0.20132533920238999</v>
      </c>
      <c r="BE146" s="177">
        <f t="shared" si="220"/>
        <v>3636.7641876443076</v>
      </c>
      <c r="BF146" s="177">
        <f t="shared" si="221"/>
        <v>17956.707521799308</v>
      </c>
      <c r="BG146" s="177"/>
      <c r="BH146" s="538">
        <f t="shared" si="222"/>
        <v>1.4186162271735083E-2</v>
      </c>
      <c r="BI146" s="538">
        <f t="shared" si="223"/>
        <v>747.35989308426724</v>
      </c>
      <c r="BJ146" s="538">
        <f t="shared" si="224"/>
        <v>4.3749999999999995E-3</v>
      </c>
      <c r="BK146" s="538">
        <f t="shared" si="225"/>
        <v>8462830.4513776898</v>
      </c>
      <c r="BL146">
        <f t="shared" si="226"/>
        <v>5.7999999999999996E-3</v>
      </c>
      <c r="BM146">
        <f t="shared" si="268"/>
        <v>1.3124999999999999E-5</v>
      </c>
      <c r="BN146">
        <f t="shared" si="269"/>
        <v>8485788.0890411921</v>
      </c>
      <c r="BO146" s="469">
        <f t="shared" si="229"/>
        <v>8463577835.6319351</v>
      </c>
      <c r="BP146" s="177">
        <f t="shared" si="230"/>
        <v>1.0799999999999999E-2</v>
      </c>
      <c r="BQ146" s="177">
        <f t="shared" si="231"/>
        <v>5.3999999999999999E-2</v>
      </c>
      <c r="BR146" s="538"/>
      <c r="BT146" s="469">
        <f t="shared" si="232"/>
        <v>64.8</v>
      </c>
      <c r="BU146" s="538">
        <f t="shared" si="233"/>
        <v>4.0531892204957384E-3</v>
      </c>
      <c r="BV146" s="538">
        <f t="shared" si="234"/>
        <v>396781.61269596481</v>
      </c>
      <c r="BW146" s="538">
        <f t="shared" si="235"/>
        <v>16122167.251172192</v>
      </c>
      <c r="BX146" s="538">
        <f t="shared" si="236"/>
        <v>0</v>
      </c>
      <c r="BY146" s="538">
        <f t="shared" si="180"/>
        <v>-14.000010593902426</v>
      </c>
      <c r="BZ146" s="538">
        <f t="shared" si="250"/>
        <v>16518948.867921347</v>
      </c>
      <c r="CA146" s="641">
        <f t="shared" si="270"/>
        <v>6.6E-3</v>
      </c>
      <c r="CB146" s="469">
        <f t="shared" si="238"/>
        <v>33037883742.432098</v>
      </c>
      <c r="CC146" s="177">
        <f t="shared" si="251"/>
        <v>8485774.1604305971</v>
      </c>
      <c r="CD146" s="5">
        <f t="shared" si="239"/>
        <v>1.98</v>
      </c>
      <c r="CE146" s="177">
        <f t="shared" si="240"/>
        <v>2.3333163251458668E-7</v>
      </c>
      <c r="CF146" s="5">
        <f t="shared" si="241"/>
        <v>2.3333163251458669E-5</v>
      </c>
      <c r="CG146">
        <f t="shared" si="242"/>
        <v>35.999999999999993</v>
      </c>
      <c r="CI146" s="571">
        <f t="shared" si="271"/>
        <v>-50</v>
      </c>
      <c r="CJ146">
        <f t="shared" si="272"/>
        <v>-50</v>
      </c>
    </row>
    <row r="147" spans="5:88" x14ac:dyDescent="0.25">
      <c r="E147" s="174">
        <v>37</v>
      </c>
      <c r="F147" s="221">
        <f t="shared" si="273"/>
        <v>3.6999999999999998E-2</v>
      </c>
      <c r="G147" s="221">
        <f t="shared" si="252"/>
        <v>0.185</v>
      </c>
      <c r="H147" s="221">
        <f t="shared" si="253"/>
        <v>0.55499999999999994</v>
      </c>
      <c r="I147" s="221">
        <f t="shared" si="254"/>
        <v>1.48</v>
      </c>
      <c r="J147" s="551">
        <f t="shared" si="186"/>
        <v>20</v>
      </c>
      <c r="K147" s="451">
        <f t="shared" si="187"/>
        <v>695386.58000000007</v>
      </c>
      <c r="L147" s="451">
        <f t="shared" si="188"/>
        <v>695406.58000000007</v>
      </c>
      <c r="M147" s="451"/>
      <c r="N147" s="221">
        <f t="shared" si="189"/>
        <v>0.9999712398464794</v>
      </c>
      <c r="O147" s="176">
        <f t="shared" si="255"/>
        <v>1.8408561460810189</v>
      </c>
      <c r="P147" s="176">
        <f t="shared" si="256"/>
        <v>4.908949722882717</v>
      </c>
      <c r="Q147" s="221">
        <f t="shared" si="192"/>
        <v>0.12272374307206793</v>
      </c>
      <c r="R147" s="221">
        <f t="shared" si="257"/>
        <v>0.23010701826012736</v>
      </c>
      <c r="S147" s="221">
        <f t="shared" si="258"/>
        <v>15</v>
      </c>
      <c r="T147" s="221">
        <f t="shared" si="259"/>
        <v>0.22611761428841176</v>
      </c>
      <c r="U147" s="221">
        <f t="shared" si="196"/>
        <v>0.33917642143261767</v>
      </c>
      <c r="V147" s="221">
        <f t="shared" si="197"/>
        <v>9.7550465075876952E-6</v>
      </c>
      <c r="W147" s="201">
        <f t="shared" si="198"/>
        <v>350</v>
      </c>
      <c r="X147" s="451">
        <f t="shared" si="199"/>
        <v>350</v>
      </c>
      <c r="Z147" s="221">
        <f t="shared" si="200"/>
        <v>1.9047071235171036</v>
      </c>
      <c r="AA147" s="177">
        <f t="shared" si="201"/>
        <v>8.2171867201568798E-5</v>
      </c>
      <c r="AB147" s="177">
        <f t="shared" si="260"/>
        <v>0.34129476953431226</v>
      </c>
      <c r="AC147" s="177"/>
      <c r="AD147" s="177">
        <f t="shared" si="203"/>
        <v>6.4712206554230591E-6</v>
      </c>
      <c r="AE147" s="555">
        <f t="shared" si="261"/>
        <v>6118.0641975308654</v>
      </c>
      <c r="AF147" s="538">
        <f t="shared" si="262"/>
        <v>2.1166825946720815E-3</v>
      </c>
      <c r="AH147" s="177">
        <f t="shared" si="263"/>
        <v>0.62259059390505378</v>
      </c>
      <c r="AI147" s="177">
        <f t="shared" si="264"/>
        <v>0.62259059390505378</v>
      </c>
      <c r="AJ147" s="177">
        <f t="shared" si="265"/>
        <v>1.5500671065963361</v>
      </c>
      <c r="AL147" s="555">
        <f t="shared" si="266"/>
        <v>37</v>
      </c>
      <c r="AM147" s="469">
        <f t="shared" si="267"/>
        <v>350</v>
      </c>
      <c r="AO147" s="469">
        <f t="shared" si="211"/>
        <v>37</v>
      </c>
      <c r="AP147" s="469">
        <f t="shared" si="212"/>
        <v>350</v>
      </c>
      <c r="AR147" s="5">
        <f t="shared" si="249"/>
        <v>2.8571428571428572</v>
      </c>
      <c r="AS147" s="5">
        <f t="shared" si="246"/>
        <v>0.93388589085758067</v>
      </c>
      <c r="AT147" s="5">
        <f t="shared" si="247"/>
        <v>1.9232569662852765</v>
      </c>
      <c r="AU147" s="177">
        <f t="shared" si="248"/>
        <v>0.3268600618001532</v>
      </c>
      <c r="AW147" s="5">
        <f t="shared" si="216"/>
        <v>0.23035851974486987</v>
      </c>
      <c r="AX147" s="5"/>
      <c r="AY147" s="5">
        <f t="shared" si="217"/>
        <v>2.1596111226081556</v>
      </c>
      <c r="AZ147" s="5"/>
      <c r="BA147" s="5">
        <f t="shared" si="218"/>
        <v>4.941701927260779E-2</v>
      </c>
      <c r="BB147" s="5"/>
      <c r="BC147" s="5"/>
      <c r="BD147" s="177">
        <f t="shared" si="219"/>
        <v>0.20550521960903931</v>
      </c>
      <c r="BE147" s="177">
        <f t="shared" si="220"/>
        <v>3674.8094900782526</v>
      </c>
      <c r="BF147" s="177">
        <f t="shared" si="221"/>
        <v>18144.558131059533</v>
      </c>
      <c r="BG147" s="177"/>
      <c r="BH147" s="538">
        <f t="shared" si="222"/>
        <v>1.4781338350295816E-2</v>
      </c>
      <c r="BI147" s="538">
        <f t="shared" si="223"/>
        <v>757.66879238344404</v>
      </c>
      <c r="BJ147" s="538">
        <f t="shared" si="224"/>
        <v>4.3749999999999995E-3</v>
      </c>
      <c r="BK147" s="538">
        <f t="shared" si="225"/>
        <v>8462830.4513776898</v>
      </c>
      <c r="BL147">
        <f t="shared" si="226"/>
        <v>5.7999999999999996E-3</v>
      </c>
      <c r="BM147">
        <f t="shared" si="268"/>
        <v>1.3124999999999999E-5</v>
      </c>
      <c r="BN147">
        <f t="shared" si="269"/>
        <v>8486732.7992644962</v>
      </c>
      <c r="BO147" s="469">
        <f t="shared" si="229"/>
        <v>8463588145.1264114</v>
      </c>
      <c r="BP147" s="177">
        <f t="shared" si="230"/>
        <v>1.1099999999999999E-2</v>
      </c>
      <c r="BQ147" s="177">
        <f t="shared" si="231"/>
        <v>5.5500000000000001E-2</v>
      </c>
      <c r="BR147" s="538"/>
      <c r="BT147" s="469">
        <f t="shared" si="232"/>
        <v>66.599999999999994</v>
      </c>
      <c r="BU147" s="538">
        <f t="shared" si="233"/>
        <v>4.2232395286559482E-3</v>
      </c>
      <c r="BV147" s="538">
        <f t="shared" si="234"/>
        <v>405126.74365107558</v>
      </c>
      <c r="BW147" s="538">
        <f t="shared" si="235"/>
        <v>16461249.48856993</v>
      </c>
      <c r="BX147" s="538">
        <f t="shared" si="236"/>
        <v>0</v>
      </c>
      <c r="BY147" s="538">
        <f t="shared" si="180"/>
        <v>-14.000010375680422</v>
      </c>
      <c r="BZ147" s="538">
        <f t="shared" si="250"/>
        <v>16866376.236444246</v>
      </c>
      <c r="CA147" s="641">
        <f t="shared" si="270"/>
        <v>6.7833333333333331E-3</v>
      </c>
      <c r="CB147" s="469">
        <f t="shared" si="238"/>
        <v>33732738479.661449</v>
      </c>
      <c r="CC147" s="177">
        <f t="shared" si="251"/>
        <v>8486718.8726374544</v>
      </c>
      <c r="CD147" s="5">
        <f t="shared" si="239"/>
        <v>2.0350000000000001</v>
      </c>
      <c r="CE147" s="177">
        <f t="shared" si="240"/>
        <v>2.397863700417723E-7</v>
      </c>
      <c r="CF147" s="5">
        <f t="shared" si="241"/>
        <v>2.397863700417723E-5</v>
      </c>
      <c r="CG147">
        <f t="shared" si="242"/>
        <v>36.999999999999993</v>
      </c>
      <c r="CI147" s="571">
        <f t="shared" si="271"/>
        <v>-50</v>
      </c>
      <c r="CJ147">
        <f t="shared" si="272"/>
        <v>-50</v>
      </c>
    </row>
    <row r="148" spans="5:88" x14ac:dyDescent="0.25">
      <c r="E148" s="174">
        <v>38</v>
      </c>
      <c r="F148" s="221">
        <f t="shared" si="273"/>
        <v>3.8000000000000006E-2</v>
      </c>
      <c r="G148" s="221">
        <f t="shared" si="252"/>
        <v>0.19</v>
      </c>
      <c r="H148" s="221">
        <f t="shared" si="253"/>
        <v>0.57000000000000006</v>
      </c>
      <c r="I148" s="221">
        <f t="shared" si="254"/>
        <v>1.52</v>
      </c>
      <c r="J148" s="551">
        <f t="shared" si="186"/>
        <v>20</v>
      </c>
      <c r="K148" s="451">
        <f t="shared" si="187"/>
        <v>695386.58000000007</v>
      </c>
      <c r="L148" s="451">
        <f t="shared" si="188"/>
        <v>695406.58000000007</v>
      </c>
      <c r="M148" s="451"/>
      <c r="N148" s="221">
        <f t="shared" si="189"/>
        <v>0.9999712398464794</v>
      </c>
      <c r="O148" s="176">
        <f t="shared" si="255"/>
        <v>1.8408561460810189</v>
      </c>
      <c r="P148" s="176">
        <f t="shared" si="256"/>
        <v>4.908949722882717</v>
      </c>
      <c r="Q148" s="221">
        <f t="shared" si="192"/>
        <v>0.12272374307206793</v>
      </c>
      <c r="R148" s="221">
        <f t="shared" si="257"/>
        <v>0.23010701826012736</v>
      </c>
      <c r="S148" s="221">
        <f t="shared" si="258"/>
        <v>15</v>
      </c>
      <c r="T148" s="221">
        <f t="shared" si="259"/>
        <v>0.2322289011610715</v>
      </c>
      <c r="U148" s="221">
        <f t="shared" si="196"/>
        <v>0.34834335174160724</v>
      </c>
      <c r="V148" s="221">
        <f t="shared" si="197"/>
        <v>1.0018696413198174E-5</v>
      </c>
      <c r="W148" s="201">
        <f t="shared" si="198"/>
        <v>350</v>
      </c>
      <c r="X148" s="451">
        <f t="shared" si="199"/>
        <v>350</v>
      </c>
      <c r="Z148" s="221">
        <f t="shared" si="200"/>
        <v>1.9047071235171036</v>
      </c>
      <c r="AA148" s="177">
        <f t="shared" si="201"/>
        <v>8.2171867201568798E-5</v>
      </c>
      <c r="AB148" s="177">
        <f t="shared" si="260"/>
        <v>0.34129476953431226</v>
      </c>
      <c r="AC148" s="177"/>
      <c r="AD148" s="177">
        <f t="shared" si="203"/>
        <v>6.4712206554230591E-6</v>
      </c>
      <c r="AE148" s="555">
        <f t="shared" si="261"/>
        <v>6283.4172839506209</v>
      </c>
      <c r="AF148" s="538">
        <f t="shared" si="262"/>
        <v>2.1166825946720815E-3</v>
      </c>
      <c r="AH148" s="177">
        <f t="shared" si="263"/>
        <v>0.63094788857340511</v>
      </c>
      <c r="AI148" s="177">
        <f t="shared" si="264"/>
        <v>0.63094788857340511</v>
      </c>
      <c r="AJ148" s="177">
        <f t="shared" si="265"/>
        <v>1.5562576952395593</v>
      </c>
      <c r="AL148" s="555">
        <f t="shared" si="266"/>
        <v>38.000000000000007</v>
      </c>
      <c r="AM148" s="469">
        <f t="shared" si="267"/>
        <v>350</v>
      </c>
      <c r="AO148" s="469">
        <f t="shared" si="211"/>
        <v>38.000000000000007</v>
      </c>
      <c r="AP148" s="469">
        <f t="shared" si="212"/>
        <v>350</v>
      </c>
      <c r="AR148" s="5">
        <f t="shared" si="249"/>
        <v>2.8571428571428572</v>
      </c>
      <c r="AS148" s="5">
        <f t="shared" si="246"/>
        <v>0.94642183286010761</v>
      </c>
      <c r="AT148" s="5">
        <f t="shared" si="247"/>
        <v>1.9107210242827497</v>
      </c>
      <c r="AU148" s="177">
        <f t="shared" si="248"/>
        <v>0.33124764150103764</v>
      </c>
      <c r="AW148" s="5">
        <f t="shared" si="216"/>
        <v>0.23976019765789394</v>
      </c>
      <c r="AX148" s="5"/>
      <c r="AY148" s="5">
        <f t="shared" si="217"/>
        <v>2.2477518530427556</v>
      </c>
      <c r="AZ148" s="5"/>
      <c r="BA148" s="5">
        <f t="shared" si="218"/>
        <v>5.0421804807461452E-2</v>
      </c>
      <c r="BB148" s="5"/>
      <c r="BC148" s="5"/>
      <c r="BD148" s="177">
        <f t="shared" si="219"/>
        <v>0.20965694893630535</v>
      </c>
      <c r="BE148" s="177">
        <f t="shared" si="220"/>
        <v>3711.9810427952066</v>
      </c>
      <c r="BF148" s="177">
        <f t="shared" si="221"/>
        <v>18328.094556802291</v>
      </c>
      <c r="BG148" s="177"/>
      <c r="BH148" s="538">
        <f t="shared" si="222"/>
        <v>1.538461268304819E-2</v>
      </c>
      <c r="BI148" s="538">
        <f t="shared" si="223"/>
        <v>767.83929836434231</v>
      </c>
      <c r="BJ148" s="538">
        <f t="shared" si="224"/>
        <v>4.3749999999999995E-3</v>
      </c>
      <c r="BK148" s="538">
        <f t="shared" si="225"/>
        <v>8462830.4513776898</v>
      </c>
      <c r="BL148">
        <f t="shared" si="226"/>
        <v>5.7999999999999996E-3</v>
      </c>
      <c r="BM148">
        <f t="shared" si="268"/>
        <v>1.3124999999999999E-5</v>
      </c>
      <c r="BN148">
        <f t="shared" si="269"/>
        <v>8487690.296552252</v>
      </c>
      <c r="BO148" s="469">
        <f t="shared" si="229"/>
        <v>8463598316.2356672</v>
      </c>
      <c r="BP148" s="177">
        <f t="shared" si="230"/>
        <v>1.1400000000000002E-2</v>
      </c>
      <c r="BQ148" s="177">
        <f t="shared" si="231"/>
        <v>5.6999999999999995E-2</v>
      </c>
      <c r="BR148" s="538"/>
      <c r="BT148" s="469">
        <f t="shared" si="232"/>
        <v>68.400000000000006</v>
      </c>
      <c r="BU148" s="538">
        <f t="shared" si="233"/>
        <v>4.395603623728055E-3</v>
      </c>
      <c r="BV148" s="538">
        <f t="shared" si="234"/>
        <v>413364.09786212968</v>
      </c>
      <c r="BW148" s="538">
        <f t="shared" si="235"/>
        <v>16795952.504154291</v>
      </c>
      <c r="BX148" s="538">
        <f t="shared" si="236"/>
        <v>0</v>
      </c>
      <c r="BY148" s="538">
        <f t="shared" si="180"/>
        <v>-14.000010168917868</v>
      </c>
      <c r="BZ148" s="538">
        <f t="shared" si="250"/>
        <v>17209316.606412023</v>
      </c>
      <c r="CA148" s="641">
        <f t="shared" si="270"/>
        <v>6.9666666666666661E-3</v>
      </c>
      <c r="CB148" s="469">
        <f t="shared" si="238"/>
        <v>34418619219.78054</v>
      </c>
      <c r="CC148" s="177">
        <f t="shared" si="251"/>
        <v>8487676.3719087504</v>
      </c>
      <c r="CD148" s="5">
        <f t="shared" si="239"/>
        <v>2.09</v>
      </c>
      <c r="CE148" s="177">
        <f t="shared" si="240"/>
        <v>2.4623929963647449E-7</v>
      </c>
      <c r="CF148" s="5">
        <f t="shared" si="241"/>
        <v>2.4623929963647448E-5</v>
      </c>
      <c r="CG148">
        <f t="shared" si="242"/>
        <v>38.000000000000007</v>
      </c>
      <c r="CI148" s="571">
        <f t="shared" si="271"/>
        <v>-50</v>
      </c>
      <c r="CJ148">
        <f t="shared" si="272"/>
        <v>-50</v>
      </c>
    </row>
    <row r="149" spans="5:88" x14ac:dyDescent="0.25">
      <c r="E149" s="174">
        <v>39</v>
      </c>
      <c r="F149" s="221">
        <f t="shared" si="273"/>
        <v>3.9000000000000007E-2</v>
      </c>
      <c r="G149" s="221">
        <f t="shared" si="252"/>
        <v>0.19500000000000001</v>
      </c>
      <c r="H149" s="221">
        <f t="shared" si="253"/>
        <v>0.58500000000000008</v>
      </c>
      <c r="I149" s="221">
        <f t="shared" si="254"/>
        <v>1.56</v>
      </c>
      <c r="J149" s="551">
        <f t="shared" si="186"/>
        <v>20</v>
      </c>
      <c r="K149" s="451">
        <f t="shared" si="187"/>
        <v>695386.58000000007</v>
      </c>
      <c r="L149" s="451">
        <f t="shared" si="188"/>
        <v>695406.58000000007</v>
      </c>
      <c r="M149" s="451"/>
      <c r="N149" s="221">
        <f t="shared" si="189"/>
        <v>0.9999712398464794</v>
      </c>
      <c r="O149" s="176">
        <f t="shared" si="255"/>
        <v>1.8408561460810189</v>
      </c>
      <c r="P149" s="176">
        <f t="shared" si="256"/>
        <v>4.908949722882717</v>
      </c>
      <c r="Q149" s="221">
        <f t="shared" si="192"/>
        <v>0.12272374307206793</v>
      </c>
      <c r="R149" s="221">
        <f t="shared" si="257"/>
        <v>0.23010701826012736</v>
      </c>
      <c r="S149" s="221">
        <f t="shared" si="258"/>
        <v>15</v>
      </c>
      <c r="T149" s="221">
        <f t="shared" si="259"/>
        <v>0.2383401880337313</v>
      </c>
      <c r="U149" s="221">
        <f t="shared" si="196"/>
        <v>0.35751028205059698</v>
      </c>
      <c r="V149" s="221">
        <f t="shared" si="197"/>
        <v>1.0282346318808652E-5</v>
      </c>
      <c r="W149" s="201">
        <f t="shared" si="198"/>
        <v>350</v>
      </c>
      <c r="X149" s="451">
        <f t="shared" si="199"/>
        <v>350</v>
      </c>
      <c r="Z149" s="221">
        <f t="shared" si="200"/>
        <v>1.9047071235171036</v>
      </c>
      <c r="AA149" s="177">
        <f t="shared" si="201"/>
        <v>8.2171867201568798E-5</v>
      </c>
      <c r="AB149" s="177">
        <f t="shared" si="260"/>
        <v>0.34129476953431226</v>
      </c>
      <c r="AC149" s="177"/>
      <c r="AD149" s="177">
        <f t="shared" si="203"/>
        <v>6.4712206554230591E-6</v>
      </c>
      <c r="AE149" s="555">
        <f t="shared" si="261"/>
        <v>6448.7703703703728</v>
      </c>
      <c r="AF149" s="538">
        <f t="shared" si="262"/>
        <v>2.1166825946720815E-3</v>
      </c>
      <c r="AH149" s="177">
        <f t="shared" si="263"/>
        <v>0.6391959234627741</v>
      </c>
      <c r="AI149" s="177">
        <f t="shared" si="264"/>
        <v>0.6391959234627741</v>
      </c>
      <c r="AJ149" s="177">
        <f t="shared" si="265"/>
        <v>1.5623673507131659</v>
      </c>
      <c r="AL149" s="555">
        <f t="shared" si="266"/>
        <v>39.000000000000007</v>
      </c>
      <c r="AM149" s="469">
        <f t="shared" si="267"/>
        <v>350</v>
      </c>
      <c r="AO149" s="469">
        <f t="shared" si="211"/>
        <v>39.000000000000007</v>
      </c>
      <c r="AP149" s="469">
        <f t="shared" si="212"/>
        <v>350</v>
      </c>
      <c r="AR149" s="5">
        <f t="shared" si="249"/>
        <v>2.8571428571428572</v>
      </c>
      <c r="AS149" s="5">
        <f t="shared" si="246"/>
        <v>0.95879388519416131</v>
      </c>
      <c r="AT149" s="5">
        <f t="shared" si="247"/>
        <v>1.8983489719486959</v>
      </c>
      <c r="AU149" s="177">
        <f t="shared" si="248"/>
        <v>0.33557785981795646</v>
      </c>
      <c r="AW149" s="5">
        <f t="shared" si="216"/>
        <v>0.24928641015048197</v>
      </c>
      <c r="AX149" s="5"/>
      <c r="AY149" s="5">
        <f t="shared" si="217"/>
        <v>2.3370600951607683</v>
      </c>
      <c r="AZ149" s="5"/>
      <c r="BA149" s="5">
        <f t="shared" si="218"/>
        <v>5.1413617990277174E-2</v>
      </c>
      <c r="BB149" s="5"/>
      <c r="BC149" s="5"/>
      <c r="BD149" s="177">
        <f t="shared" si="219"/>
        <v>0.21378145038236682</v>
      </c>
      <c r="BE149" s="177">
        <f t="shared" si="220"/>
        <v>3748.3111892823194</v>
      </c>
      <c r="BF149" s="177">
        <f t="shared" si="221"/>
        <v>18507.476496634848</v>
      </c>
      <c r="BG149" s="177"/>
      <c r="BH149" s="538">
        <f t="shared" si="222"/>
        <v>1.5995877984655928E-2</v>
      </c>
      <c r="BI149" s="538">
        <f t="shared" si="223"/>
        <v>777.87683939908175</v>
      </c>
      <c r="BJ149" s="538">
        <f t="shared" si="224"/>
        <v>4.3749999999999995E-3</v>
      </c>
      <c r="BK149" s="538">
        <f t="shared" si="225"/>
        <v>8462830.4513776898</v>
      </c>
      <c r="BL149">
        <f t="shared" si="226"/>
        <v>5.7999999999999996E-3</v>
      </c>
      <c r="BM149">
        <f t="shared" si="268"/>
        <v>1.3124999999999999E-5</v>
      </c>
      <c r="BN149">
        <f t="shared" si="269"/>
        <v>8488660.4264126197</v>
      </c>
      <c r="BO149" s="469">
        <f t="shared" si="229"/>
        <v>8463608354.3879671</v>
      </c>
      <c r="BP149" s="177">
        <f t="shared" si="230"/>
        <v>1.1700000000000002E-2</v>
      </c>
      <c r="BQ149" s="177">
        <f t="shared" si="231"/>
        <v>5.8499999999999996E-2</v>
      </c>
      <c r="BR149" s="538"/>
      <c r="BT149" s="469">
        <f t="shared" si="232"/>
        <v>70.2</v>
      </c>
      <c r="BU149" s="538">
        <f t="shared" si="233"/>
        <v>4.5702508527588363E-3</v>
      </c>
      <c r="BV149" s="538">
        <f t="shared" si="234"/>
        <v>421495.10315097106</v>
      </c>
      <c r="BW149" s="538">
        <f t="shared" si="235"/>
        <v>17126334.313674565</v>
      </c>
      <c r="BX149" s="538">
        <f t="shared" si="236"/>
        <v>0</v>
      </c>
      <c r="BY149" s="538">
        <f t="shared" si="180"/>
        <v>-14.000009972750505</v>
      </c>
      <c r="BZ149" s="538">
        <f t="shared" si="250"/>
        <v>17547829.421395786</v>
      </c>
      <c r="CA149" s="641">
        <f t="shared" si="270"/>
        <v>7.1500000000000001E-3</v>
      </c>
      <c r="CB149" s="469">
        <f t="shared" si="238"/>
        <v>35095644849.931602</v>
      </c>
      <c r="CC149" s="177">
        <f t="shared" si="251"/>
        <v>8488646.503752647</v>
      </c>
      <c r="CD149" s="5">
        <f t="shared" si="239"/>
        <v>2.145</v>
      </c>
      <c r="CE149" s="177">
        <f t="shared" si="240"/>
        <v>2.5269039734789759E-7</v>
      </c>
      <c r="CF149" s="5">
        <f t="shared" si="241"/>
        <v>2.526903973478976E-5</v>
      </c>
      <c r="CG149">
        <f t="shared" si="242"/>
        <v>39.000000000000007</v>
      </c>
      <c r="CI149" s="571">
        <f t="shared" si="271"/>
        <v>-50</v>
      </c>
      <c r="CJ149">
        <f t="shared" si="272"/>
        <v>-50</v>
      </c>
    </row>
    <row r="150" spans="5:88" x14ac:dyDescent="0.25">
      <c r="E150" s="174">
        <v>40</v>
      </c>
      <c r="F150" s="221">
        <f t="shared" si="273"/>
        <v>4.0000000000000008E-2</v>
      </c>
      <c r="G150" s="221">
        <f t="shared" si="252"/>
        <v>0.2</v>
      </c>
      <c r="H150" s="221">
        <f t="shared" si="253"/>
        <v>0.60000000000000009</v>
      </c>
      <c r="I150" s="221">
        <f t="shared" si="254"/>
        <v>1.6</v>
      </c>
      <c r="J150" s="551">
        <f t="shared" si="186"/>
        <v>20</v>
      </c>
      <c r="K150" s="451">
        <f t="shared" si="187"/>
        <v>695386.58000000007</v>
      </c>
      <c r="L150" s="451">
        <f t="shared" si="188"/>
        <v>695406.58000000007</v>
      </c>
      <c r="M150" s="451"/>
      <c r="N150" s="221">
        <f t="shared" si="189"/>
        <v>0.9999712398464794</v>
      </c>
      <c r="O150" s="176">
        <f t="shared" si="255"/>
        <v>1.8408561460810189</v>
      </c>
      <c r="P150" s="176">
        <f t="shared" si="256"/>
        <v>4.908949722882717</v>
      </c>
      <c r="Q150" s="221">
        <f t="shared" si="192"/>
        <v>0.12272374307206793</v>
      </c>
      <c r="R150" s="221">
        <f t="shared" si="257"/>
        <v>0.23010701826012736</v>
      </c>
      <c r="S150" s="221">
        <f t="shared" si="258"/>
        <v>15</v>
      </c>
      <c r="T150" s="221">
        <f t="shared" si="259"/>
        <v>0.2444514749063911</v>
      </c>
      <c r="U150" s="221">
        <f t="shared" si="196"/>
        <v>0.36667721235958667</v>
      </c>
      <c r="V150" s="221">
        <f t="shared" si="197"/>
        <v>1.0545996224419132E-5</v>
      </c>
      <c r="W150" s="201">
        <f t="shared" si="198"/>
        <v>350</v>
      </c>
      <c r="X150" s="451">
        <f t="shared" si="199"/>
        <v>350</v>
      </c>
      <c r="Z150" s="221">
        <f t="shared" si="200"/>
        <v>1.9047071235171036</v>
      </c>
      <c r="AA150" s="177">
        <f t="shared" si="201"/>
        <v>8.2171867201568798E-5</v>
      </c>
      <c r="AB150" s="177">
        <f t="shared" si="260"/>
        <v>0.34129476953431226</v>
      </c>
      <c r="AC150" s="177"/>
      <c r="AD150" s="177">
        <f t="shared" si="203"/>
        <v>6.4712206554230591E-6</v>
      </c>
      <c r="AE150" s="555">
        <f t="shared" si="261"/>
        <v>6614.1234567901265</v>
      </c>
      <c r="AF150" s="538">
        <f t="shared" si="262"/>
        <v>2.1166825946720815E-3</v>
      </c>
      <c r="AH150" s="177">
        <f t="shared" si="263"/>
        <v>0.64733887497014964</v>
      </c>
      <c r="AI150" s="177">
        <f t="shared" si="264"/>
        <v>0.64733887497014964</v>
      </c>
      <c r="AJ150" s="177">
        <f t="shared" si="265"/>
        <v>1.5683991666445551</v>
      </c>
      <c r="AL150" s="555">
        <f t="shared" si="266"/>
        <v>40.000000000000007</v>
      </c>
      <c r="AM150" s="469">
        <f t="shared" si="267"/>
        <v>350</v>
      </c>
      <c r="AO150" s="469">
        <f t="shared" si="211"/>
        <v>40.000000000000007</v>
      </c>
      <c r="AP150" s="469">
        <f t="shared" si="212"/>
        <v>350</v>
      </c>
      <c r="AR150" s="5">
        <f t="shared" si="249"/>
        <v>2.8571428571428572</v>
      </c>
      <c r="AS150" s="5">
        <f t="shared" si="246"/>
        <v>0.97100831245522445</v>
      </c>
      <c r="AT150" s="5">
        <f t="shared" si="247"/>
        <v>1.8861345446876328</v>
      </c>
      <c r="AU150" s="177">
        <f t="shared" si="248"/>
        <v>0.33985290935932855</v>
      </c>
      <c r="AW150" s="5">
        <f t="shared" si="216"/>
        <v>0.2589355499880599</v>
      </c>
      <c r="AX150" s="5"/>
      <c r="AY150" s="5">
        <f t="shared" si="217"/>
        <v>2.4275207811380612</v>
      </c>
      <c r="AZ150" s="5"/>
      <c r="BA150" s="5">
        <f t="shared" si="218"/>
        <v>5.239262624132314E-2</v>
      </c>
      <c r="BB150" s="5"/>
      <c r="BC150" s="5"/>
      <c r="BD150" s="177">
        <f t="shared" si="219"/>
        <v>0.21787959403719059</v>
      </c>
      <c r="BE150" s="177">
        <f t="shared" si="220"/>
        <v>3783.8302113482473</v>
      </c>
      <c r="BF150" s="177">
        <f t="shared" si="221"/>
        <v>18682.853468522415</v>
      </c>
      <c r="BG150" s="177"/>
      <c r="BH150" s="538">
        <f t="shared" si="222"/>
        <v>1.6615031124233841E-2</v>
      </c>
      <c r="BI150" s="538">
        <f t="shared" si="223"/>
        <v>787.78649800206892</v>
      </c>
      <c r="BJ150" s="538">
        <f t="shared" si="224"/>
        <v>4.3749999999999995E-3</v>
      </c>
      <c r="BK150" s="538">
        <f t="shared" si="225"/>
        <v>8462830.4513776898</v>
      </c>
      <c r="BL150">
        <f t="shared" si="226"/>
        <v>5.7999999999999996E-3</v>
      </c>
      <c r="BM150">
        <f t="shared" si="268"/>
        <v>1.3124999999999999E-5</v>
      </c>
      <c r="BN150">
        <f t="shared" si="269"/>
        <v>8489643.0405002367</v>
      </c>
      <c r="BO150" s="469">
        <f t="shared" si="229"/>
        <v>8463618264.6657228</v>
      </c>
      <c r="BP150" s="177">
        <f t="shared" si="230"/>
        <v>1.2000000000000002E-2</v>
      </c>
      <c r="BQ150" s="177">
        <f t="shared" si="231"/>
        <v>0.06</v>
      </c>
      <c r="BR150" s="538"/>
      <c r="BT150" s="469">
        <f t="shared" si="232"/>
        <v>72</v>
      </c>
      <c r="BU150" s="538">
        <f t="shared" si="233"/>
        <v>4.7471517497810981E-3</v>
      </c>
      <c r="BV150" s="538">
        <f t="shared" si="234"/>
        <v>429521.13204935164</v>
      </c>
      <c r="BW150" s="538">
        <f t="shared" si="235"/>
        <v>17452450.686314002</v>
      </c>
      <c r="BX150" s="538">
        <f t="shared" si="236"/>
        <v>0</v>
      </c>
      <c r="BY150" s="538">
        <f t="shared" si="180"/>
        <v>-14.000009786399625</v>
      </c>
      <c r="BZ150" s="538">
        <f t="shared" si="250"/>
        <v>17881971.823110506</v>
      </c>
      <c r="CA150" s="641">
        <f t="shared" si="270"/>
        <v>7.3333333333333332E-3</v>
      </c>
      <c r="CB150" s="469">
        <f t="shared" si="238"/>
        <v>35763929653.544556</v>
      </c>
      <c r="CC150" s="177">
        <f t="shared" si="251"/>
        <v>8489629.1198237836</v>
      </c>
      <c r="CD150" s="5">
        <f t="shared" si="239"/>
        <v>2.2000000000000002</v>
      </c>
      <c r="CE150" s="177">
        <f t="shared" si="240"/>
        <v>2.5913963953450748E-7</v>
      </c>
      <c r="CF150" s="5">
        <f t="shared" si="241"/>
        <v>2.5913963953450746E-5</v>
      </c>
      <c r="CG150">
        <f t="shared" si="242"/>
        <v>40.000000000000007</v>
      </c>
      <c r="CI150" s="571">
        <f t="shared" si="271"/>
        <v>-50</v>
      </c>
      <c r="CJ150">
        <f t="shared" si="272"/>
        <v>-50</v>
      </c>
    </row>
    <row r="151" spans="5:88" x14ac:dyDescent="0.25">
      <c r="E151" s="174">
        <v>41</v>
      </c>
      <c r="F151" s="221">
        <f t="shared" si="273"/>
        <v>4.1000000000000002E-2</v>
      </c>
      <c r="G151" s="221">
        <f t="shared" si="252"/>
        <v>0.20499999999999999</v>
      </c>
      <c r="H151" s="221">
        <f t="shared" si="253"/>
        <v>0.61499999999999999</v>
      </c>
      <c r="I151" s="221">
        <f t="shared" si="254"/>
        <v>1.64</v>
      </c>
      <c r="J151" s="551">
        <f t="shared" si="186"/>
        <v>20</v>
      </c>
      <c r="K151" s="451">
        <f t="shared" si="187"/>
        <v>695386.58000000007</v>
      </c>
      <c r="L151" s="451">
        <f t="shared" si="188"/>
        <v>695406.58000000007</v>
      </c>
      <c r="M151" s="451"/>
      <c r="N151" s="221">
        <f t="shared" si="189"/>
        <v>0.9999712398464794</v>
      </c>
      <c r="O151" s="176">
        <f t="shared" si="255"/>
        <v>1.8408561460810189</v>
      </c>
      <c r="P151" s="176">
        <f t="shared" si="256"/>
        <v>4.908949722882717</v>
      </c>
      <c r="Q151" s="221">
        <f t="shared" si="192"/>
        <v>0.12272374307206793</v>
      </c>
      <c r="R151" s="221">
        <f t="shared" si="257"/>
        <v>0.23010701826012736</v>
      </c>
      <c r="S151" s="221">
        <f t="shared" si="258"/>
        <v>15</v>
      </c>
      <c r="T151" s="221">
        <f t="shared" si="259"/>
        <v>0.25056276177905085</v>
      </c>
      <c r="U151" s="221">
        <f t="shared" si="196"/>
        <v>0.3758441426685763</v>
      </c>
      <c r="V151" s="221">
        <f t="shared" si="197"/>
        <v>1.080964613002961E-5</v>
      </c>
      <c r="W151" s="201">
        <f t="shared" si="198"/>
        <v>350</v>
      </c>
      <c r="X151" s="451">
        <f t="shared" si="199"/>
        <v>350</v>
      </c>
      <c r="Z151" s="221">
        <f t="shared" si="200"/>
        <v>1.9047071235171036</v>
      </c>
      <c r="AA151" s="177">
        <f t="shared" si="201"/>
        <v>8.2171867201568798E-5</v>
      </c>
      <c r="AB151" s="177">
        <f t="shared" si="260"/>
        <v>0.34129476953431226</v>
      </c>
      <c r="AC151" s="177"/>
      <c r="AD151" s="177">
        <f t="shared" si="203"/>
        <v>6.4712206554230591E-6</v>
      </c>
      <c r="AE151" s="555">
        <f t="shared" si="261"/>
        <v>6779.4765432098784</v>
      </c>
      <c r="AF151" s="538">
        <f t="shared" si="262"/>
        <v>2.1166825946720815E-3</v>
      </c>
      <c r="AH151" s="177">
        <f t="shared" si="263"/>
        <v>0.65538066001661166</v>
      </c>
      <c r="AI151" s="177">
        <f t="shared" si="264"/>
        <v>0.65538066001661166</v>
      </c>
      <c r="AJ151" s="177">
        <f t="shared" si="265"/>
        <v>1.5743560444567493</v>
      </c>
      <c r="AL151" s="555">
        <f t="shared" si="266"/>
        <v>41</v>
      </c>
      <c r="AM151" s="469">
        <f t="shared" si="267"/>
        <v>350</v>
      </c>
      <c r="AO151" s="469">
        <f t="shared" si="211"/>
        <v>41</v>
      </c>
      <c r="AP151" s="469">
        <f t="shared" si="212"/>
        <v>350</v>
      </c>
      <c r="AR151" s="5">
        <f t="shared" si="249"/>
        <v>2.8571428571428572</v>
      </c>
      <c r="AS151" s="5">
        <f t="shared" si="246"/>
        <v>0.9830709900249176</v>
      </c>
      <c r="AT151" s="5">
        <f t="shared" si="247"/>
        <v>1.8740718671179395</v>
      </c>
      <c r="AU151" s="177">
        <f t="shared" si="248"/>
        <v>0.34407484650872117</v>
      </c>
      <c r="AW151" s="5">
        <f t="shared" si="216"/>
        <v>0.26870607060681084</v>
      </c>
      <c r="AX151" s="5"/>
      <c r="AY151" s="5">
        <f t="shared" si="217"/>
        <v>2.5191194119388514</v>
      </c>
      <c r="AZ151" s="5"/>
      <c r="BA151" s="5">
        <f t="shared" si="218"/>
        <v>5.3358990660996877E-2</v>
      </c>
      <c r="BB151" s="5"/>
      <c r="BC151" s="5"/>
      <c r="BD151" s="177">
        <f t="shared" si="219"/>
        <v>0.2219522011858604</v>
      </c>
      <c r="BE151" s="177">
        <f t="shared" si="220"/>
        <v>3818.5665079885466</v>
      </c>
      <c r="BF151" s="177">
        <f t="shared" si="221"/>
        <v>18854.365693945074</v>
      </c>
      <c r="BG151" s="177"/>
      <c r="BH151" s="538">
        <f t="shared" si="222"/>
        <v>1.7241972863937027E-2</v>
      </c>
      <c r="BI151" s="538">
        <f t="shared" si="223"/>
        <v>797.57304091551578</v>
      </c>
      <c r="BJ151" s="538">
        <f t="shared" si="224"/>
        <v>4.3749999999999995E-3</v>
      </c>
      <c r="BK151" s="538">
        <f t="shared" si="225"/>
        <v>8462830.4513776898</v>
      </c>
      <c r="BL151">
        <f t="shared" si="226"/>
        <v>5.7999999999999996E-3</v>
      </c>
      <c r="BM151">
        <f t="shared" si="268"/>
        <v>1.3124999999999999E-5</v>
      </c>
      <c r="BN151">
        <f t="shared" si="269"/>
        <v>8490637.9962382037</v>
      </c>
      <c r="BO151" s="469">
        <f t="shared" si="229"/>
        <v>8463628051.835578</v>
      </c>
      <c r="BP151" s="177">
        <f t="shared" si="230"/>
        <v>1.23E-2</v>
      </c>
      <c r="BQ151" s="177">
        <f t="shared" si="231"/>
        <v>6.1499999999999992E-2</v>
      </c>
      <c r="BR151" s="538"/>
      <c r="BT151" s="469">
        <f t="shared" si="232"/>
        <v>73.8</v>
      </c>
      <c r="BU151" s="538">
        <f t="shared" si="233"/>
        <v>4.9262779611248652E-3</v>
      </c>
      <c r="BV151" s="538">
        <f t="shared" si="234"/>
        <v>437443.50527795526</v>
      </c>
      <c r="BW151" s="538">
        <f t="shared" si="235"/>
        <v>17774355.286050644</v>
      </c>
      <c r="BX151" s="538">
        <f t="shared" si="236"/>
        <v>0</v>
      </c>
      <c r="BY151" s="538">
        <f t="shared" si="180"/>
        <v>-14.000009609161737</v>
      </c>
      <c r="BZ151" s="538">
        <f t="shared" si="250"/>
        <v>18211798.796254877</v>
      </c>
      <c r="CA151" s="641">
        <f t="shared" si="270"/>
        <v>7.516666666666668E-3</v>
      </c>
      <c r="CB151" s="469">
        <f t="shared" si="238"/>
        <v>36423583600.016815</v>
      </c>
      <c r="CC151" s="177">
        <f t="shared" si="251"/>
        <v>8490624.077545261</v>
      </c>
      <c r="CD151" s="5">
        <f t="shared" si="239"/>
        <v>2.2549999999999999</v>
      </c>
      <c r="CE151" s="177">
        <f t="shared" si="240"/>
        <v>2.6558700285235746E-7</v>
      </c>
      <c r="CF151" s="5">
        <f t="shared" si="241"/>
        <v>2.6558700285235747E-5</v>
      </c>
      <c r="CG151">
        <f t="shared" si="242"/>
        <v>41</v>
      </c>
      <c r="CI151" s="571">
        <f t="shared" si="271"/>
        <v>-50</v>
      </c>
      <c r="CJ151">
        <f t="shared" si="272"/>
        <v>-50</v>
      </c>
    </row>
    <row r="152" spans="5:88" x14ac:dyDescent="0.25">
      <c r="E152" s="174">
        <v>42</v>
      </c>
      <c r="F152" s="221">
        <f t="shared" si="273"/>
        <v>4.2000000000000003E-2</v>
      </c>
      <c r="G152" s="221">
        <f t="shared" si="252"/>
        <v>0.21</v>
      </c>
      <c r="H152" s="221">
        <f t="shared" si="253"/>
        <v>0.63</v>
      </c>
      <c r="I152" s="221">
        <f t="shared" si="254"/>
        <v>1.68</v>
      </c>
      <c r="J152" s="551">
        <f t="shared" si="186"/>
        <v>20</v>
      </c>
      <c r="K152" s="451">
        <f t="shared" si="187"/>
        <v>695386.58000000007</v>
      </c>
      <c r="L152" s="451">
        <f t="shared" si="188"/>
        <v>695406.58000000007</v>
      </c>
      <c r="M152" s="451"/>
      <c r="N152" s="221">
        <f t="shared" si="189"/>
        <v>0.9999712398464794</v>
      </c>
      <c r="O152" s="176">
        <f t="shared" si="255"/>
        <v>1.8408561460810189</v>
      </c>
      <c r="P152" s="176">
        <f t="shared" si="256"/>
        <v>4.908949722882717</v>
      </c>
      <c r="Q152" s="221">
        <f t="shared" si="192"/>
        <v>0.12272374307206793</v>
      </c>
      <c r="R152" s="221">
        <f t="shared" si="257"/>
        <v>0.23010701826012736</v>
      </c>
      <c r="S152" s="221">
        <f t="shared" si="258"/>
        <v>15</v>
      </c>
      <c r="T152" s="221">
        <f t="shared" si="259"/>
        <v>0.25667404865171062</v>
      </c>
      <c r="U152" s="221">
        <f t="shared" si="196"/>
        <v>0.38501107297756598</v>
      </c>
      <c r="V152" s="221">
        <f t="shared" si="197"/>
        <v>1.1073296035640085E-5</v>
      </c>
      <c r="W152" s="201">
        <f t="shared" si="198"/>
        <v>350</v>
      </c>
      <c r="X152" s="451">
        <f t="shared" si="199"/>
        <v>350</v>
      </c>
      <c r="Z152" s="221">
        <f t="shared" si="200"/>
        <v>1.9047071235171036</v>
      </c>
      <c r="AA152" s="177">
        <f t="shared" si="201"/>
        <v>8.2171867201568798E-5</v>
      </c>
      <c r="AB152" s="177">
        <f t="shared" si="260"/>
        <v>0.34129476953431226</v>
      </c>
      <c r="AC152" s="177"/>
      <c r="AD152" s="177">
        <f t="shared" si="203"/>
        <v>6.4712206554230591E-6</v>
      </c>
      <c r="AE152" s="555">
        <f t="shared" si="261"/>
        <v>6944.8296296296312</v>
      </c>
      <c r="AF152" s="538">
        <f t="shared" si="262"/>
        <v>2.1166825946720815E-3</v>
      </c>
      <c r="AH152" s="177">
        <f t="shared" si="263"/>
        <v>0.66332495807107994</v>
      </c>
      <c r="AI152" s="177">
        <f t="shared" si="264"/>
        <v>0.66332495807107994</v>
      </c>
      <c r="AJ152" s="177">
        <f t="shared" si="265"/>
        <v>1.5802407096822813</v>
      </c>
      <c r="AL152" s="555">
        <f t="shared" si="266"/>
        <v>42</v>
      </c>
      <c r="AM152" s="469">
        <f t="shared" si="267"/>
        <v>350</v>
      </c>
      <c r="AO152" s="469">
        <f t="shared" si="211"/>
        <v>42</v>
      </c>
      <c r="AP152" s="469">
        <f t="shared" si="212"/>
        <v>350</v>
      </c>
      <c r="AR152" s="5">
        <f t="shared" si="249"/>
        <v>2.8571428571428572</v>
      </c>
      <c r="AS152" s="5">
        <f t="shared" si="246"/>
        <v>0.99498743710661997</v>
      </c>
      <c r="AT152" s="5">
        <f t="shared" si="247"/>
        <v>1.8621554200362374</v>
      </c>
      <c r="AU152" s="177">
        <f t="shared" si="248"/>
        <v>0.34824560298731699</v>
      </c>
      <c r="AW152" s="5">
        <f t="shared" si="216"/>
        <v>0.27859648238985357</v>
      </c>
      <c r="AX152" s="5"/>
      <c r="AY152" s="5">
        <f t="shared" si="217"/>
        <v>2.6118420224048773</v>
      </c>
      <c r="AZ152" s="5"/>
      <c r="BA152" s="5">
        <f t="shared" si="218"/>
        <v>5.4312866417723572E-2</v>
      </c>
      <c r="BB152" s="5"/>
      <c r="BC152" s="5"/>
      <c r="BD152" s="177">
        <f t="shared" si="219"/>
        <v>0.22600004816697086</v>
      </c>
      <c r="BE152" s="177">
        <f t="shared" si="220"/>
        <v>3852.546754751686</v>
      </c>
      <c r="BF152" s="177">
        <f t="shared" si="221"/>
        <v>19022.144884775564</v>
      </c>
      <c r="BG152" s="177"/>
      <c r="BH152" s="538">
        <f t="shared" si="222"/>
        <v>1.7876607620015601E-2</v>
      </c>
      <c r="BI152" s="538">
        <f t="shared" si="223"/>
        <v>807.2409459114931</v>
      </c>
      <c r="BJ152" s="538">
        <f t="shared" si="224"/>
        <v>4.3749999999999995E-3</v>
      </c>
      <c r="BK152" s="538">
        <f t="shared" si="225"/>
        <v>8462830.4513776898</v>
      </c>
      <c r="BL152">
        <f t="shared" si="226"/>
        <v>5.7999999999999996E-3</v>
      </c>
      <c r="BM152">
        <f t="shared" si="268"/>
        <v>1.3124999999999999E-5</v>
      </c>
      <c r="BN152">
        <f t="shared" si="269"/>
        <v>8491645.1564718895</v>
      </c>
      <c r="BO152" s="469">
        <f t="shared" si="229"/>
        <v>8463637720.3752079</v>
      </c>
      <c r="BP152" s="177">
        <f t="shared" si="230"/>
        <v>1.26E-2</v>
      </c>
      <c r="BQ152" s="177">
        <f t="shared" si="231"/>
        <v>6.3E-2</v>
      </c>
      <c r="BR152" s="538"/>
      <c r="BT152" s="469">
        <f t="shared" si="232"/>
        <v>75.599999999999994</v>
      </c>
      <c r="BU152" s="538">
        <f t="shared" si="233"/>
        <v>5.1076021771473152E-3</v>
      </c>
      <c r="BV152" s="538">
        <f t="shared" si="234"/>
        <v>445263.49492643244</v>
      </c>
      <c r="BW152" s="538">
        <f t="shared" si="235"/>
        <v>18092099.800869659</v>
      </c>
      <c r="BX152" s="538">
        <f t="shared" si="236"/>
        <v>0</v>
      </c>
      <c r="BY152" s="538">
        <f t="shared" si="180"/>
        <v>-14.00000944039965</v>
      </c>
      <c r="BZ152" s="538">
        <f t="shared" si="250"/>
        <v>18537363.300903693</v>
      </c>
      <c r="CA152" s="641">
        <f t="shared" si="270"/>
        <v>7.6999999999999994E-3</v>
      </c>
      <c r="CB152" s="469">
        <f t="shared" si="238"/>
        <v>37074712609.497948</v>
      </c>
      <c r="CC152" s="177">
        <f t="shared" si="251"/>
        <v>8491631.2397624478</v>
      </c>
      <c r="CD152" s="5">
        <f t="shared" si="239"/>
        <v>2.31</v>
      </c>
      <c r="CE152" s="177">
        <f t="shared" si="240"/>
        <v>2.7203246424412906E-7</v>
      </c>
      <c r="CF152" s="5">
        <f t="shared" si="241"/>
        <v>2.7203246424412905E-5</v>
      </c>
      <c r="CG152">
        <f t="shared" si="242"/>
        <v>42</v>
      </c>
      <c r="CI152" s="571">
        <f t="shared" si="271"/>
        <v>-50</v>
      </c>
      <c r="CJ152">
        <f t="shared" si="272"/>
        <v>-50</v>
      </c>
    </row>
    <row r="153" spans="5:88" x14ac:dyDescent="0.25">
      <c r="E153" s="174">
        <v>43</v>
      </c>
      <c r="F153" s="221">
        <f t="shared" si="273"/>
        <v>4.3000000000000003E-2</v>
      </c>
      <c r="G153" s="221">
        <f t="shared" si="252"/>
        <v>0.215</v>
      </c>
      <c r="H153" s="221">
        <f t="shared" si="253"/>
        <v>0.64500000000000002</v>
      </c>
      <c r="I153" s="221">
        <f t="shared" si="254"/>
        <v>1.72</v>
      </c>
      <c r="J153" s="551">
        <f t="shared" si="186"/>
        <v>20</v>
      </c>
      <c r="K153" s="451">
        <f t="shared" si="187"/>
        <v>695386.58000000007</v>
      </c>
      <c r="L153" s="451">
        <f t="shared" si="188"/>
        <v>695406.58000000007</v>
      </c>
      <c r="M153" s="451"/>
      <c r="N153" s="221">
        <f t="shared" si="189"/>
        <v>0.9999712398464794</v>
      </c>
      <c r="O153" s="176">
        <f t="shared" si="255"/>
        <v>1.8408561460810189</v>
      </c>
      <c r="P153" s="176">
        <f t="shared" si="256"/>
        <v>4.908949722882717</v>
      </c>
      <c r="Q153" s="221">
        <f t="shared" si="192"/>
        <v>0.12272374307206793</v>
      </c>
      <c r="R153" s="221">
        <f t="shared" si="257"/>
        <v>0.23010701826012736</v>
      </c>
      <c r="S153" s="221">
        <f t="shared" si="258"/>
        <v>15</v>
      </c>
      <c r="T153" s="221">
        <f t="shared" si="259"/>
        <v>0.26278533552437044</v>
      </c>
      <c r="U153" s="221">
        <f t="shared" si="196"/>
        <v>0.39417800328655567</v>
      </c>
      <c r="V153" s="221">
        <f t="shared" si="197"/>
        <v>1.1336945941250566E-5</v>
      </c>
      <c r="W153" s="201">
        <f t="shared" si="198"/>
        <v>350</v>
      </c>
      <c r="X153" s="451">
        <f t="shared" si="199"/>
        <v>350</v>
      </c>
      <c r="Z153" s="221">
        <f t="shared" si="200"/>
        <v>1.9047071235171036</v>
      </c>
      <c r="AA153" s="177">
        <f t="shared" si="201"/>
        <v>8.2171867201568798E-5</v>
      </c>
      <c r="AB153" s="177">
        <f t="shared" si="260"/>
        <v>0.34129476953431226</v>
      </c>
      <c r="AC153" s="177"/>
      <c r="AD153" s="177">
        <f t="shared" si="203"/>
        <v>6.4712206554230591E-6</v>
      </c>
      <c r="AE153" s="555">
        <f t="shared" si="261"/>
        <v>7110.1827160493849</v>
      </c>
      <c r="AF153" s="538">
        <f t="shared" si="262"/>
        <v>2.1166825946720815E-3</v>
      </c>
      <c r="AH153" s="177">
        <f t="shared" si="263"/>
        <v>0.67117523082738273</v>
      </c>
      <c r="AI153" s="177">
        <f t="shared" si="264"/>
        <v>0.67117523082738273</v>
      </c>
      <c r="AJ153" s="177">
        <f t="shared" si="265"/>
        <v>1.586055726538802</v>
      </c>
      <c r="AL153" s="555">
        <f t="shared" si="266"/>
        <v>43</v>
      </c>
      <c r="AM153" s="469">
        <f t="shared" si="267"/>
        <v>350</v>
      </c>
      <c r="AO153" s="469">
        <f t="shared" si="211"/>
        <v>43</v>
      </c>
      <c r="AP153" s="469">
        <f t="shared" si="212"/>
        <v>350</v>
      </c>
      <c r="AR153" s="5">
        <f t="shared" si="249"/>
        <v>2.8571428571428572</v>
      </c>
      <c r="AS153" s="5">
        <f t="shared" si="246"/>
        <v>1.006762846241074</v>
      </c>
      <c r="AT153" s="5">
        <f t="shared" si="247"/>
        <v>1.8503800109017832</v>
      </c>
      <c r="AU153" s="177">
        <f t="shared" si="248"/>
        <v>0.35236699618437589</v>
      </c>
      <c r="AW153" s="5">
        <f t="shared" si="216"/>
        <v>0.28860534925577458</v>
      </c>
      <c r="AX153" s="5"/>
      <c r="AY153" s="5">
        <f t="shared" si="217"/>
        <v>2.7056751492728863</v>
      </c>
      <c r="AZ153" s="5"/>
      <c r="BA153" s="5">
        <f t="shared" si="218"/>
        <v>5.5254403103317126E-2</v>
      </c>
      <c r="BB153" s="5"/>
      <c r="BC153" s="5"/>
      <c r="BD153" s="177">
        <f t="shared" si="219"/>
        <v>0.23002386984157103</v>
      </c>
      <c r="BE153" s="177">
        <f t="shared" si="220"/>
        <v>3885.796046143339</v>
      </c>
      <c r="BF153" s="177">
        <f t="shared" si="221"/>
        <v>19186.314946407663</v>
      </c>
      <c r="BG153" s="177"/>
      <c r="BH153" s="538">
        <f t="shared" si="222"/>
        <v>1.85188432439122E-2</v>
      </c>
      <c r="BI153" s="538">
        <f t="shared" si="223"/>
        <v>816.79442573816641</v>
      </c>
      <c r="BJ153" s="538">
        <f t="shared" si="224"/>
        <v>4.3749999999999995E-3</v>
      </c>
      <c r="BK153" s="538">
        <f t="shared" si="225"/>
        <v>8462830.4513776898</v>
      </c>
      <c r="BL153">
        <f t="shared" si="226"/>
        <v>5.7999999999999996E-3</v>
      </c>
      <c r="BM153">
        <f t="shared" si="268"/>
        <v>1.3124999999999999E-5</v>
      </c>
      <c r="BN153">
        <f t="shared" si="269"/>
        <v>8492664.3891511466</v>
      </c>
      <c r="BO153" s="469">
        <f t="shared" si="229"/>
        <v>8463647274.4972706</v>
      </c>
      <c r="BP153" s="177">
        <f t="shared" si="230"/>
        <v>1.29E-2</v>
      </c>
      <c r="BQ153" s="177">
        <f t="shared" si="231"/>
        <v>6.4500000000000002E-2</v>
      </c>
      <c r="BR153" s="538"/>
      <c r="BT153" s="469">
        <f t="shared" si="232"/>
        <v>77.399999999999991</v>
      </c>
      <c r="BU153" s="538">
        <f t="shared" si="233"/>
        <v>5.2910980696892007E-3</v>
      </c>
      <c r="BV153" s="538">
        <f t="shared" si="234"/>
        <v>452982.3273666962</v>
      </c>
      <c r="BW153" s="538">
        <f t="shared" si="235"/>
        <v>18405734.061137304</v>
      </c>
      <c r="BX153" s="538">
        <f t="shared" si="236"/>
        <v>0</v>
      </c>
      <c r="BY153" s="538">
        <f t="shared" si="180"/>
        <v>-14.000009279534851</v>
      </c>
      <c r="BZ153" s="538">
        <f t="shared" si="250"/>
        <v>18858716.393795099</v>
      </c>
      <c r="CA153" s="641">
        <f t="shared" si="270"/>
        <v>7.8833333333333325E-3</v>
      </c>
      <c r="CB153" s="469">
        <f t="shared" si="238"/>
        <v>37717418795.464256</v>
      </c>
      <c r="CC153" s="177">
        <f t="shared" si="251"/>
        <v>8492650.4744252004</v>
      </c>
      <c r="CD153" s="5">
        <f t="shared" si="239"/>
        <v>2.3650000000000002</v>
      </c>
      <c r="CE153" s="177">
        <f t="shared" si="240"/>
        <v>2.7847600092882969E-7</v>
      </c>
      <c r="CF153" s="5">
        <f t="shared" si="241"/>
        <v>2.7847600092882967E-5</v>
      </c>
      <c r="CG153">
        <f t="shared" si="242"/>
        <v>43</v>
      </c>
      <c r="CI153" s="571">
        <f t="shared" si="271"/>
        <v>-50</v>
      </c>
      <c r="CJ153">
        <f t="shared" si="272"/>
        <v>-50</v>
      </c>
    </row>
    <row r="154" spans="5:88" x14ac:dyDescent="0.25">
      <c r="E154" s="174">
        <v>44</v>
      </c>
      <c r="F154" s="221">
        <f t="shared" si="273"/>
        <v>4.4000000000000004E-2</v>
      </c>
      <c r="G154" s="221">
        <f t="shared" si="252"/>
        <v>0.22</v>
      </c>
      <c r="H154" s="221">
        <f t="shared" si="253"/>
        <v>0.66</v>
      </c>
      <c r="I154" s="221">
        <f t="shared" si="254"/>
        <v>1.76</v>
      </c>
      <c r="J154" s="551">
        <f t="shared" si="186"/>
        <v>20</v>
      </c>
      <c r="K154" s="451">
        <f t="shared" si="187"/>
        <v>695386.58000000007</v>
      </c>
      <c r="L154" s="451">
        <f t="shared" si="188"/>
        <v>695406.58000000007</v>
      </c>
      <c r="M154" s="451"/>
      <c r="N154" s="221">
        <f t="shared" si="189"/>
        <v>0.9999712398464794</v>
      </c>
      <c r="O154" s="176">
        <f t="shared" si="255"/>
        <v>1.8408561460810189</v>
      </c>
      <c r="P154" s="176">
        <f t="shared" si="256"/>
        <v>4.908949722882717</v>
      </c>
      <c r="Q154" s="221">
        <f t="shared" si="192"/>
        <v>0.12272374307206793</v>
      </c>
      <c r="R154" s="221">
        <f t="shared" si="257"/>
        <v>0.23010701826012736</v>
      </c>
      <c r="S154" s="221">
        <f t="shared" si="258"/>
        <v>15</v>
      </c>
      <c r="T154" s="221">
        <f t="shared" si="259"/>
        <v>0.26889662239703016</v>
      </c>
      <c r="U154" s="221">
        <f t="shared" si="196"/>
        <v>0.40334493359554524</v>
      </c>
      <c r="V154" s="221">
        <f t="shared" si="197"/>
        <v>1.1600595846861042E-5</v>
      </c>
      <c r="W154" s="201">
        <f t="shared" si="198"/>
        <v>350</v>
      </c>
      <c r="X154" s="451">
        <f t="shared" si="199"/>
        <v>350</v>
      </c>
      <c r="Z154" s="221">
        <f t="shared" si="200"/>
        <v>1.9047071235171036</v>
      </c>
      <c r="AA154" s="177">
        <f t="shared" si="201"/>
        <v>8.2171867201568798E-5</v>
      </c>
      <c r="AB154" s="177">
        <f t="shared" si="260"/>
        <v>0.34129476953431226</v>
      </c>
      <c r="AC154" s="177"/>
      <c r="AD154" s="177">
        <f t="shared" si="203"/>
        <v>6.4712206554230591E-6</v>
      </c>
      <c r="AE154" s="555">
        <f t="shared" si="261"/>
        <v>7275.5358024691377</v>
      </c>
      <c r="AF154" s="538">
        <f t="shared" si="262"/>
        <v>2.1166825946720815E-3</v>
      </c>
      <c r="AH154" s="177">
        <f t="shared" si="263"/>
        <v>0.6789347398332044</v>
      </c>
      <c r="AI154" s="177">
        <f t="shared" si="264"/>
        <v>0.6789347398332044</v>
      </c>
      <c r="AJ154" s="177">
        <f t="shared" si="265"/>
        <v>1.5918035109875588</v>
      </c>
      <c r="AL154" s="555">
        <f t="shared" si="266"/>
        <v>44.000000000000007</v>
      </c>
      <c r="AM154" s="469">
        <f t="shared" si="267"/>
        <v>350</v>
      </c>
      <c r="AO154" s="469">
        <f t="shared" si="211"/>
        <v>44.000000000000007</v>
      </c>
      <c r="AP154" s="469">
        <f t="shared" si="212"/>
        <v>350</v>
      </c>
      <c r="AR154" s="5">
        <f t="shared" si="249"/>
        <v>2.8571428571428572</v>
      </c>
      <c r="AS154" s="5">
        <f t="shared" si="246"/>
        <v>1.0184021097498066</v>
      </c>
      <c r="AT154" s="5">
        <f t="shared" si="247"/>
        <v>1.8387407473930506</v>
      </c>
      <c r="AU154" s="177">
        <f t="shared" si="248"/>
        <v>0.35644073841243229</v>
      </c>
      <c r="AW154" s="5">
        <f t="shared" si="216"/>
        <v>0.29873128552660994</v>
      </c>
      <c r="AX154" s="5"/>
      <c r="AY154" s="5">
        <f t="shared" si="217"/>
        <v>2.8006058018119684</v>
      </c>
      <c r="AZ154" s="5"/>
      <c r="BA154" s="5">
        <f t="shared" si="218"/>
        <v>5.6183745059232085E-2</v>
      </c>
      <c r="BB154" s="5"/>
      <c r="BC154" s="5"/>
      <c r="BD154" s="177">
        <f t="shared" si="219"/>
        <v>0.23402436272009194</v>
      </c>
      <c r="BE154" s="177">
        <f t="shared" si="220"/>
        <v>3918.3380232252111</v>
      </c>
      <c r="BF154" s="177">
        <f t="shared" si="221"/>
        <v>19346.992607781904</v>
      </c>
      <c r="BG154" s="177"/>
      <c r="BH154" s="538">
        <f t="shared" si="222"/>
        <v>1.9168590821290805E-2</v>
      </c>
      <c r="BI154" s="538">
        <f t="shared" si="223"/>
        <v>826.23744957354734</v>
      </c>
      <c r="BJ154" s="538">
        <f t="shared" si="224"/>
        <v>4.3749999999999995E-3</v>
      </c>
      <c r="BK154" s="538">
        <f t="shared" si="225"/>
        <v>8462830.4513776898</v>
      </c>
      <c r="BL154">
        <f t="shared" si="226"/>
        <v>5.7999999999999996E-3</v>
      </c>
      <c r="BM154">
        <f t="shared" si="268"/>
        <v>1.3124999999999999E-5</v>
      </c>
      <c r="BN154">
        <f t="shared" si="269"/>
        <v>8493695.5670380499</v>
      </c>
      <c r="BO154" s="469">
        <f t="shared" si="229"/>
        <v>8463656718.1708536</v>
      </c>
      <c r="BP154" s="177">
        <f t="shared" si="230"/>
        <v>1.3200000000000002E-2</v>
      </c>
      <c r="BQ154" s="177">
        <f t="shared" si="231"/>
        <v>6.6000000000000003E-2</v>
      </c>
      <c r="BR154" s="538"/>
      <c r="BT154" s="469">
        <f t="shared" si="232"/>
        <v>79.2</v>
      </c>
      <c r="BU154" s="538">
        <f t="shared" si="233"/>
        <v>5.4767402346545162E-3</v>
      </c>
      <c r="BV154" s="538">
        <f t="shared" si="234"/>
        <v>460601.18592757365</v>
      </c>
      <c r="BW154" s="538">
        <f t="shared" si="235"/>
        <v>18715306.148278382</v>
      </c>
      <c r="BX154" s="538">
        <f t="shared" si="236"/>
        <v>0</v>
      </c>
      <c r="BY154" s="538">
        <f t="shared" si="180"/>
        <v>-14.000009126040872</v>
      </c>
      <c r="BZ154" s="538">
        <f t="shared" si="250"/>
        <v>19175907.339682695</v>
      </c>
      <c r="CA154" s="641">
        <f t="shared" si="270"/>
        <v>8.0666666666666682E-3</v>
      </c>
      <c r="CB154" s="469">
        <f t="shared" si="238"/>
        <v>38351800687.422928</v>
      </c>
      <c r="CC154" s="177">
        <f t="shared" si="251"/>
        <v>8493681.6542955898</v>
      </c>
      <c r="CD154" s="5">
        <f t="shared" si="239"/>
        <v>2.42</v>
      </c>
      <c r="CE154" s="177">
        <f t="shared" si="240"/>
        <v>2.8491759039209365E-7</v>
      </c>
      <c r="CF154" s="5">
        <f t="shared" si="241"/>
        <v>2.8491759039209364E-5</v>
      </c>
      <c r="CG154">
        <f t="shared" si="242"/>
        <v>44</v>
      </c>
      <c r="CI154" s="571">
        <f t="shared" si="271"/>
        <v>-50</v>
      </c>
      <c r="CJ154">
        <f t="shared" si="272"/>
        <v>-50</v>
      </c>
    </row>
    <row r="155" spans="5:88" x14ac:dyDescent="0.25">
      <c r="E155" s="174">
        <v>45</v>
      </c>
      <c r="F155" s="221">
        <f t="shared" si="273"/>
        <v>4.5000000000000005E-2</v>
      </c>
      <c r="G155" s="221">
        <f t="shared" si="252"/>
        <v>0.22500000000000001</v>
      </c>
      <c r="H155" s="221">
        <f t="shared" si="253"/>
        <v>0.67500000000000004</v>
      </c>
      <c r="I155" s="221">
        <f t="shared" si="254"/>
        <v>1.8</v>
      </c>
      <c r="J155" s="551">
        <f t="shared" si="186"/>
        <v>20</v>
      </c>
      <c r="K155" s="451">
        <f t="shared" si="187"/>
        <v>695386.58000000007</v>
      </c>
      <c r="L155" s="451">
        <f t="shared" si="188"/>
        <v>695406.58000000007</v>
      </c>
      <c r="M155" s="451"/>
      <c r="N155" s="221">
        <f t="shared" si="189"/>
        <v>0.9999712398464794</v>
      </c>
      <c r="O155" s="176">
        <f t="shared" si="255"/>
        <v>1.8408561460810189</v>
      </c>
      <c r="P155" s="176">
        <f t="shared" si="256"/>
        <v>4.908949722882717</v>
      </c>
      <c r="Q155" s="221">
        <f t="shared" si="192"/>
        <v>0.12272374307206793</v>
      </c>
      <c r="R155" s="221">
        <f t="shared" si="257"/>
        <v>0.23010701826012736</v>
      </c>
      <c r="S155" s="221">
        <f t="shared" si="258"/>
        <v>15</v>
      </c>
      <c r="T155" s="221">
        <f t="shared" si="259"/>
        <v>0.27500790926968999</v>
      </c>
      <c r="U155" s="221">
        <f t="shared" si="196"/>
        <v>0.41251186390453504</v>
      </c>
      <c r="V155" s="221">
        <f t="shared" si="197"/>
        <v>1.1864245752471524E-5</v>
      </c>
      <c r="W155" s="201">
        <f t="shared" si="198"/>
        <v>350</v>
      </c>
      <c r="X155" s="451">
        <f t="shared" si="199"/>
        <v>350</v>
      </c>
      <c r="Z155" s="221">
        <f t="shared" si="200"/>
        <v>1.9047071235171036</v>
      </c>
      <c r="AA155" s="177">
        <f t="shared" si="201"/>
        <v>8.2171867201568798E-5</v>
      </c>
      <c r="AB155" s="177">
        <f t="shared" si="260"/>
        <v>0.34129476953431226</v>
      </c>
      <c r="AC155" s="177"/>
      <c r="AD155" s="177">
        <f t="shared" si="203"/>
        <v>6.4712206554230591E-6</v>
      </c>
      <c r="AE155" s="555">
        <f t="shared" si="261"/>
        <v>7440.8888888888914</v>
      </c>
      <c r="AF155" s="538">
        <f t="shared" si="262"/>
        <v>2.1166825946720815E-3</v>
      </c>
      <c r="AH155" s="177">
        <f t="shared" si="263"/>
        <v>0.68660656232559514</v>
      </c>
      <c r="AI155" s="177">
        <f t="shared" si="264"/>
        <v>0.68660656232559514</v>
      </c>
      <c r="AJ155" s="177">
        <f t="shared" si="265"/>
        <v>1.5974863424634038</v>
      </c>
      <c r="AL155" s="555">
        <f t="shared" si="266"/>
        <v>45.000000000000007</v>
      </c>
      <c r="AM155" s="469">
        <f t="shared" si="267"/>
        <v>350</v>
      </c>
      <c r="AO155" s="469">
        <f t="shared" si="211"/>
        <v>45.000000000000007</v>
      </c>
      <c r="AP155" s="469">
        <f t="shared" si="212"/>
        <v>350</v>
      </c>
      <c r="AR155" s="5">
        <f t="shared" si="249"/>
        <v>2.8571428571428572</v>
      </c>
      <c r="AS155" s="5">
        <f t="shared" si="246"/>
        <v>1.0299098434883927</v>
      </c>
      <c r="AT155" s="5">
        <f t="shared" si="247"/>
        <v>1.8272330136544646</v>
      </c>
      <c r="AU155" s="177">
        <f t="shared" si="248"/>
        <v>0.36046844522093741</v>
      </c>
      <c r="AW155" s="5">
        <f t="shared" si="216"/>
        <v>0.30897295304651784</v>
      </c>
      <c r="AX155" s="5"/>
      <c r="AY155" s="5">
        <f t="shared" si="217"/>
        <v>2.8966214348111046</v>
      </c>
      <c r="AZ155" s="5"/>
      <c r="BA155" s="5">
        <f t="shared" si="218"/>
        <v>5.710103167670201E-2</v>
      </c>
      <c r="BB155" s="5"/>
      <c r="BC155" s="5"/>
      <c r="BD155" s="177">
        <f t="shared" si="219"/>
        <v>0.23800218778797302</v>
      </c>
      <c r="BE155" s="177">
        <f t="shared" si="220"/>
        <v>3950.1949882479507</v>
      </c>
      <c r="BF155" s="177">
        <f t="shared" si="221"/>
        <v>19504.287987391344</v>
      </c>
      <c r="BG155" s="177"/>
      <c r="BH155" s="538">
        <f t="shared" si="222"/>
        <v>1.9825764487151551E-2</v>
      </c>
      <c r="BI155" s="538">
        <f t="shared" si="223"/>
        <v>835.57376229669831</v>
      </c>
      <c r="BJ155" s="538">
        <f t="shared" si="224"/>
        <v>4.3749999999999995E-3</v>
      </c>
      <c r="BK155" s="538">
        <f t="shared" si="225"/>
        <v>8462830.4513776898</v>
      </c>
      <c r="BL155">
        <f t="shared" si="226"/>
        <v>5.7999999999999996E-3</v>
      </c>
      <c r="BM155">
        <f t="shared" si="268"/>
        <v>1.3124999999999999E-5</v>
      </c>
      <c r="BN155">
        <f t="shared" si="269"/>
        <v>8494738.567437565</v>
      </c>
      <c r="BO155" s="469">
        <f t="shared" si="229"/>
        <v>8463666055.1407509</v>
      </c>
      <c r="BP155" s="177">
        <f t="shared" si="230"/>
        <v>1.3500000000000002E-2</v>
      </c>
      <c r="BQ155" s="177">
        <f t="shared" si="231"/>
        <v>6.7500000000000004E-2</v>
      </c>
      <c r="BR155" s="538"/>
      <c r="BT155" s="469">
        <f t="shared" si="232"/>
        <v>81</v>
      </c>
      <c r="BU155" s="538">
        <f t="shared" si="233"/>
        <v>5.6645041391861582E-3</v>
      </c>
      <c r="BV155" s="538">
        <f t="shared" si="234"/>
        <v>468121.21335537679</v>
      </c>
      <c r="BW155" s="538">
        <f t="shared" si="235"/>
        <v>19020862.494754914</v>
      </c>
      <c r="BX155" s="538">
        <f t="shared" si="236"/>
        <v>0</v>
      </c>
      <c r="BY155" s="538">
        <f t="shared" si="180"/>
        <v>-14.000008979437556</v>
      </c>
      <c r="BZ155" s="538">
        <f t="shared" si="250"/>
        <v>19488983.713774797</v>
      </c>
      <c r="CA155" s="641">
        <f t="shared" si="270"/>
        <v>8.2499999999999987E-3</v>
      </c>
      <c r="CB155" s="469">
        <f t="shared" si="238"/>
        <v>38977953435.790611</v>
      </c>
      <c r="CC155" s="177">
        <f t="shared" si="251"/>
        <v>8494724.6566785853</v>
      </c>
      <c r="CD155" s="5">
        <f t="shared" si="239"/>
        <v>2.4750000000000001</v>
      </c>
      <c r="CE155" s="177">
        <f t="shared" si="240"/>
        <v>2.9135721037703684E-7</v>
      </c>
      <c r="CF155" s="5">
        <f t="shared" si="241"/>
        <v>2.9135721037703683E-5</v>
      </c>
      <c r="CG155">
        <f t="shared" si="242"/>
        <v>45</v>
      </c>
      <c r="CI155" s="571">
        <f t="shared" si="271"/>
        <v>-50</v>
      </c>
      <c r="CJ155">
        <f t="shared" si="272"/>
        <v>-50</v>
      </c>
    </row>
    <row r="156" spans="5:88" s="77" customFormat="1" x14ac:dyDescent="0.25">
      <c r="E156" s="193">
        <v>46</v>
      </c>
      <c r="F156" s="333">
        <f t="shared" si="273"/>
        <v>4.6000000000000006E-2</v>
      </c>
      <c r="G156" s="221">
        <f t="shared" si="252"/>
        <v>0.23</v>
      </c>
      <c r="H156" s="333">
        <f t="shared" si="253"/>
        <v>0.69000000000000006</v>
      </c>
      <c r="I156" s="221">
        <f t="shared" si="254"/>
        <v>1.84</v>
      </c>
      <c r="J156" s="551">
        <f t="shared" si="186"/>
        <v>20</v>
      </c>
      <c r="K156" s="545">
        <f t="shared" si="187"/>
        <v>695386.58000000007</v>
      </c>
      <c r="L156" s="545">
        <f t="shared" si="188"/>
        <v>695406.58000000007</v>
      </c>
      <c r="M156" s="545"/>
      <c r="N156" s="333">
        <f t="shared" si="189"/>
        <v>0.9999712398464794</v>
      </c>
      <c r="O156" s="176">
        <f t="shared" si="255"/>
        <v>1.8408561460810189</v>
      </c>
      <c r="P156" s="176">
        <f t="shared" si="256"/>
        <v>4.908949722882717</v>
      </c>
      <c r="Q156" s="333">
        <f t="shared" si="192"/>
        <v>0.12272374307206793</v>
      </c>
      <c r="R156" s="221">
        <f t="shared" si="257"/>
        <v>0.23010701826012736</v>
      </c>
      <c r="S156" s="333">
        <f t="shared" si="258"/>
        <v>15</v>
      </c>
      <c r="T156" s="221">
        <f t="shared" si="259"/>
        <v>0.28111919614234976</v>
      </c>
      <c r="U156" s="333">
        <f t="shared" si="196"/>
        <v>0.42167879421352467</v>
      </c>
      <c r="V156" s="333">
        <f t="shared" si="197"/>
        <v>1.2127895658082E-5</v>
      </c>
      <c r="W156" s="547">
        <f t="shared" si="198"/>
        <v>350</v>
      </c>
      <c r="X156" s="545">
        <f t="shared" si="199"/>
        <v>350</v>
      </c>
      <c r="Z156" s="333">
        <f t="shared" si="200"/>
        <v>1.9047071235171036</v>
      </c>
      <c r="AA156" s="548">
        <f t="shared" si="201"/>
        <v>8.2171867201568798E-5</v>
      </c>
      <c r="AB156" s="177">
        <f t="shared" si="260"/>
        <v>0.34129476953431226</v>
      </c>
      <c r="AC156" s="548"/>
      <c r="AD156" s="548">
        <f t="shared" si="203"/>
        <v>6.4712206554230591E-6</v>
      </c>
      <c r="AE156" s="555">
        <f t="shared" si="261"/>
        <v>7606.2419753086442</v>
      </c>
      <c r="AF156" s="538">
        <f t="shared" si="262"/>
        <v>2.1166825946720815E-3</v>
      </c>
      <c r="AH156" s="177">
        <f t="shared" si="263"/>
        <v>0.69419360549112086</v>
      </c>
      <c r="AI156" s="548">
        <f t="shared" si="264"/>
        <v>0.69419360549112086</v>
      </c>
      <c r="AJ156" s="548">
        <f t="shared" si="265"/>
        <v>1.6031063744378673</v>
      </c>
      <c r="AL156" s="573">
        <f t="shared" si="266"/>
        <v>46.000000000000007</v>
      </c>
      <c r="AM156" s="574">
        <f t="shared" si="267"/>
        <v>350</v>
      </c>
      <c r="AO156" s="77">
        <f t="shared" si="211"/>
        <v>46.000000000000007</v>
      </c>
      <c r="AP156" s="77">
        <f t="shared" si="212"/>
        <v>350</v>
      </c>
      <c r="AR156" s="544">
        <f t="shared" si="249"/>
        <v>2.8571428571428572</v>
      </c>
      <c r="AS156" s="5">
        <f t="shared" si="246"/>
        <v>1.0412904082366814</v>
      </c>
      <c r="AT156" s="5">
        <f t="shared" si="247"/>
        <v>1.8158524489061758</v>
      </c>
      <c r="AU156" s="177">
        <f t="shared" si="248"/>
        <v>0.36445164288283849</v>
      </c>
      <c r="AW156" s="5">
        <f t="shared" si="216"/>
        <v>0.3193290585259157</v>
      </c>
      <c r="AX156" s="5"/>
      <c r="AY156" s="5">
        <f t="shared" si="217"/>
        <v>2.9937099236804592</v>
      </c>
      <c r="AZ156" s="5"/>
      <c r="BA156" s="5">
        <f t="shared" si="218"/>
        <v>5.8006397673391726E-2</v>
      </c>
      <c r="BB156" s="5"/>
      <c r="BC156" s="5"/>
      <c r="BD156" s="177">
        <f t="shared" si="219"/>
        <v>0.24195797306505773</v>
      </c>
      <c r="BE156" s="177">
        <f t="shared" si="220"/>
        <v>3981.388007893449</v>
      </c>
      <c r="BF156" s="177">
        <f t="shared" si="221"/>
        <v>19658.305103045681</v>
      </c>
      <c r="BG156" s="177"/>
      <c r="BH156" s="538">
        <f t="shared" si="222"/>
        <v>2.0490281255412919E-2</v>
      </c>
      <c r="BI156" s="538">
        <f t="shared" si="223"/>
        <v>844.80690184178684</v>
      </c>
      <c r="BJ156" s="538">
        <f t="shared" si="224"/>
        <v>4.3749999999999995E-3</v>
      </c>
      <c r="BK156" s="538">
        <f t="shared" si="225"/>
        <v>8462830.4513776898</v>
      </c>
      <c r="BL156">
        <f t="shared" si="226"/>
        <v>5.7999999999999996E-3</v>
      </c>
      <c r="BM156">
        <f t="shared" si="268"/>
        <v>1.3124999999999999E-5</v>
      </c>
      <c r="BN156">
        <f t="shared" si="269"/>
        <v>8495793.271948874</v>
      </c>
      <c r="BO156" s="469">
        <f t="shared" si="229"/>
        <v>8463675288.9448128</v>
      </c>
      <c r="BP156" s="177">
        <f t="shared" si="230"/>
        <v>1.3800000000000002E-2</v>
      </c>
      <c r="BQ156" s="177">
        <f t="shared" si="231"/>
        <v>6.9000000000000006E-2</v>
      </c>
      <c r="BR156" s="538"/>
      <c r="BS156"/>
      <c r="BT156" s="469">
        <f t="shared" si="232"/>
        <v>82.800000000000011</v>
      </c>
      <c r="BU156" s="538">
        <f t="shared" si="233"/>
        <v>5.8543660729751205E-3</v>
      </c>
      <c r="BV156" s="538">
        <f t="shared" si="234"/>
        <v>475543.51408193295</v>
      </c>
      <c r="BW156" s="538">
        <f t="shared" si="235"/>
        <v>19322447.976221595</v>
      </c>
      <c r="BX156" s="538">
        <f t="shared" si="236"/>
        <v>0</v>
      </c>
      <c r="BY156" s="538">
        <f t="shared" si="180"/>
        <v>-14.000008839286075</v>
      </c>
      <c r="BZ156" s="538">
        <f t="shared" si="250"/>
        <v>19797991.496157896</v>
      </c>
      <c r="CA156" s="641">
        <f t="shared" si="270"/>
        <v>8.4333333333333343E-3</v>
      </c>
      <c r="CB156" s="469">
        <f t="shared" si="238"/>
        <v>39595969000.74028</v>
      </c>
      <c r="CC156" s="177">
        <f t="shared" si="251"/>
        <v>8495779.3631733675</v>
      </c>
      <c r="CD156" s="5">
        <f t="shared" si="239"/>
        <v>2.5300000000000002</v>
      </c>
      <c r="CE156" s="177">
        <f t="shared" si="240"/>
        <v>2.9779483887562327E-7</v>
      </c>
      <c r="CF156" s="5">
        <f t="shared" si="241"/>
        <v>2.9779483887562327E-5</v>
      </c>
      <c r="CG156">
        <f t="shared" si="242"/>
        <v>46</v>
      </c>
      <c r="CI156" s="571">
        <f t="shared" si="271"/>
        <v>-50</v>
      </c>
      <c r="CJ156">
        <f t="shared" si="272"/>
        <v>-50</v>
      </c>
    </row>
    <row r="157" spans="5:88" x14ac:dyDescent="0.25">
      <c r="E157" s="174">
        <v>47</v>
      </c>
      <c r="F157" s="221">
        <f t="shared" si="273"/>
        <v>4.7E-2</v>
      </c>
      <c r="G157" s="221">
        <f t="shared" si="252"/>
        <v>0.23499999999999999</v>
      </c>
      <c r="H157" s="221">
        <f t="shared" si="253"/>
        <v>0.70499999999999996</v>
      </c>
      <c r="I157" s="221">
        <f t="shared" si="254"/>
        <v>1.88</v>
      </c>
      <c r="J157" s="551">
        <f t="shared" si="186"/>
        <v>20</v>
      </c>
      <c r="K157" s="451">
        <f t="shared" si="187"/>
        <v>695386.58000000007</v>
      </c>
      <c r="L157" s="451">
        <f t="shared" si="188"/>
        <v>695406.58000000007</v>
      </c>
      <c r="M157" s="451"/>
      <c r="N157" s="221">
        <f t="shared" si="189"/>
        <v>0.9999712398464794</v>
      </c>
      <c r="O157" s="176">
        <f t="shared" si="255"/>
        <v>1.8408561460810189</v>
      </c>
      <c r="P157" s="176">
        <f t="shared" si="256"/>
        <v>4.908949722882717</v>
      </c>
      <c r="Q157" s="221">
        <f t="shared" si="192"/>
        <v>0.12272374307206793</v>
      </c>
      <c r="R157" s="221">
        <f t="shared" si="257"/>
        <v>0.23010701826012736</v>
      </c>
      <c r="S157" s="221">
        <f t="shared" si="258"/>
        <v>15</v>
      </c>
      <c r="T157" s="221">
        <f t="shared" si="259"/>
        <v>0.28723048301500953</v>
      </c>
      <c r="U157" s="221">
        <f t="shared" si="196"/>
        <v>0.4308457245225143</v>
      </c>
      <c r="V157" s="221">
        <f t="shared" si="197"/>
        <v>1.2391545563692479E-5</v>
      </c>
      <c r="W157" s="201">
        <f t="shared" si="198"/>
        <v>350</v>
      </c>
      <c r="X157" s="451">
        <f t="shared" si="199"/>
        <v>350</v>
      </c>
      <c r="Z157" s="221">
        <f t="shared" si="200"/>
        <v>1.9047071235171036</v>
      </c>
      <c r="AA157" s="177">
        <f t="shared" si="201"/>
        <v>8.2171867201568798E-5</v>
      </c>
      <c r="AB157" s="177">
        <f t="shared" si="260"/>
        <v>0.34129476953431226</v>
      </c>
      <c r="AC157" s="177"/>
      <c r="AD157" s="177">
        <f t="shared" si="203"/>
        <v>6.4712206554230591E-6</v>
      </c>
      <c r="AE157" s="555">
        <f t="shared" si="261"/>
        <v>7771.595061728397</v>
      </c>
      <c r="AF157" s="538">
        <f t="shared" si="262"/>
        <v>2.1166825946720815E-3</v>
      </c>
      <c r="AH157" s="177">
        <f t="shared" si="263"/>
        <v>0.7016986193380691</v>
      </c>
      <c r="AI157" s="177">
        <f t="shared" si="264"/>
        <v>0.7016986193380691</v>
      </c>
      <c r="AJ157" s="177">
        <f t="shared" si="265"/>
        <v>1.6086656439541251</v>
      </c>
      <c r="AL157" s="555">
        <f t="shared" si="266"/>
        <v>47</v>
      </c>
      <c r="AM157" s="469">
        <f t="shared" si="267"/>
        <v>350</v>
      </c>
      <c r="AO157">
        <f t="shared" si="211"/>
        <v>47</v>
      </c>
      <c r="AP157">
        <f t="shared" si="212"/>
        <v>350</v>
      </c>
      <c r="AR157" s="5">
        <f t="shared" si="249"/>
        <v>2.8571428571428572</v>
      </c>
      <c r="AS157" s="5">
        <f t="shared" si="246"/>
        <v>1.0525479290071036</v>
      </c>
      <c r="AT157" s="5">
        <f t="shared" si="247"/>
        <v>1.8045949281357536</v>
      </c>
      <c r="AU157" s="177">
        <f t="shared" si="248"/>
        <v>0.36839177515248622</v>
      </c>
      <c r="AW157" s="5">
        <f t="shared" si="216"/>
        <v>0.32979835108889244</v>
      </c>
      <c r="AX157" s="5"/>
      <c r="AY157" s="5">
        <f t="shared" si="217"/>
        <v>3.0918595414583665</v>
      </c>
      <c r="AZ157" s="5"/>
      <c r="BA157" s="5">
        <f t="shared" si="218"/>
        <v>5.8899973348875277E-2</v>
      </c>
      <c r="BB157" s="5"/>
      <c r="BC157" s="5"/>
      <c r="BD157" s="177">
        <f t="shared" si="219"/>
        <v>0.24589231592907415</v>
      </c>
      <c r="BE157" s="177">
        <f t="shared" si="220"/>
        <v>4011.9370064804616</v>
      </c>
      <c r="BF157" s="177">
        <f t="shared" si="221"/>
        <v>19809.142332078714</v>
      </c>
      <c r="BG157" s="177"/>
      <c r="BH157" s="538">
        <f t="shared" si="222"/>
        <v>2.1162060861537262E-2</v>
      </c>
      <c r="BI157" s="538">
        <f t="shared" si="223"/>
        <v>853.94021486306485</v>
      </c>
      <c r="BJ157" s="538">
        <f t="shared" si="224"/>
        <v>4.3749999999999995E-3</v>
      </c>
      <c r="BK157" s="538">
        <f t="shared" si="225"/>
        <v>8462830.4513776898</v>
      </c>
      <c r="BL157">
        <f t="shared" si="226"/>
        <v>5.7999999999999996E-3</v>
      </c>
      <c r="BM157">
        <f t="shared" si="268"/>
        <v>1.3124999999999999E-5</v>
      </c>
      <c r="BN157">
        <f t="shared" si="269"/>
        <v>8496859.5662354119</v>
      </c>
      <c r="BO157" s="469">
        <f t="shared" si="229"/>
        <v>8463684422.9296131</v>
      </c>
      <c r="BP157" s="177">
        <f t="shared" si="230"/>
        <v>1.41E-2</v>
      </c>
      <c r="BQ157" s="177">
        <f t="shared" si="231"/>
        <v>7.0499999999999993E-2</v>
      </c>
      <c r="BR157" s="538"/>
      <c r="BT157" s="469">
        <f t="shared" si="232"/>
        <v>84.6</v>
      </c>
      <c r="BU157" s="538">
        <f t="shared" si="233"/>
        <v>6.0463031032963613E-3</v>
      </c>
      <c r="BV157" s="538">
        <f t="shared" si="234"/>
        <v>482869.15631902218</v>
      </c>
      <c r="BW157" s="538">
        <f t="shared" si="235"/>
        <v>19620105.996627647</v>
      </c>
      <c r="BX157" s="538">
        <f t="shared" si="236"/>
        <v>0</v>
      </c>
      <c r="BY157" s="538">
        <f t="shared" si="180"/>
        <v>-14.000008705184554</v>
      </c>
      <c r="BZ157" s="538">
        <f t="shared" si="250"/>
        <v>20102975.158992972</v>
      </c>
      <c r="CA157" s="641">
        <f t="shared" si="270"/>
        <v>8.6166666666666683E-3</v>
      </c>
      <c r="CB157" s="469">
        <f t="shared" si="238"/>
        <v>40205936326.593895</v>
      </c>
      <c r="CC157" s="177">
        <f t="shared" si="251"/>
        <v>8496845.6594433729</v>
      </c>
      <c r="CD157" s="5">
        <f t="shared" si="239"/>
        <v>2.585</v>
      </c>
      <c r="CE157" s="177">
        <f t="shared" si="240"/>
        <v>3.0423045412050227E-7</v>
      </c>
      <c r="CF157" s="5">
        <f t="shared" si="241"/>
        <v>3.0423045412050226E-5</v>
      </c>
      <c r="CG157">
        <f t="shared" si="242"/>
        <v>47</v>
      </c>
      <c r="CI157" s="571">
        <f t="shared" si="271"/>
        <v>-50</v>
      </c>
      <c r="CJ157">
        <f t="shared" si="272"/>
        <v>-50</v>
      </c>
    </row>
    <row r="158" spans="5:88" x14ac:dyDescent="0.25">
      <c r="E158" s="174">
        <v>48</v>
      </c>
      <c r="F158" s="221">
        <f t="shared" si="273"/>
        <v>4.8000000000000001E-2</v>
      </c>
      <c r="G158" s="221">
        <f t="shared" si="252"/>
        <v>0.24</v>
      </c>
      <c r="H158" s="221">
        <f t="shared" si="253"/>
        <v>0.72</v>
      </c>
      <c r="I158" s="221">
        <f t="shared" si="254"/>
        <v>1.92</v>
      </c>
      <c r="J158" s="551">
        <f t="shared" si="186"/>
        <v>20</v>
      </c>
      <c r="K158" s="451">
        <f t="shared" si="187"/>
        <v>695386.58000000007</v>
      </c>
      <c r="L158" s="451">
        <f t="shared" si="188"/>
        <v>695406.58000000007</v>
      </c>
      <c r="M158" s="451"/>
      <c r="N158" s="221">
        <f t="shared" si="189"/>
        <v>0.9999712398464794</v>
      </c>
      <c r="O158" s="176">
        <f t="shared" si="255"/>
        <v>1.8408561460810189</v>
      </c>
      <c r="P158" s="176">
        <f t="shared" si="256"/>
        <v>4.908949722882717</v>
      </c>
      <c r="Q158" s="221">
        <f t="shared" si="192"/>
        <v>0.12272374307206793</v>
      </c>
      <c r="R158" s="221">
        <f t="shared" si="257"/>
        <v>0.23010701826012736</v>
      </c>
      <c r="S158" s="221">
        <f t="shared" si="258"/>
        <v>15</v>
      </c>
      <c r="T158" s="221">
        <f t="shared" si="259"/>
        <v>0.29334176988766925</v>
      </c>
      <c r="U158" s="221">
        <f t="shared" si="196"/>
        <v>0.44001265483150387</v>
      </c>
      <c r="V158" s="221">
        <f t="shared" si="197"/>
        <v>1.2655195469302953E-5</v>
      </c>
      <c r="W158" s="201">
        <f t="shared" si="198"/>
        <v>350</v>
      </c>
      <c r="X158" s="451">
        <f t="shared" si="199"/>
        <v>350</v>
      </c>
      <c r="Z158" s="221">
        <f t="shared" si="200"/>
        <v>1.9047071235171036</v>
      </c>
      <c r="AA158" s="177">
        <f t="shared" si="201"/>
        <v>8.2171867201568798E-5</v>
      </c>
      <c r="AB158" s="177">
        <f t="shared" si="260"/>
        <v>0.34129476953431226</v>
      </c>
      <c r="AC158" s="177"/>
      <c r="AD158" s="177">
        <f t="shared" si="203"/>
        <v>6.4712206554230591E-6</v>
      </c>
      <c r="AE158" s="555">
        <f t="shared" si="261"/>
        <v>7936.9481481481516</v>
      </c>
      <c r="AF158" s="538">
        <f t="shared" si="262"/>
        <v>2.1166825946720815E-3</v>
      </c>
      <c r="AH158" s="177">
        <f t="shared" si="263"/>
        <v>0.70912420834233458</v>
      </c>
      <c r="AI158" s="177">
        <f t="shared" si="264"/>
        <v>0.70912420834233458</v>
      </c>
      <c r="AJ158" s="177">
        <f t="shared" si="265"/>
        <v>1.6141660802535811</v>
      </c>
      <c r="AL158" s="555">
        <f t="shared" si="266"/>
        <v>48</v>
      </c>
      <c r="AM158" s="469">
        <f t="shared" si="267"/>
        <v>350</v>
      </c>
      <c r="AO158">
        <f t="shared" si="211"/>
        <v>48</v>
      </c>
      <c r="AP158">
        <f t="shared" si="212"/>
        <v>350</v>
      </c>
      <c r="AR158" s="5">
        <f t="shared" si="249"/>
        <v>2.8571428571428572</v>
      </c>
      <c r="AS158" s="5">
        <f t="shared" si="246"/>
        <v>1.0636863125135019</v>
      </c>
      <c r="AT158" s="5">
        <f t="shared" si="247"/>
        <v>1.7934565446293553</v>
      </c>
      <c r="AU158" s="177">
        <f t="shared" si="248"/>
        <v>0.37229020937972562</v>
      </c>
      <c r="AW158" s="5">
        <f t="shared" si="216"/>
        <v>0.34037962000432065</v>
      </c>
      <c r="AX158" s="5"/>
      <c r="AY158" s="5">
        <f t="shared" si="217"/>
        <v>3.1910589375405056</v>
      </c>
      <c r="AZ158" s="5"/>
      <c r="BA158" s="5">
        <f t="shared" si="218"/>
        <v>5.9781884820978494E-2</v>
      </c>
      <c r="BB158" s="5"/>
      <c r="BC158" s="5"/>
      <c r="BD158" s="177">
        <f t="shared" si="219"/>
        <v>0.2498057852294967</v>
      </c>
      <c r="BE158" s="177">
        <f t="shared" si="220"/>
        <v>4041.8608503012701</v>
      </c>
      <c r="BF158" s="177">
        <f t="shared" si="221"/>
        <v>19956.892827764914</v>
      </c>
      <c r="BG158" s="177"/>
      <c r="BH158" s="538">
        <f t="shared" si="222"/>
        <v>2.1841025616943899E-2</v>
      </c>
      <c r="BI158" s="538">
        <f t="shared" si="223"/>
        <v>862.97687090746319</v>
      </c>
      <c r="BJ158" s="538">
        <f t="shared" si="224"/>
        <v>4.3749999999999995E-3</v>
      </c>
      <c r="BK158" s="538">
        <f t="shared" si="225"/>
        <v>8462830.4513776898</v>
      </c>
      <c r="BL158">
        <f t="shared" si="226"/>
        <v>5.7999999999999996E-3</v>
      </c>
      <c r="BM158">
        <f t="shared" si="268"/>
        <v>1.3124999999999999E-5</v>
      </c>
      <c r="BN158">
        <f t="shared" si="269"/>
        <v>8497937.3398117721</v>
      </c>
      <c r="BO158" s="469">
        <f t="shared" si="229"/>
        <v>8463693460.2646236</v>
      </c>
      <c r="BP158" s="177">
        <f t="shared" si="230"/>
        <v>1.44E-2</v>
      </c>
      <c r="BQ158" s="177">
        <f t="shared" si="231"/>
        <v>7.1999999999999995E-2</v>
      </c>
      <c r="BR158" s="538"/>
      <c r="BT158" s="469">
        <f t="shared" si="232"/>
        <v>86.399999999999991</v>
      </c>
      <c r="BU158" s="538">
        <f t="shared" si="233"/>
        <v>6.2402930334125436E-3</v>
      </c>
      <c r="BV158" s="538">
        <f t="shared" si="234"/>
        <v>490099.17399594316</v>
      </c>
      <c r="BW158" s="538">
        <f t="shared" si="235"/>
        <v>19913878.566944733</v>
      </c>
      <c r="BX158" s="538">
        <f t="shared" si="236"/>
        <v>0</v>
      </c>
      <c r="BY158" s="538">
        <f t="shared" si="180"/>
        <v>-14.000008576764268</v>
      </c>
      <c r="BZ158" s="538">
        <f t="shared" si="250"/>
        <v>20403977.747180969</v>
      </c>
      <c r="CA158" s="641">
        <f t="shared" si="270"/>
        <v>8.8000000000000005E-3</v>
      </c>
      <c r="CB158" s="469">
        <f t="shared" si="238"/>
        <v>40807941503.153358</v>
      </c>
      <c r="CC158" s="177">
        <f t="shared" si="251"/>
        <v>8497923.435003195</v>
      </c>
      <c r="CD158" s="5">
        <f t="shared" si="239"/>
        <v>2.6399999999999997</v>
      </c>
      <c r="CE158" s="177">
        <f t="shared" si="240"/>
        <v>3.1066403457728443E-7</v>
      </c>
      <c r="CF158" s="5">
        <f t="shared" si="241"/>
        <v>3.1066403457728446E-5</v>
      </c>
      <c r="CG158">
        <f t="shared" si="242"/>
        <v>48</v>
      </c>
      <c r="CI158" s="571">
        <f t="shared" si="271"/>
        <v>-50</v>
      </c>
      <c r="CJ158">
        <f t="shared" si="272"/>
        <v>-50</v>
      </c>
    </row>
    <row r="159" spans="5:88" x14ac:dyDescent="0.25">
      <c r="E159" s="174">
        <v>49</v>
      </c>
      <c r="F159" s="221">
        <f t="shared" si="273"/>
        <v>4.9000000000000002E-2</v>
      </c>
      <c r="G159" s="221">
        <f t="shared" si="252"/>
        <v>0.245</v>
      </c>
      <c r="H159" s="221">
        <f t="shared" si="253"/>
        <v>0.73499999999999999</v>
      </c>
      <c r="I159" s="221">
        <f t="shared" si="254"/>
        <v>1.96</v>
      </c>
      <c r="J159" s="551">
        <f t="shared" si="186"/>
        <v>20</v>
      </c>
      <c r="K159" s="451">
        <f t="shared" si="187"/>
        <v>695386.58000000007</v>
      </c>
      <c r="L159" s="451">
        <f t="shared" si="188"/>
        <v>695406.58000000007</v>
      </c>
      <c r="M159" s="451"/>
      <c r="N159" s="221">
        <f t="shared" si="189"/>
        <v>0.9999712398464794</v>
      </c>
      <c r="O159" s="176">
        <f t="shared" si="255"/>
        <v>1.8408561460810189</v>
      </c>
      <c r="P159" s="176">
        <f t="shared" si="256"/>
        <v>4.908949722882717</v>
      </c>
      <c r="Q159" s="221">
        <f t="shared" si="192"/>
        <v>0.12272374307206793</v>
      </c>
      <c r="R159" s="221">
        <f t="shared" si="257"/>
        <v>0.23010701826012736</v>
      </c>
      <c r="S159" s="221">
        <f t="shared" si="258"/>
        <v>15</v>
      </c>
      <c r="T159" s="221">
        <f t="shared" si="259"/>
        <v>0.29945305676032907</v>
      </c>
      <c r="U159" s="221">
        <f t="shared" si="196"/>
        <v>0.44917958514049361</v>
      </c>
      <c r="V159" s="221">
        <f t="shared" si="197"/>
        <v>1.2918845374913436E-5</v>
      </c>
      <c r="W159" s="201">
        <f t="shared" si="198"/>
        <v>350</v>
      </c>
      <c r="X159" s="451">
        <f t="shared" si="199"/>
        <v>350</v>
      </c>
      <c r="Z159" s="221">
        <f t="shared" si="200"/>
        <v>1.9047071235171036</v>
      </c>
      <c r="AA159" s="177">
        <f t="shared" si="201"/>
        <v>8.2171867201568798E-5</v>
      </c>
      <c r="AB159" s="177">
        <f t="shared" si="260"/>
        <v>0.34129476953431226</v>
      </c>
      <c r="AC159" s="177"/>
      <c r="AD159" s="177">
        <f t="shared" si="203"/>
        <v>6.4712206554230591E-6</v>
      </c>
      <c r="AE159" s="555">
        <f t="shared" si="261"/>
        <v>8102.3012345679026</v>
      </c>
      <c r="AF159" s="538">
        <f t="shared" si="262"/>
        <v>2.1166825946720815E-3</v>
      </c>
      <c r="AH159" s="177">
        <f t="shared" si="263"/>
        <v>0.7164728420068226</v>
      </c>
      <c r="AI159" s="177">
        <f t="shared" si="264"/>
        <v>0.7164728420068226</v>
      </c>
      <c r="AJ159" s="177">
        <f t="shared" si="265"/>
        <v>1.6196095125976464</v>
      </c>
      <c r="AL159" s="555">
        <f t="shared" si="266"/>
        <v>49</v>
      </c>
      <c r="AM159" s="469">
        <f t="shared" si="267"/>
        <v>350</v>
      </c>
      <c r="AO159">
        <f t="shared" si="211"/>
        <v>49</v>
      </c>
      <c r="AP159">
        <f t="shared" si="212"/>
        <v>350</v>
      </c>
      <c r="AR159" s="5">
        <f t="shared" si="249"/>
        <v>2.8571428571428572</v>
      </c>
      <c r="AS159" s="5">
        <f t="shared" si="246"/>
        <v>1.074709263010234</v>
      </c>
      <c r="AT159" s="5">
        <f t="shared" si="247"/>
        <v>1.7824335941326233</v>
      </c>
      <c r="AU159" s="177">
        <f t="shared" si="248"/>
        <v>0.37614824205358188</v>
      </c>
      <c r="AW159" s="5">
        <f t="shared" si="216"/>
        <v>0.35107169258334309</v>
      </c>
      <c r="AX159" s="5"/>
      <c r="AY159" s="5">
        <f t="shared" si="217"/>
        <v>3.2912971179688415</v>
      </c>
      <c r="AZ159" s="5"/>
      <c r="BA159" s="5">
        <f t="shared" si="218"/>
        <v>6.0652254244790635E-2</v>
      </c>
      <c r="BB159" s="5"/>
      <c r="BC159" s="5"/>
      <c r="BD159" s="177">
        <f t="shared" si="219"/>
        <v>0.2536989232146632</v>
      </c>
      <c r="BE159" s="177">
        <f t="shared" si="220"/>
        <v>4071.1774240998066</v>
      </c>
      <c r="BF159" s="177">
        <f t="shared" si="221"/>
        <v>20101.644896934005</v>
      </c>
      <c r="BG159" s="177"/>
      <c r="BH159" s="538">
        <f t="shared" si="222"/>
        <v>2.252710027409785E-2</v>
      </c>
      <c r="BI159" s="538">
        <f t="shared" si="223"/>
        <v>871.91987526497849</v>
      </c>
      <c r="BJ159" s="538">
        <f t="shared" si="224"/>
        <v>4.3749999999999995E-3</v>
      </c>
      <c r="BK159" s="538">
        <f t="shared" si="225"/>
        <v>8462830.4513776898</v>
      </c>
      <c r="BL159">
        <f t="shared" si="226"/>
        <v>5.7999999999999996E-3</v>
      </c>
      <c r="BM159">
        <f t="shared" si="268"/>
        <v>1.3124999999999999E-5</v>
      </c>
      <c r="BN159">
        <f t="shared" si="269"/>
        <v>8499026.4858459886</v>
      </c>
      <c r="BO159" s="469">
        <f t="shared" si="229"/>
        <v>8463702403.9550552</v>
      </c>
      <c r="BP159" s="177">
        <f t="shared" si="230"/>
        <v>1.47E-2</v>
      </c>
      <c r="BQ159" s="177">
        <f t="shared" si="231"/>
        <v>7.3499999999999996E-2</v>
      </c>
      <c r="BR159" s="538"/>
      <c r="BT159" s="469">
        <f t="shared" si="232"/>
        <v>88.2</v>
      </c>
      <c r="BU159" s="538">
        <f t="shared" si="233"/>
        <v>6.4363143640279582E-3</v>
      </c>
      <c r="BV159" s="538">
        <f t="shared" si="234"/>
        <v>497234.56855499808</v>
      </c>
      <c r="BW159" s="538">
        <f t="shared" si="235"/>
        <v>20203806.378121648</v>
      </c>
      <c r="BX159" s="538">
        <f t="shared" si="236"/>
        <v>0</v>
      </c>
      <c r="BY159" s="538">
        <f t="shared" si="180"/>
        <v>-14.000008453686272</v>
      </c>
      <c r="BZ159" s="538">
        <f t="shared" si="250"/>
        <v>20701040.95311296</v>
      </c>
      <c r="CA159" s="641">
        <f t="shared" si="270"/>
        <v>8.9833333333333362E-3</v>
      </c>
      <c r="CB159" s="469">
        <f t="shared" si="238"/>
        <v>41402067915.200806</v>
      </c>
      <c r="CC159" s="177">
        <f t="shared" si="251"/>
        <v>8499012.5830208659</v>
      </c>
      <c r="CD159" s="5">
        <f t="shared" si="239"/>
        <v>2.6949999999999998</v>
      </c>
      <c r="CE159" s="177">
        <f t="shared" si="240"/>
        <v>3.1709555893722013E-7</v>
      </c>
      <c r="CF159" s="5">
        <f t="shared" si="241"/>
        <v>3.1709555893722016E-5</v>
      </c>
      <c r="CG159">
        <f t="shared" si="242"/>
        <v>49</v>
      </c>
      <c r="CI159" s="571">
        <f t="shared" si="271"/>
        <v>-50</v>
      </c>
      <c r="CJ159">
        <f t="shared" si="272"/>
        <v>-50</v>
      </c>
    </row>
    <row r="160" spans="5:88" x14ac:dyDescent="0.25">
      <c r="E160" s="174">
        <v>50</v>
      </c>
      <c r="F160" s="221">
        <f t="shared" si="273"/>
        <v>0.05</v>
      </c>
      <c r="G160" s="221">
        <f t="shared" si="252"/>
        <v>0.25</v>
      </c>
      <c r="H160" s="221">
        <f t="shared" si="253"/>
        <v>0.75</v>
      </c>
      <c r="I160" s="221">
        <f t="shared" si="254"/>
        <v>2</v>
      </c>
      <c r="J160" s="551">
        <f t="shared" si="186"/>
        <v>20</v>
      </c>
      <c r="K160" s="451">
        <f t="shared" si="187"/>
        <v>695386.58000000007</v>
      </c>
      <c r="L160" s="451">
        <f t="shared" si="188"/>
        <v>695406.58000000007</v>
      </c>
      <c r="M160" s="451"/>
      <c r="N160" s="221">
        <f t="shared" si="189"/>
        <v>0.9999712398464794</v>
      </c>
      <c r="O160" s="176">
        <f t="shared" si="255"/>
        <v>1.8408561460810189</v>
      </c>
      <c r="P160" s="176">
        <f t="shared" si="256"/>
        <v>4.908949722882717</v>
      </c>
      <c r="Q160" s="221">
        <f t="shared" si="192"/>
        <v>0.12272374307206793</v>
      </c>
      <c r="R160" s="221">
        <f t="shared" si="257"/>
        <v>0.23010701826012736</v>
      </c>
      <c r="S160" s="221">
        <f t="shared" si="258"/>
        <v>15</v>
      </c>
      <c r="T160" s="221">
        <f t="shared" si="259"/>
        <v>0.30556434363298884</v>
      </c>
      <c r="U160" s="221">
        <f t="shared" si="196"/>
        <v>0.45834651544948329</v>
      </c>
      <c r="V160" s="221">
        <f t="shared" si="197"/>
        <v>1.3182495280523915E-5</v>
      </c>
      <c r="W160" s="201">
        <f t="shared" si="198"/>
        <v>350</v>
      </c>
      <c r="X160" s="451">
        <f t="shared" si="199"/>
        <v>350</v>
      </c>
      <c r="Z160" s="221">
        <f t="shared" si="200"/>
        <v>1.9047071235171036</v>
      </c>
      <c r="AA160" s="177">
        <f t="shared" si="201"/>
        <v>8.2171867201568798E-5</v>
      </c>
      <c r="AB160" s="177">
        <f t="shared" si="260"/>
        <v>0.34129476953431226</v>
      </c>
      <c r="AC160" s="177"/>
      <c r="AD160" s="177">
        <f t="shared" si="203"/>
        <v>6.4712206554230591E-6</v>
      </c>
      <c r="AE160" s="555">
        <f t="shared" si="261"/>
        <v>8267.6543209876563</v>
      </c>
      <c r="AF160" s="538">
        <f t="shared" si="262"/>
        <v>2.1166825946720815E-3</v>
      </c>
      <c r="AH160" s="177">
        <f t="shared" si="263"/>
        <v>0.72374686445574588</v>
      </c>
      <c r="AI160" s="177">
        <f t="shared" si="264"/>
        <v>0.72374686445574588</v>
      </c>
      <c r="AJ160" s="177">
        <f t="shared" si="265"/>
        <v>1.6249976773746266</v>
      </c>
      <c r="AL160" s="555">
        <f t="shared" si="266"/>
        <v>50</v>
      </c>
      <c r="AM160" s="469">
        <f t="shared" si="267"/>
        <v>350</v>
      </c>
      <c r="AO160">
        <f t="shared" si="211"/>
        <v>50</v>
      </c>
      <c r="AP160">
        <f t="shared" si="212"/>
        <v>350</v>
      </c>
      <c r="AR160" s="5">
        <f t="shared" si="249"/>
        <v>2.8571428571428572</v>
      </c>
      <c r="AS160" s="5">
        <f t="shared" si="246"/>
        <v>1.0856202966836188</v>
      </c>
      <c r="AT160" s="5">
        <f t="shared" si="247"/>
        <v>1.7715225604592384</v>
      </c>
      <c r="AU160" s="177">
        <f t="shared" si="248"/>
        <v>0.37996710383926657</v>
      </c>
      <c r="AW160" s="5">
        <f t="shared" si="216"/>
        <v>0.36187343222787294</v>
      </c>
      <c r="AX160" s="5"/>
      <c r="AY160" s="5">
        <f t="shared" si="217"/>
        <v>3.392563427136309</v>
      </c>
      <c r="AZ160" s="5"/>
      <c r="BA160" s="5">
        <f t="shared" si="218"/>
        <v>6.1511200015945761E-2</v>
      </c>
      <c r="BB160" s="5"/>
      <c r="BC160" s="5"/>
      <c r="BD160" s="177">
        <f t="shared" si="219"/>
        <v>0.2575722472921142</v>
      </c>
      <c r="BE160" s="177">
        <f t="shared" si="220"/>
        <v>4099.9037005683313</v>
      </c>
      <c r="BF160" s="177">
        <f t="shared" si="221"/>
        <v>20243.48234311436</v>
      </c>
      <c r="BG160" s="177"/>
      <c r="BH160" s="538">
        <f t="shared" si="222"/>
        <v>2.322021190128851E-2</v>
      </c>
      <c r="BI160" s="538">
        <f t="shared" si="223"/>
        <v>880.7720806445642</v>
      </c>
      <c r="BJ160" s="538">
        <f t="shared" si="224"/>
        <v>4.3749999999999995E-3</v>
      </c>
      <c r="BK160" s="538">
        <f t="shared" si="225"/>
        <v>8462830.4513776898</v>
      </c>
      <c r="BL160">
        <f t="shared" si="226"/>
        <v>5.7999999999999996E-3</v>
      </c>
      <c r="BM160">
        <f t="shared" si="268"/>
        <v>1.3124999999999999E-5</v>
      </c>
      <c r="BN160">
        <f t="shared" si="269"/>
        <v>8500126.9009757563</v>
      </c>
      <c r="BO160" s="469">
        <f t="shared" si="229"/>
        <v>8463711256.8535452</v>
      </c>
      <c r="BP160" s="177">
        <f t="shared" si="230"/>
        <v>1.4999999999999999E-2</v>
      </c>
      <c r="BQ160" s="177">
        <f t="shared" si="231"/>
        <v>7.4999999999999997E-2</v>
      </c>
      <c r="BR160" s="538"/>
      <c r="BT160" s="469">
        <f t="shared" si="232"/>
        <v>90</v>
      </c>
      <c r="BU160" s="538">
        <f t="shared" si="233"/>
        <v>6.634346257511004E-3</v>
      </c>
      <c r="BV160" s="538">
        <f t="shared" si="234"/>
        <v>504276.31061801687</v>
      </c>
      <c r="BW160" s="538">
        <f t="shared" si="235"/>
        <v>20489928.868799143</v>
      </c>
      <c r="BX160" s="538">
        <f t="shared" si="236"/>
        <v>0</v>
      </c>
      <c r="BY160" s="538">
        <f t="shared" si="180"/>
        <v>-14.000008335638462</v>
      </c>
      <c r="BZ160" s="538">
        <f t="shared" si="250"/>
        <v>20994205.186051507</v>
      </c>
      <c r="CA160" s="641">
        <f t="shared" si="270"/>
        <v>9.1666666666666684E-3</v>
      </c>
      <c r="CB160" s="469">
        <f t="shared" si="238"/>
        <v>41988396381.261345</v>
      </c>
      <c r="CC160" s="177">
        <f t="shared" si="251"/>
        <v>8500113.0001340881</v>
      </c>
      <c r="CD160" s="5">
        <f t="shared" si="239"/>
        <v>2.75</v>
      </c>
      <c r="CE160" s="177">
        <f t="shared" si="240"/>
        <v>3.2352500611025434E-7</v>
      </c>
      <c r="CF160" s="5">
        <f t="shared" si="241"/>
        <v>3.2352500611025437E-5</v>
      </c>
      <c r="CG160">
        <f t="shared" si="242"/>
        <v>50</v>
      </c>
      <c r="CI160" s="571">
        <f t="shared" si="271"/>
        <v>-50</v>
      </c>
      <c r="CJ160">
        <f t="shared" si="272"/>
        <v>-50</v>
      </c>
    </row>
    <row r="161" spans="5:88" x14ac:dyDescent="0.25">
      <c r="E161" s="174">
        <v>51</v>
      </c>
      <c r="F161" s="221">
        <f t="shared" si="273"/>
        <v>5.1000000000000004E-2</v>
      </c>
      <c r="G161" s="221">
        <f t="shared" si="252"/>
        <v>0.255</v>
      </c>
      <c r="H161" s="221">
        <f t="shared" si="253"/>
        <v>0.76500000000000001</v>
      </c>
      <c r="I161" s="221">
        <f t="shared" si="254"/>
        <v>2.04</v>
      </c>
      <c r="J161" s="551">
        <f t="shared" si="186"/>
        <v>20</v>
      </c>
      <c r="K161" s="451">
        <f t="shared" si="187"/>
        <v>695386.58000000007</v>
      </c>
      <c r="L161" s="451">
        <f t="shared" si="188"/>
        <v>695406.58000000007</v>
      </c>
      <c r="M161" s="451"/>
      <c r="N161" s="221">
        <f t="shared" si="189"/>
        <v>0.9999712398464794</v>
      </c>
      <c r="O161" s="176">
        <f t="shared" si="255"/>
        <v>1.8408561460810189</v>
      </c>
      <c r="P161" s="176">
        <f t="shared" si="256"/>
        <v>4.908949722882717</v>
      </c>
      <c r="Q161" s="221">
        <f t="shared" si="192"/>
        <v>0.12272374307206793</v>
      </c>
      <c r="R161" s="221">
        <f t="shared" si="257"/>
        <v>0.23010701826012736</v>
      </c>
      <c r="S161" s="221">
        <f t="shared" si="258"/>
        <v>15</v>
      </c>
      <c r="T161" s="221">
        <f t="shared" si="259"/>
        <v>0.31167563050564862</v>
      </c>
      <c r="U161" s="221">
        <f t="shared" si="196"/>
        <v>0.46751344575847292</v>
      </c>
      <c r="V161" s="221">
        <f t="shared" si="197"/>
        <v>1.344614518613439E-5</v>
      </c>
      <c r="W161" s="201">
        <f t="shared" si="198"/>
        <v>350</v>
      </c>
      <c r="X161" s="451">
        <f t="shared" si="199"/>
        <v>350</v>
      </c>
      <c r="Z161" s="221">
        <f t="shared" si="200"/>
        <v>1.9047071235171036</v>
      </c>
      <c r="AA161" s="177">
        <f t="shared" si="201"/>
        <v>8.2171867201568798E-5</v>
      </c>
      <c r="AB161" s="177">
        <f t="shared" si="260"/>
        <v>0.34129476953431226</v>
      </c>
      <c r="AC161" s="177"/>
      <c r="AD161" s="177">
        <f t="shared" si="203"/>
        <v>6.4712206554230591E-6</v>
      </c>
      <c r="AE161" s="555">
        <f t="shared" si="261"/>
        <v>8433.0074074074109</v>
      </c>
      <c r="AF161" s="538">
        <f t="shared" si="262"/>
        <v>2.1166825946720815E-3</v>
      </c>
      <c r="AH161" s="177">
        <f t="shared" si="263"/>
        <v>0.73094850316948756</v>
      </c>
      <c r="AI161" s="177">
        <f t="shared" si="264"/>
        <v>0.73094850316948756</v>
      </c>
      <c r="AJ161" s="177">
        <f t="shared" si="265"/>
        <v>1.6303322245699907</v>
      </c>
      <c r="AL161" s="555">
        <f t="shared" si="266"/>
        <v>51.000000000000007</v>
      </c>
      <c r="AM161" s="469">
        <f t="shared" si="267"/>
        <v>350</v>
      </c>
      <c r="AO161">
        <f t="shared" si="211"/>
        <v>51.000000000000007</v>
      </c>
      <c r="AP161">
        <f t="shared" si="212"/>
        <v>350</v>
      </c>
      <c r="AR161" s="5">
        <f t="shared" si="249"/>
        <v>2.8571428571428572</v>
      </c>
      <c r="AS161" s="5">
        <f t="shared" si="246"/>
        <v>1.0964227547542313</v>
      </c>
      <c r="AT161" s="5">
        <f t="shared" si="247"/>
        <v>1.7607201023886259</v>
      </c>
      <c r="AU161" s="177">
        <f t="shared" si="248"/>
        <v>0.38374796416398094</v>
      </c>
      <c r="AW161" s="5">
        <f t="shared" si="216"/>
        <v>0.37278373661643871</v>
      </c>
      <c r="AX161" s="5"/>
      <c r="AY161" s="5">
        <f t="shared" si="217"/>
        <v>3.4948475307791127</v>
      </c>
      <c r="AZ161" s="5"/>
      <c r="BA161" s="5">
        <f t="shared" si="218"/>
        <v>6.2358836959597146E-2</v>
      </c>
      <c r="BB161" s="5"/>
      <c r="BC161" s="5"/>
      <c r="BD161" s="177">
        <f t="shared" si="219"/>
        <v>0.2614262516396299</v>
      </c>
      <c r="BE161" s="177">
        <f t="shared" si="220"/>
        <v>4128.0558036263428</v>
      </c>
      <c r="BF161" s="177">
        <f t="shared" si="221"/>
        <v>20382.484778975813</v>
      </c>
      <c r="BG161" s="177"/>
      <c r="BH161" s="538">
        <f t="shared" si="222"/>
        <v>2.3920289766221483E-2</v>
      </c>
      <c r="BI161" s="538">
        <f t="shared" si="223"/>
        <v>889.53619780412203</v>
      </c>
      <c r="BJ161" s="538">
        <f t="shared" si="224"/>
        <v>4.3749999999999995E-3</v>
      </c>
      <c r="BK161" s="538">
        <f t="shared" si="225"/>
        <v>8462830.4513776898</v>
      </c>
      <c r="BL161">
        <f t="shared" si="226"/>
        <v>5.7999999999999996E-3</v>
      </c>
      <c r="BM161">
        <f t="shared" si="268"/>
        <v>1.3124999999999999E-5</v>
      </c>
      <c r="BN161">
        <f t="shared" si="269"/>
        <v>8501238.4851373825</v>
      </c>
      <c r="BO161" s="469">
        <f t="shared" si="229"/>
        <v>8463720021.670783</v>
      </c>
      <c r="BP161" s="177">
        <f t="shared" si="230"/>
        <v>1.5300000000000001E-2</v>
      </c>
      <c r="BQ161" s="177">
        <f t="shared" si="231"/>
        <v>7.6499999999999999E-2</v>
      </c>
      <c r="BR161" s="538"/>
      <c r="BT161" s="469">
        <f t="shared" si="232"/>
        <v>91.8</v>
      </c>
      <c r="BU161" s="538">
        <f t="shared" si="233"/>
        <v>6.8343685046347094E-3</v>
      </c>
      <c r="BV161" s="538">
        <f t="shared" si="234"/>
        <v>511225.34153559397</v>
      </c>
      <c r="BW161" s="538">
        <f t="shared" si="235"/>
        <v>20772284.288259037</v>
      </c>
      <c r="BX161" s="538">
        <f t="shared" si="236"/>
        <v>0</v>
      </c>
      <c r="BY161" s="538">
        <f t="shared" si="180"/>
        <v>-14.000008222332962</v>
      </c>
      <c r="BZ161" s="538">
        <f t="shared" si="250"/>
        <v>21283509.636629</v>
      </c>
      <c r="CA161" s="641">
        <f t="shared" si="270"/>
        <v>9.3500000000000024E-3</v>
      </c>
      <c r="CB161" s="469">
        <f t="shared" si="238"/>
        <v>42567005282.599777</v>
      </c>
      <c r="CC161" s="177">
        <f t="shared" si="251"/>
        <v>8501224.5862791613</v>
      </c>
      <c r="CD161" s="5">
        <f t="shared" si="239"/>
        <v>2.8050000000000002</v>
      </c>
      <c r="CE161" s="177">
        <f t="shared" si="240"/>
        <v>3.2995235521843135E-7</v>
      </c>
      <c r="CF161" s="5">
        <f t="shared" si="241"/>
        <v>3.2995235521843136E-5</v>
      </c>
      <c r="CG161">
        <f t="shared" si="242"/>
        <v>51</v>
      </c>
      <c r="CI161" s="571">
        <f t="shared" si="271"/>
        <v>-50</v>
      </c>
      <c r="CJ161">
        <f t="shared" si="272"/>
        <v>-50</v>
      </c>
    </row>
    <row r="162" spans="5:88" x14ac:dyDescent="0.25">
      <c r="E162" s="174">
        <v>52</v>
      </c>
      <c r="F162" s="221">
        <f t="shared" si="273"/>
        <v>5.2000000000000005E-2</v>
      </c>
      <c r="G162" s="221">
        <f t="shared" si="252"/>
        <v>0.26</v>
      </c>
      <c r="H162" s="221">
        <f t="shared" si="253"/>
        <v>0.78</v>
      </c>
      <c r="I162" s="221">
        <f t="shared" si="254"/>
        <v>2.08</v>
      </c>
      <c r="J162" s="551">
        <f t="shared" si="186"/>
        <v>20</v>
      </c>
      <c r="K162" s="451">
        <f t="shared" si="187"/>
        <v>695386.58000000007</v>
      </c>
      <c r="L162" s="451">
        <f t="shared" si="188"/>
        <v>695406.58000000007</v>
      </c>
      <c r="M162" s="451"/>
      <c r="N162" s="221">
        <f t="shared" si="189"/>
        <v>0.9999712398464794</v>
      </c>
      <c r="O162" s="176">
        <f t="shared" si="255"/>
        <v>1.8408561460810189</v>
      </c>
      <c r="P162" s="176">
        <f t="shared" si="256"/>
        <v>4.908949722882717</v>
      </c>
      <c r="Q162" s="221">
        <f t="shared" si="192"/>
        <v>0.12272374307206793</v>
      </c>
      <c r="R162" s="221">
        <f t="shared" si="257"/>
        <v>0.23010701826012736</v>
      </c>
      <c r="S162" s="221">
        <f t="shared" si="258"/>
        <v>15</v>
      </c>
      <c r="T162" s="221">
        <f t="shared" si="259"/>
        <v>0.31778691737830844</v>
      </c>
      <c r="U162" s="221">
        <f t="shared" si="196"/>
        <v>0.47668037606746266</v>
      </c>
      <c r="V162" s="221">
        <f t="shared" si="197"/>
        <v>1.3709795091744871E-5</v>
      </c>
      <c r="W162" s="201">
        <f t="shared" si="198"/>
        <v>350</v>
      </c>
      <c r="X162" s="451">
        <f t="shared" si="199"/>
        <v>350</v>
      </c>
      <c r="Z162" s="221">
        <f t="shared" si="200"/>
        <v>1.9047071235171036</v>
      </c>
      <c r="AA162" s="177">
        <f t="shared" si="201"/>
        <v>8.2171867201568798E-5</v>
      </c>
      <c r="AB162" s="177">
        <f t="shared" si="260"/>
        <v>0.34129476953431226</v>
      </c>
      <c r="AC162" s="177"/>
      <c r="AD162" s="177">
        <f t="shared" si="203"/>
        <v>6.4712206554230591E-6</v>
      </c>
      <c r="AE162" s="555">
        <f t="shared" si="261"/>
        <v>8598.3604938271637</v>
      </c>
      <c r="AF162" s="538">
        <f t="shared" si="262"/>
        <v>2.1166825946720815E-3</v>
      </c>
      <c r="AH162" s="177">
        <f t="shared" si="263"/>
        <v>0.73807987695228816</v>
      </c>
      <c r="AI162" s="177">
        <f t="shared" si="264"/>
        <v>0.73807987695228816</v>
      </c>
      <c r="AJ162" s="177">
        <f t="shared" si="265"/>
        <v>1.6356147236683616</v>
      </c>
      <c r="AL162" s="555">
        <f t="shared" si="266"/>
        <v>52.000000000000007</v>
      </c>
      <c r="AM162" s="469">
        <f t="shared" si="267"/>
        <v>350</v>
      </c>
      <c r="AO162">
        <f t="shared" si="211"/>
        <v>52.000000000000007</v>
      </c>
      <c r="AP162">
        <f t="shared" si="212"/>
        <v>350</v>
      </c>
      <c r="AR162" s="5">
        <f t="shared" si="249"/>
        <v>2.8571428571428572</v>
      </c>
      <c r="AS162" s="5">
        <f t="shared" si="246"/>
        <v>1.1071198154284323</v>
      </c>
      <c r="AT162" s="5">
        <f t="shared" si="247"/>
        <v>1.7500230417144249</v>
      </c>
      <c r="AU162" s="177">
        <f t="shared" si="248"/>
        <v>0.3874919353999513</v>
      </c>
      <c r="AW162" s="5">
        <f t="shared" si="216"/>
        <v>0.3838015360151899</v>
      </c>
      <c r="AX162" s="5"/>
      <c r="AY162" s="5">
        <f t="shared" si="217"/>
        <v>3.5981394001424047</v>
      </c>
      <c r="AZ162" s="5"/>
      <c r="BA162" s="5">
        <f t="shared" si="218"/>
        <v>6.3195276506354231E-2</v>
      </c>
      <c r="BB162" s="5"/>
      <c r="BC162" s="5"/>
      <c r="BD162" s="177">
        <f t="shared" si="219"/>
        <v>0.26526140868229997</v>
      </c>
      <c r="BE162" s="177">
        <f t="shared" si="220"/>
        <v>4155.649066148545</v>
      </c>
      <c r="BF162" s="177">
        <f t="shared" si="221"/>
        <v>20518.727911364429</v>
      </c>
      <c r="BG162" s="177"/>
      <c r="BH162" s="538">
        <f t="shared" si="222"/>
        <v>2.4627265227641356E-2</v>
      </c>
      <c r="BI162" s="538">
        <f t="shared" si="223"/>
        <v>898.21480524687024</v>
      </c>
      <c r="BJ162" s="538">
        <f t="shared" si="224"/>
        <v>4.3749999999999995E-3</v>
      </c>
      <c r="BK162" s="538">
        <f t="shared" si="225"/>
        <v>8462830.4513776898</v>
      </c>
      <c r="BL162">
        <f t="shared" si="226"/>
        <v>5.7999999999999996E-3</v>
      </c>
      <c r="BM162">
        <f t="shared" si="268"/>
        <v>1.3124999999999999E-5</v>
      </c>
      <c r="BN162">
        <f t="shared" si="269"/>
        <v>8502361.1414063238</v>
      </c>
      <c r="BO162" s="469">
        <f t="shared" si="229"/>
        <v>8463728700.9852009</v>
      </c>
      <c r="BP162" s="177">
        <f t="shared" si="230"/>
        <v>1.5600000000000001E-2</v>
      </c>
      <c r="BQ162" s="177">
        <f t="shared" si="231"/>
        <v>7.8E-2</v>
      </c>
      <c r="BR162" s="538"/>
      <c r="BT162" s="469">
        <f t="shared" si="232"/>
        <v>93.600000000000009</v>
      </c>
      <c r="BU162" s="538">
        <f t="shared" si="233"/>
        <v>7.036361493611816E-3</v>
      </c>
      <c r="BV162" s="538">
        <f t="shared" si="234"/>
        <v>518082.57482943824</v>
      </c>
      <c r="BW162" s="538">
        <f t="shared" si="235"/>
        <v>21050909.755030286</v>
      </c>
      <c r="BX162" s="538">
        <f t="shared" si="236"/>
        <v>0</v>
      </c>
      <c r="BY162" s="538">
        <f t="shared" si="180"/>
        <v>-14.000008113503807</v>
      </c>
      <c r="BZ162" s="538">
        <f t="shared" si="250"/>
        <v>21568992.336896084</v>
      </c>
      <c r="CA162" s="641">
        <f t="shared" si="270"/>
        <v>9.5333333333333346E-3</v>
      </c>
      <c r="CB162" s="469">
        <f t="shared" si="238"/>
        <v>43137970683.317383</v>
      </c>
      <c r="CC162" s="177">
        <f t="shared" si="251"/>
        <v>8502347.2445315421</v>
      </c>
      <c r="CD162" s="5">
        <f t="shared" si="239"/>
        <v>2.8600000000000003</v>
      </c>
      <c r="CE162" s="177">
        <f t="shared" si="240"/>
        <v>3.3637758558962321E-7</v>
      </c>
      <c r="CF162" s="5">
        <f t="shared" si="241"/>
        <v>3.3637758558962324E-5</v>
      </c>
      <c r="CG162">
        <f t="shared" si="242"/>
        <v>52</v>
      </c>
      <c r="CI162" s="571">
        <f t="shared" si="271"/>
        <v>-50</v>
      </c>
      <c r="CJ162">
        <f t="shared" si="272"/>
        <v>-50</v>
      </c>
    </row>
    <row r="163" spans="5:88" x14ac:dyDescent="0.25">
      <c r="E163" s="174">
        <v>53</v>
      </c>
      <c r="F163" s="221">
        <f t="shared" si="273"/>
        <v>5.3000000000000005E-2</v>
      </c>
      <c r="G163" s="221">
        <f t="shared" si="252"/>
        <v>0.26500000000000001</v>
      </c>
      <c r="H163" s="221">
        <f t="shared" si="253"/>
        <v>0.79500000000000004</v>
      </c>
      <c r="I163" s="221">
        <f t="shared" si="254"/>
        <v>2.12</v>
      </c>
      <c r="J163" s="551">
        <f t="shared" si="186"/>
        <v>20</v>
      </c>
      <c r="K163" s="451">
        <f t="shared" si="187"/>
        <v>695386.58000000007</v>
      </c>
      <c r="L163" s="451">
        <f t="shared" si="188"/>
        <v>695406.58000000007</v>
      </c>
      <c r="M163" s="451"/>
      <c r="N163" s="221">
        <f t="shared" si="189"/>
        <v>0.9999712398464794</v>
      </c>
      <c r="O163" s="176">
        <f t="shared" si="255"/>
        <v>1.8408561460810189</v>
      </c>
      <c r="P163" s="176">
        <f t="shared" si="256"/>
        <v>4.908949722882717</v>
      </c>
      <c r="Q163" s="221">
        <f t="shared" si="192"/>
        <v>0.12272374307206793</v>
      </c>
      <c r="R163" s="221">
        <f t="shared" si="257"/>
        <v>0.23010701826012736</v>
      </c>
      <c r="S163" s="221">
        <f t="shared" si="258"/>
        <v>15</v>
      </c>
      <c r="T163" s="221">
        <f t="shared" si="259"/>
        <v>0.32389820425096816</v>
      </c>
      <c r="U163" s="221">
        <f t="shared" si="196"/>
        <v>0.48584730637645218</v>
      </c>
      <c r="V163" s="221">
        <f t="shared" si="197"/>
        <v>1.3973444997355347E-5</v>
      </c>
      <c r="W163" s="201">
        <f t="shared" si="198"/>
        <v>350</v>
      </c>
      <c r="X163" s="451">
        <f t="shared" si="199"/>
        <v>350</v>
      </c>
      <c r="Z163" s="221">
        <f t="shared" si="200"/>
        <v>1.9047071235171036</v>
      </c>
      <c r="AA163" s="177">
        <f t="shared" si="201"/>
        <v>8.2171867201568798E-5</v>
      </c>
      <c r="AB163" s="177">
        <f t="shared" si="260"/>
        <v>0.34129476953431226</v>
      </c>
      <c r="AC163" s="177"/>
      <c r="AD163" s="177">
        <f t="shared" si="203"/>
        <v>6.4712206554230591E-6</v>
      </c>
      <c r="AE163" s="555">
        <f t="shared" si="261"/>
        <v>8763.7135802469184</v>
      </c>
      <c r="AF163" s="538">
        <f t="shared" si="262"/>
        <v>2.1166825946720815E-3</v>
      </c>
      <c r="AH163" s="177">
        <f t="shared" si="263"/>
        <v>0.74514300321354099</v>
      </c>
      <c r="AI163" s="177">
        <f t="shared" si="264"/>
        <v>0.74514300321354099</v>
      </c>
      <c r="AJ163" s="177">
        <f t="shared" si="265"/>
        <v>1.6408466690470673</v>
      </c>
      <c r="AL163" s="555">
        <f t="shared" si="266"/>
        <v>53.000000000000007</v>
      </c>
      <c r="AM163" s="469">
        <f t="shared" si="267"/>
        <v>350</v>
      </c>
      <c r="AO163">
        <f t="shared" si="211"/>
        <v>53.000000000000007</v>
      </c>
      <c r="AP163">
        <f t="shared" si="212"/>
        <v>350</v>
      </c>
      <c r="AR163" s="5">
        <f t="shared" si="249"/>
        <v>2.8571428571428572</v>
      </c>
      <c r="AS163" s="5">
        <f t="shared" si="246"/>
        <v>1.1177145048203116</v>
      </c>
      <c r="AT163" s="5">
        <f t="shared" si="247"/>
        <v>1.7394283523225456</v>
      </c>
      <c r="AU163" s="177">
        <f t="shared" si="248"/>
        <v>0.39120007668710904</v>
      </c>
      <c r="AW163" s="5">
        <f t="shared" si="216"/>
        <v>0.39492579170317682</v>
      </c>
      <c r="AX163" s="5"/>
      <c r="AY163" s="5">
        <f t="shared" si="217"/>
        <v>3.7024292972172832</v>
      </c>
      <c r="AZ163" s="5"/>
      <c r="BA163" s="5">
        <f t="shared" si="218"/>
        <v>6.4020626856315904E-2</v>
      </c>
      <c r="BB163" s="5"/>
      <c r="BC163" s="5"/>
      <c r="BD163" s="177">
        <f t="shared" si="219"/>
        <v>0.2690781704491263</v>
      </c>
      <c r="BE163" s="177">
        <f t="shared" si="220"/>
        <v>4182.6980827257948</v>
      </c>
      <c r="BF163" s="177">
        <f t="shared" si="221"/>
        <v>20652.283801812362</v>
      </c>
      <c r="BG163" s="177"/>
      <c r="BH163" s="538">
        <f t="shared" si="222"/>
        <v>2.5341071634287171E-2</v>
      </c>
      <c r="BI163" s="538">
        <f t="shared" si="223"/>
        <v>906.81035808240074</v>
      </c>
      <c r="BJ163" s="538">
        <f t="shared" si="224"/>
        <v>4.3749999999999995E-3</v>
      </c>
      <c r="BK163" s="538">
        <f t="shared" si="225"/>
        <v>8462830.4513776898</v>
      </c>
      <c r="BL163">
        <f t="shared" si="226"/>
        <v>5.7999999999999996E-3</v>
      </c>
      <c r="BM163">
        <f t="shared" si="268"/>
        <v>1.3124999999999999E-5</v>
      </c>
      <c r="BN163">
        <f t="shared" si="269"/>
        <v>8503494.7758483477</v>
      </c>
      <c r="BO163" s="469">
        <f t="shared" si="229"/>
        <v>8463737297.2518425</v>
      </c>
      <c r="BP163" s="177">
        <f t="shared" si="230"/>
        <v>1.5900000000000001E-2</v>
      </c>
      <c r="BQ163" s="177">
        <f t="shared" si="231"/>
        <v>7.9500000000000001E-2</v>
      </c>
      <c r="BR163" s="538"/>
      <c r="BT163" s="469">
        <f t="shared" si="232"/>
        <v>95.4</v>
      </c>
      <c r="BU163" s="538">
        <f t="shared" si="233"/>
        <v>7.2403061812249068E-3</v>
      </c>
      <c r="BV163" s="538">
        <f t="shared" si="234"/>
        <v>524848.89753714122</v>
      </c>
      <c r="BW163" s="538">
        <f t="shared" si="235"/>
        <v>21325841.311530065</v>
      </c>
      <c r="BX163" s="538">
        <f t="shared" si="236"/>
        <v>0</v>
      </c>
      <c r="BY163" s="538">
        <f t="shared" si="180"/>
        <v>-14.000008008904908</v>
      </c>
      <c r="BZ163" s="538">
        <f t="shared" si="250"/>
        <v>21850690.216307513</v>
      </c>
      <c r="CA163" s="641">
        <f t="shared" si="270"/>
        <v>9.7166666666666669E-3</v>
      </c>
      <c r="CB163" s="469">
        <f t="shared" si="238"/>
        <v>43701366442.323685</v>
      </c>
      <c r="CC163" s="177">
        <f t="shared" si="251"/>
        <v>8503480.8809570074</v>
      </c>
      <c r="CD163" s="5">
        <f t="shared" si="239"/>
        <v>2.915</v>
      </c>
      <c r="CE163" s="177">
        <f t="shared" si="240"/>
        <v>3.4280067675156163E-7</v>
      </c>
      <c r="CF163" s="5">
        <f t="shared" si="241"/>
        <v>3.4280067675156166E-5</v>
      </c>
      <c r="CG163">
        <f t="shared" si="242"/>
        <v>53</v>
      </c>
      <c r="CI163" s="571">
        <f t="shared" si="271"/>
        <v>-50</v>
      </c>
      <c r="CJ163">
        <f t="shared" si="272"/>
        <v>-50</v>
      </c>
    </row>
    <row r="164" spans="5:88" x14ac:dyDescent="0.25">
      <c r="E164" s="174">
        <v>54</v>
      </c>
      <c r="F164" s="221">
        <f t="shared" si="273"/>
        <v>5.4000000000000006E-2</v>
      </c>
      <c r="G164" s="221">
        <f t="shared" si="252"/>
        <v>0.27</v>
      </c>
      <c r="H164" s="221">
        <f t="shared" si="253"/>
        <v>0.81</v>
      </c>
      <c r="I164" s="221">
        <f t="shared" si="254"/>
        <v>2.16</v>
      </c>
      <c r="J164" s="551">
        <f t="shared" si="186"/>
        <v>20</v>
      </c>
      <c r="K164" s="451">
        <f t="shared" si="187"/>
        <v>695386.58000000007</v>
      </c>
      <c r="L164" s="451">
        <f t="shared" si="188"/>
        <v>695406.58000000007</v>
      </c>
      <c r="M164" s="451"/>
      <c r="N164" s="221">
        <f t="shared" si="189"/>
        <v>0.9999712398464794</v>
      </c>
      <c r="O164" s="176">
        <f t="shared" si="255"/>
        <v>1.8408561460810189</v>
      </c>
      <c r="P164" s="176">
        <f t="shared" si="256"/>
        <v>4.908949722882717</v>
      </c>
      <c r="Q164" s="221">
        <f t="shared" si="192"/>
        <v>0.12272374307206793</v>
      </c>
      <c r="R164" s="221">
        <f t="shared" si="257"/>
        <v>0.23010701826012736</v>
      </c>
      <c r="S164" s="221">
        <f t="shared" si="258"/>
        <v>15</v>
      </c>
      <c r="T164" s="221">
        <f t="shared" si="259"/>
        <v>0.33000949112362798</v>
      </c>
      <c r="U164" s="221">
        <f t="shared" si="196"/>
        <v>0.49501423668544203</v>
      </c>
      <c r="V164" s="221">
        <f t="shared" si="197"/>
        <v>1.4237094902965828E-5</v>
      </c>
      <c r="W164" s="201">
        <f t="shared" si="198"/>
        <v>350</v>
      </c>
      <c r="X164" s="451">
        <f t="shared" si="199"/>
        <v>350</v>
      </c>
      <c r="Z164" s="221">
        <f t="shared" si="200"/>
        <v>1.9047071235171036</v>
      </c>
      <c r="AA164" s="177">
        <f t="shared" si="201"/>
        <v>8.2171867201568798E-5</v>
      </c>
      <c r="AB164" s="177">
        <f t="shared" si="260"/>
        <v>0.34129476953431226</v>
      </c>
      <c r="AC164" s="177"/>
      <c r="AD164" s="177">
        <f t="shared" si="203"/>
        <v>6.4712206554230591E-6</v>
      </c>
      <c r="AE164" s="555">
        <f t="shared" si="261"/>
        <v>8929.0666666666693</v>
      </c>
      <c r="AF164" s="538">
        <f t="shared" si="262"/>
        <v>2.1166825946720815E-3</v>
      </c>
      <c r="AH164" s="177">
        <f t="shared" si="263"/>
        <v>0.75213980463361052</v>
      </c>
      <c r="AI164" s="177">
        <f t="shared" si="264"/>
        <v>0.75213980463361052</v>
      </c>
      <c r="AJ164" s="177">
        <f t="shared" si="265"/>
        <v>1.6460294849137855</v>
      </c>
      <c r="AL164" s="555">
        <f t="shared" si="266"/>
        <v>54.000000000000007</v>
      </c>
      <c r="AM164" s="469">
        <f t="shared" si="267"/>
        <v>350</v>
      </c>
      <c r="AO164">
        <f t="shared" si="211"/>
        <v>54.000000000000007</v>
      </c>
      <c r="AP164">
        <f t="shared" si="212"/>
        <v>350</v>
      </c>
      <c r="AR164" s="5">
        <f t="shared" si="249"/>
        <v>2.8571428571428572</v>
      </c>
      <c r="AS164" s="5">
        <f t="shared" si="246"/>
        <v>1.1282097069504158</v>
      </c>
      <c r="AT164" s="5">
        <f t="shared" si="247"/>
        <v>1.7289331501924414</v>
      </c>
      <c r="AU164" s="177">
        <f t="shared" si="248"/>
        <v>0.39487339743264549</v>
      </c>
      <c r="AW164" s="5">
        <f t="shared" si="216"/>
        <v>0.40615549450214972</v>
      </c>
      <c r="AX164" s="5"/>
      <c r="AY164" s="5">
        <f t="shared" si="217"/>
        <v>3.8077077609576535</v>
      </c>
      <c r="AZ164" s="5"/>
      <c r="BA164" s="5">
        <f t="shared" si="218"/>
        <v>6.4834993132216537E-2</v>
      </c>
      <c r="BB164" s="5"/>
      <c r="BC164" s="5"/>
      <c r="BD164" s="177">
        <f t="shared" si="219"/>
        <v>0.27287696982106691</v>
      </c>
      <c r="BE164" s="177">
        <f t="shared" si="220"/>
        <v>4209.2167579716652</v>
      </c>
      <c r="BF164" s="177">
        <f t="shared" si="221"/>
        <v>20783.221105053937</v>
      </c>
      <c r="BG164" s="177"/>
      <c r="BH164" s="538">
        <f t="shared" si="222"/>
        <v>2.6061644230554612E-2</v>
      </c>
      <c r="BI164" s="538">
        <f t="shared" si="223"/>
        <v>915.32519613872273</v>
      </c>
      <c r="BJ164" s="538">
        <f t="shared" si="224"/>
        <v>4.3749999999999995E-3</v>
      </c>
      <c r="BK164" s="538">
        <f t="shared" si="225"/>
        <v>8462830.4513776898</v>
      </c>
      <c r="BL164">
        <f t="shared" si="226"/>
        <v>5.7999999999999996E-3</v>
      </c>
      <c r="BM164">
        <f t="shared" si="268"/>
        <v>1.3124999999999999E-5</v>
      </c>
      <c r="BN164">
        <f t="shared" si="269"/>
        <v>8504639.2973804213</v>
      </c>
      <c r="BO164" s="469">
        <f t="shared" si="229"/>
        <v>8463745812.8104734</v>
      </c>
      <c r="BP164" s="177">
        <f t="shared" si="230"/>
        <v>1.6200000000000003E-2</v>
      </c>
      <c r="BQ164" s="177">
        <f t="shared" si="231"/>
        <v>8.1000000000000003E-2</v>
      </c>
      <c r="BR164" s="538"/>
      <c r="BT164" s="469">
        <f t="shared" si="232"/>
        <v>97.2</v>
      </c>
      <c r="BU164" s="538">
        <f t="shared" si="233"/>
        <v>7.4461840658727463E-3</v>
      </c>
      <c r="BV164" s="538">
        <f t="shared" si="234"/>
        <v>531525.17146768491</v>
      </c>
      <c r="BW164" s="538">
        <f t="shared" si="235"/>
        <v>21597113.975077972</v>
      </c>
      <c r="BX164" s="538">
        <f t="shared" si="236"/>
        <v>0</v>
      </c>
      <c r="BY164" s="538">
        <f t="shared" si="180"/>
        <v>-14.000007908308218</v>
      </c>
      <c r="BZ164" s="538">
        <f t="shared" si="250"/>
        <v>22128639.153991841</v>
      </c>
      <c r="CA164" s="641">
        <f t="shared" si="270"/>
        <v>9.9000000000000043E-3</v>
      </c>
      <c r="CB164" s="469">
        <f t="shared" si="238"/>
        <v>44257264317.875771</v>
      </c>
      <c r="CC164" s="177">
        <f t="shared" si="251"/>
        <v>8504625.4044725131</v>
      </c>
      <c r="CD164" s="5">
        <f t="shared" si="239"/>
        <v>2.97</v>
      </c>
      <c r="CE164" s="177">
        <f t="shared" si="240"/>
        <v>3.4922160842615414E-7</v>
      </c>
      <c r="CF164" s="5">
        <f t="shared" si="241"/>
        <v>3.4922160842615413E-5</v>
      </c>
      <c r="CG164">
        <f t="shared" si="242"/>
        <v>54</v>
      </c>
      <c r="CI164" s="571">
        <f t="shared" si="271"/>
        <v>-50</v>
      </c>
      <c r="CJ164">
        <f t="shared" si="272"/>
        <v>-50</v>
      </c>
    </row>
    <row r="165" spans="5:88" x14ac:dyDescent="0.25">
      <c r="E165" s="174">
        <v>55</v>
      </c>
      <c r="F165" s="221">
        <f t="shared" si="273"/>
        <v>5.5000000000000007E-2</v>
      </c>
      <c r="G165" s="221">
        <f t="shared" si="252"/>
        <v>0.27500000000000002</v>
      </c>
      <c r="H165" s="221">
        <f t="shared" si="253"/>
        <v>0.82500000000000007</v>
      </c>
      <c r="I165" s="221">
        <f t="shared" si="254"/>
        <v>2.2000000000000002</v>
      </c>
      <c r="J165" s="551">
        <f t="shared" si="186"/>
        <v>20</v>
      </c>
      <c r="K165" s="451">
        <f t="shared" si="187"/>
        <v>695386.58000000007</v>
      </c>
      <c r="L165" s="451">
        <f t="shared" si="188"/>
        <v>695406.58000000007</v>
      </c>
      <c r="M165" s="451"/>
      <c r="N165" s="221">
        <f t="shared" si="189"/>
        <v>0.9999712398464794</v>
      </c>
      <c r="O165" s="176">
        <f t="shared" si="255"/>
        <v>1.8408561460810189</v>
      </c>
      <c r="P165" s="176">
        <f t="shared" si="256"/>
        <v>4.908949722882717</v>
      </c>
      <c r="Q165" s="221">
        <f t="shared" si="192"/>
        <v>0.12272374307206793</v>
      </c>
      <c r="R165" s="221">
        <f t="shared" si="257"/>
        <v>0.23010701826012736</v>
      </c>
      <c r="S165" s="221">
        <f t="shared" si="258"/>
        <v>15</v>
      </c>
      <c r="T165" s="221">
        <f t="shared" si="259"/>
        <v>0.33612077799628776</v>
      </c>
      <c r="U165" s="221">
        <f t="shared" si="196"/>
        <v>0.50418116699443161</v>
      </c>
      <c r="V165" s="221">
        <f t="shared" si="197"/>
        <v>1.4500744808576307E-5</v>
      </c>
      <c r="W165" s="201">
        <f t="shared" si="198"/>
        <v>350</v>
      </c>
      <c r="X165" s="451">
        <f t="shared" si="199"/>
        <v>350</v>
      </c>
      <c r="Z165" s="221">
        <f t="shared" si="200"/>
        <v>1.9047071235171036</v>
      </c>
      <c r="AA165" s="177">
        <f t="shared" si="201"/>
        <v>8.2171867201568798E-5</v>
      </c>
      <c r="AB165" s="177">
        <f t="shared" si="260"/>
        <v>0.34129476953431226</v>
      </c>
      <c r="AC165" s="177"/>
      <c r="AD165" s="177">
        <f t="shared" si="203"/>
        <v>6.4712206554230591E-6</v>
      </c>
      <c r="AE165" s="555">
        <f t="shared" si="261"/>
        <v>9094.4197530864221</v>
      </c>
      <c r="AF165" s="538">
        <f t="shared" si="262"/>
        <v>2.1166825946720815E-3</v>
      </c>
      <c r="AH165" s="177">
        <f t="shared" si="263"/>
        <v>0.75907211527658969</v>
      </c>
      <c r="AI165" s="177">
        <f t="shared" si="264"/>
        <v>0.75907211527658969</v>
      </c>
      <c r="AJ165" s="177">
        <f t="shared" si="265"/>
        <v>1.6511645298345108</v>
      </c>
      <c r="AL165" s="555">
        <f t="shared" si="266"/>
        <v>55.000000000000007</v>
      </c>
      <c r="AM165" s="469">
        <f t="shared" si="267"/>
        <v>350</v>
      </c>
      <c r="AO165">
        <f t="shared" si="211"/>
        <v>55.000000000000007</v>
      </c>
      <c r="AP165">
        <f t="shared" si="212"/>
        <v>350</v>
      </c>
      <c r="AR165" s="5">
        <f t="shared" si="249"/>
        <v>2.8571428571428572</v>
      </c>
      <c r="AS165" s="5">
        <f t="shared" si="246"/>
        <v>1.1386081729148845</v>
      </c>
      <c r="AT165" s="5">
        <f t="shared" si="247"/>
        <v>1.7185346842279727</v>
      </c>
      <c r="AU165" s="177">
        <f t="shared" si="248"/>
        <v>0.39851286052020957</v>
      </c>
      <c r="AW165" s="5">
        <f t="shared" si="216"/>
        <v>0.4174896634021244</v>
      </c>
      <c r="AX165" s="5"/>
      <c r="AY165" s="5">
        <f t="shared" si="217"/>
        <v>3.9139655943949152</v>
      </c>
      <c r="AZ165" s="5"/>
      <c r="BA165" s="5">
        <f t="shared" si="218"/>
        <v>6.5638477522596175E-2</v>
      </c>
      <c r="BB165" s="5"/>
      <c r="BC165" s="5"/>
      <c r="BD165" s="177">
        <f t="shared" si="219"/>
        <v>0.27665822168105325</v>
      </c>
      <c r="BE165" s="177">
        <f t="shared" si="220"/>
        <v>4235.2183508258777</v>
      </c>
      <c r="BF165" s="177">
        <f t="shared" si="221"/>
        <v>20911.605287776114</v>
      </c>
      <c r="BG165" s="177"/>
      <c r="BH165" s="538">
        <f t="shared" si="222"/>
        <v>2.6788920068302979E-2</v>
      </c>
      <c r="BI165" s="538">
        <f t="shared" si="223"/>
        <v>923.76155140125343</v>
      </c>
      <c r="BJ165" s="538">
        <f t="shared" si="224"/>
        <v>4.3749999999999995E-3</v>
      </c>
      <c r="BK165" s="538">
        <f t="shared" si="225"/>
        <v>8462830.4513776898</v>
      </c>
      <c r="BL165">
        <f t="shared" si="226"/>
        <v>5.7999999999999996E-3</v>
      </c>
      <c r="BM165">
        <f t="shared" si="268"/>
        <v>1.3124999999999999E-5</v>
      </c>
      <c r="BN165">
        <f t="shared" si="269"/>
        <v>8505794.6176405102</v>
      </c>
      <c r="BO165" s="469">
        <f t="shared" si="229"/>
        <v>8463754249.8930111</v>
      </c>
      <c r="BP165" s="177">
        <f t="shared" si="230"/>
        <v>1.6500000000000001E-2</v>
      </c>
      <c r="BQ165" s="177">
        <f t="shared" si="231"/>
        <v>8.2500000000000004E-2</v>
      </c>
      <c r="BR165" s="538"/>
      <c r="BT165" s="469">
        <f t="shared" si="232"/>
        <v>99</v>
      </c>
      <c r="BU165" s="538">
        <f t="shared" si="233"/>
        <v>7.6539771623722807E-3</v>
      </c>
      <c r="BV165" s="538">
        <f t="shared" si="234"/>
        <v>538112.23437516799</v>
      </c>
      <c r="BW165" s="538">
        <f t="shared" si="235"/>
        <v>21864761.785587296</v>
      </c>
      <c r="BX165" s="538">
        <f t="shared" si="236"/>
        <v>0</v>
      </c>
      <c r="BY165" s="538">
        <f t="shared" ref="BY165:BY210" si="274">(BX165+(BU165+BV165+BW165)*(1+Ltc*(Ta-25)))/(1-(BU165+BV165+BW165)*Ltc*ThetaCa)</f>
        <v>-14.000007811502106</v>
      </c>
      <c r="BZ165" s="538">
        <f t="shared" si="250"/>
        <v>22402874.027616441</v>
      </c>
      <c r="CA165" s="641">
        <f t="shared" si="270"/>
        <v>1.0083333333333335E-2</v>
      </c>
      <c r="CB165" s="469">
        <f t="shared" si="238"/>
        <v>44805734065.308411</v>
      </c>
      <c r="CC165" s="177">
        <f t="shared" si="251"/>
        <v>8505780.7267160304</v>
      </c>
      <c r="CD165" s="5">
        <f t="shared" si="239"/>
        <v>3.0250000000000004</v>
      </c>
      <c r="CE165" s="177">
        <f t="shared" si="240"/>
        <v>3.5564036052406231E-7</v>
      </c>
      <c r="CF165" s="5">
        <f t="shared" si="241"/>
        <v>3.5564036052406232E-5</v>
      </c>
      <c r="CG165">
        <f t="shared" si="242"/>
        <v>55.000000000000007</v>
      </c>
      <c r="CI165" s="571">
        <f t="shared" si="271"/>
        <v>-50</v>
      </c>
      <c r="CJ165">
        <f t="shared" si="272"/>
        <v>-50</v>
      </c>
    </row>
    <row r="166" spans="5:88" x14ac:dyDescent="0.25">
      <c r="E166" s="174">
        <v>56</v>
      </c>
      <c r="F166" s="221">
        <f t="shared" si="273"/>
        <v>5.6000000000000008E-2</v>
      </c>
      <c r="G166" s="221">
        <f t="shared" si="252"/>
        <v>0.28000000000000003</v>
      </c>
      <c r="H166" s="221">
        <f t="shared" si="253"/>
        <v>0.84000000000000008</v>
      </c>
      <c r="I166" s="221">
        <f t="shared" si="254"/>
        <v>2.2400000000000002</v>
      </c>
      <c r="J166" s="551">
        <f t="shared" si="186"/>
        <v>20</v>
      </c>
      <c r="K166" s="451">
        <f t="shared" si="187"/>
        <v>695386.58000000007</v>
      </c>
      <c r="L166" s="451">
        <f t="shared" si="188"/>
        <v>695406.58000000007</v>
      </c>
      <c r="M166" s="451"/>
      <c r="N166" s="221">
        <f t="shared" si="189"/>
        <v>0.9999712398464794</v>
      </c>
      <c r="O166" s="176">
        <f t="shared" si="255"/>
        <v>1.8408561460810189</v>
      </c>
      <c r="P166" s="176">
        <f t="shared" si="256"/>
        <v>4.908949722882717</v>
      </c>
      <c r="Q166" s="221">
        <f t="shared" si="192"/>
        <v>0.12272374307206793</v>
      </c>
      <c r="R166" s="221">
        <f t="shared" si="257"/>
        <v>0.23010701826012736</v>
      </c>
      <c r="S166" s="221">
        <f t="shared" si="258"/>
        <v>15</v>
      </c>
      <c r="T166" s="221">
        <f t="shared" si="259"/>
        <v>0.34223206486894753</v>
      </c>
      <c r="U166" s="221">
        <f t="shared" si="196"/>
        <v>0.51334809730342124</v>
      </c>
      <c r="V166" s="221">
        <f t="shared" si="197"/>
        <v>1.4764394714186784E-5</v>
      </c>
      <c r="W166" s="201">
        <f t="shared" si="198"/>
        <v>350</v>
      </c>
      <c r="X166" s="451">
        <f t="shared" si="199"/>
        <v>350</v>
      </c>
      <c r="Z166" s="221">
        <f t="shared" si="200"/>
        <v>1.9047071235171036</v>
      </c>
      <c r="AA166" s="177">
        <f t="shared" si="201"/>
        <v>8.2171867201568798E-5</v>
      </c>
      <c r="AB166" s="177">
        <f t="shared" si="260"/>
        <v>0.34129476953431226</v>
      </c>
      <c r="AC166" s="177"/>
      <c r="AD166" s="177">
        <f t="shared" si="203"/>
        <v>6.4712206554230591E-6</v>
      </c>
      <c r="AE166" s="555">
        <f t="shared" si="261"/>
        <v>9259.7728395061768</v>
      </c>
      <c r="AF166" s="538">
        <f t="shared" si="262"/>
        <v>2.1166825946720815E-3</v>
      </c>
      <c r="AH166" s="177">
        <f t="shared" si="263"/>
        <v>0.76594168620507053</v>
      </c>
      <c r="AI166" s="177">
        <f t="shared" si="264"/>
        <v>0.76594168620507053</v>
      </c>
      <c r="AJ166" s="177">
        <f t="shared" si="265"/>
        <v>1.6562531008926449</v>
      </c>
      <c r="AL166" s="555">
        <f t="shared" si="266"/>
        <v>56.000000000000007</v>
      </c>
      <c r="AM166" s="469">
        <f t="shared" si="267"/>
        <v>350</v>
      </c>
      <c r="AO166">
        <f t="shared" si="211"/>
        <v>56.000000000000007</v>
      </c>
      <c r="AP166">
        <f t="shared" si="212"/>
        <v>350</v>
      </c>
      <c r="AR166" s="5">
        <f t="shared" si="249"/>
        <v>2.8571428571428572</v>
      </c>
      <c r="AS166" s="5">
        <f t="shared" si="246"/>
        <v>1.1489125293076057</v>
      </c>
      <c r="AT166" s="5">
        <f t="shared" si="247"/>
        <v>1.7082303278352515</v>
      </c>
      <c r="AU166" s="177">
        <f t="shared" si="248"/>
        <v>0.402119385257662</v>
      </c>
      <c r="AW166" s="5">
        <f t="shared" si="216"/>
        <v>0.42892734427483953</v>
      </c>
      <c r="AX166" s="5"/>
      <c r="AY166" s="5">
        <f t="shared" si="217"/>
        <v>4.0211938525766202</v>
      </c>
      <c r="AZ166" s="5"/>
      <c r="BA166" s="5">
        <f t="shared" si="218"/>
        <v>6.6431179415815333E-2</v>
      </c>
      <c r="BB166" s="5"/>
      <c r="BC166" s="5"/>
      <c r="BD166" s="177">
        <f t="shared" si="219"/>
        <v>0.28042232397532224</v>
      </c>
      <c r="BE166" s="177">
        <f t="shared" si="220"/>
        <v>4260.7155152527957</v>
      </c>
      <c r="BF166" s="177">
        <f t="shared" si="221"/>
        <v>21037.498829569362</v>
      </c>
      <c r="BG166" s="177"/>
      <c r="BH166" s="538">
        <f t="shared" si="222"/>
        <v>2.7522837924302206E-2</v>
      </c>
      <c r="BI166" s="538">
        <f t="shared" si="223"/>
        <v>932.1215548457775</v>
      </c>
      <c r="BJ166" s="538">
        <f t="shared" si="224"/>
        <v>4.3749999999999995E-3</v>
      </c>
      <c r="BK166" s="538">
        <f t="shared" si="225"/>
        <v>8462830.4513776898</v>
      </c>
      <c r="BL166">
        <f t="shared" si="226"/>
        <v>5.7999999999999996E-3</v>
      </c>
      <c r="BM166">
        <f t="shared" si="268"/>
        <v>1.3124999999999999E-5</v>
      </c>
      <c r="BN166">
        <f t="shared" si="269"/>
        <v>8506960.6508655753</v>
      </c>
      <c r="BO166" s="469">
        <f t="shared" si="229"/>
        <v>8463762610.630373</v>
      </c>
      <c r="BP166" s="177">
        <f t="shared" si="230"/>
        <v>1.6800000000000002E-2</v>
      </c>
      <c r="BQ166" s="177">
        <f t="shared" si="231"/>
        <v>8.4000000000000005E-2</v>
      </c>
      <c r="BR166" s="538"/>
      <c r="BT166" s="469">
        <f t="shared" si="232"/>
        <v>100.8</v>
      </c>
      <c r="BU166" s="538">
        <f t="shared" si="233"/>
        <v>7.86366797837206E-3</v>
      </c>
      <c r="BV166" s="538">
        <f t="shared" si="234"/>
        <v>544610.90105747688</v>
      </c>
      <c r="BW166" s="538">
        <f t="shared" si="235"/>
        <v>22128817.850206614</v>
      </c>
      <c r="BX166" s="538">
        <f t="shared" si="236"/>
        <v>0</v>
      </c>
      <c r="BY166" s="538">
        <f t="shared" si="274"/>
        <v>-14.000007718289913</v>
      </c>
      <c r="BZ166" s="538">
        <f t="shared" si="250"/>
        <v>22673428.759127758</v>
      </c>
      <c r="CA166" s="641">
        <f t="shared" si="270"/>
        <v>1.0266666666666669E-2</v>
      </c>
      <c r="CB166" s="469">
        <f t="shared" si="238"/>
        <v>45346843528.514465</v>
      </c>
      <c r="CC166" s="177">
        <f t="shared" si="251"/>
        <v>8506946.7619245239</v>
      </c>
      <c r="CD166" s="5">
        <f t="shared" si="239"/>
        <v>3.08</v>
      </c>
      <c r="CE166" s="177">
        <f t="shared" si="240"/>
        <v>3.6205691313952933E-7</v>
      </c>
      <c r="CF166" s="5">
        <f t="shared" si="241"/>
        <v>3.6205691313952931E-5</v>
      </c>
      <c r="CG166">
        <f t="shared" si="242"/>
        <v>56.000000000000007</v>
      </c>
      <c r="CI166" s="571">
        <f t="shared" si="271"/>
        <v>-50</v>
      </c>
      <c r="CJ166">
        <f t="shared" si="272"/>
        <v>-50</v>
      </c>
    </row>
    <row r="167" spans="5:88" x14ac:dyDescent="0.25">
      <c r="E167" s="174">
        <v>57</v>
      </c>
      <c r="F167" s="221">
        <f t="shared" si="273"/>
        <v>5.6999999999999995E-2</v>
      </c>
      <c r="G167" s="221">
        <f t="shared" si="252"/>
        <v>0.28499999999999998</v>
      </c>
      <c r="H167" s="221">
        <f t="shared" si="253"/>
        <v>0.85499999999999998</v>
      </c>
      <c r="I167" s="221">
        <f t="shared" si="254"/>
        <v>2.2799999999999998</v>
      </c>
      <c r="J167" s="551">
        <f t="shared" si="186"/>
        <v>20</v>
      </c>
      <c r="K167" s="451">
        <f t="shared" si="187"/>
        <v>695386.58000000007</v>
      </c>
      <c r="L167" s="451">
        <f t="shared" si="188"/>
        <v>695406.58000000007</v>
      </c>
      <c r="M167" s="451"/>
      <c r="N167" s="221">
        <f t="shared" si="189"/>
        <v>0.9999712398464794</v>
      </c>
      <c r="O167" s="176">
        <f t="shared" si="255"/>
        <v>1.8408561460810189</v>
      </c>
      <c r="P167" s="176">
        <f t="shared" si="256"/>
        <v>4.908949722882717</v>
      </c>
      <c r="Q167" s="221">
        <f t="shared" si="192"/>
        <v>0.12272374307206793</v>
      </c>
      <c r="R167" s="221">
        <f t="shared" si="257"/>
        <v>0.23010701826012736</v>
      </c>
      <c r="S167" s="221">
        <f t="shared" si="258"/>
        <v>15</v>
      </c>
      <c r="T167" s="221">
        <f t="shared" si="259"/>
        <v>0.34834335174160724</v>
      </c>
      <c r="U167" s="221">
        <f t="shared" si="196"/>
        <v>0.52251502761241087</v>
      </c>
      <c r="V167" s="221">
        <f t="shared" si="197"/>
        <v>1.502804461979726E-5</v>
      </c>
      <c r="W167" s="201">
        <f t="shared" si="198"/>
        <v>350</v>
      </c>
      <c r="X167" s="451">
        <f t="shared" si="199"/>
        <v>350</v>
      </c>
      <c r="Z167" s="221">
        <f t="shared" si="200"/>
        <v>1.9047071235171036</v>
      </c>
      <c r="AA167" s="177">
        <f t="shared" si="201"/>
        <v>8.2171867201568798E-5</v>
      </c>
      <c r="AB167" s="177">
        <f t="shared" si="260"/>
        <v>0.34129476953431226</v>
      </c>
      <c r="AC167" s="177"/>
      <c r="AD167" s="177">
        <f t="shared" si="203"/>
        <v>6.4712206554230591E-6</v>
      </c>
      <c r="AE167" s="555">
        <f t="shared" si="261"/>
        <v>9425.1259259259277</v>
      </c>
      <c r="AF167" s="538">
        <f t="shared" si="262"/>
        <v>2.1166825946720815E-3</v>
      </c>
      <c r="AH167" s="177">
        <f t="shared" si="263"/>
        <v>0.77275019064562978</v>
      </c>
      <c r="AI167" s="177">
        <f t="shared" si="264"/>
        <v>0.77275019064562978</v>
      </c>
      <c r="AJ167" s="177">
        <f t="shared" si="265"/>
        <v>1.6612964375152812</v>
      </c>
      <c r="AL167" s="555">
        <f t="shared" si="266"/>
        <v>56.999999999999993</v>
      </c>
      <c r="AM167" s="469">
        <f t="shared" si="267"/>
        <v>350</v>
      </c>
      <c r="AO167">
        <f t="shared" si="211"/>
        <v>56.999999999999993</v>
      </c>
      <c r="AP167">
        <f t="shared" si="212"/>
        <v>350</v>
      </c>
      <c r="AR167" s="5">
        <f t="shared" si="249"/>
        <v>2.8571428571428572</v>
      </c>
      <c r="AS167" s="5">
        <f t="shared" si="246"/>
        <v>1.1591252859684447</v>
      </c>
      <c r="AT167" s="5">
        <f t="shared" si="247"/>
        <v>1.6980175711744125</v>
      </c>
      <c r="AU167" s="177">
        <f t="shared" si="248"/>
        <v>0.40569385008895564</v>
      </c>
      <c r="AW167" s="5">
        <f t="shared" si="216"/>
        <v>0.44046760866800888</v>
      </c>
      <c r="AX167" s="5"/>
      <c r="AY167" s="5">
        <f t="shared" si="217"/>
        <v>4.129383831262583</v>
      </c>
      <c r="AZ167" s="5"/>
      <c r="BA167" s="5">
        <f t="shared" si="218"/>
        <v>6.7213195525653829E-2</v>
      </c>
      <c r="BB167" s="5"/>
      <c r="BC167" s="5"/>
      <c r="BD167" s="177">
        <f t="shared" si="219"/>
        <v>0.28416965869435873</v>
      </c>
      <c r="BE167" s="177">
        <f t="shared" si="220"/>
        <v>4285.7203376871585</v>
      </c>
      <c r="BF167" s="177">
        <f t="shared" si="221"/>
        <v>21160.96140781786</v>
      </c>
      <c r="BG167" s="177"/>
      <c r="BH167" s="538">
        <f t="shared" si="222"/>
        <v>2.8263338222863914E-2</v>
      </c>
      <c r="BI167" s="538">
        <f t="shared" si="223"/>
        <v>940.40724272464468</v>
      </c>
      <c r="BJ167" s="538">
        <f t="shared" si="224"/>
        <v>4.3749999999999995E-3</v>
      </c>
      <c r="BK167" s="538">
        <f t="shared" si="225"/>
        <v>8462830.4513776898</v>
      </c>
      <c r="BL167">
        <f t="shared" si="226"/>
        <v>5.7999999999999996E-3</v>
      </c>
      <c r="BM167">
        <f t="shared" si="268"/>
        <v>1.3124999999999999E-5</v>
      </c>
      <c r="BN167">
        <f t="shared" si="269"/>
        <v>8508137.3137771357</v>
      </c>
      <c r="BO167" s="469">
        <f t="shared" si="229"/>
        <v>8463770897.0587511</v>
      </c>
      <c r="BP167" s="177">
        <f t="shared" si="230"/>
        <v>1.7099999999999997E-2</v>
      </c>
      <c r="BQ167" s="177">
        <f t="shared" si="231"/>
        <v>8.5499999999999993E-2</v>
      </c>
      <c r="BR167" s="538"/>
      <c r="BT167" s="469">
        <f t="shared" si="232"/>
        <v>102.6</v>
      </c>
      <c r="BU167" s="538">
        <f t="shared" si="233"/>
        <v>8.0752394922468333E-3</v>
      </c>
      <c r="BV167" s="538">
        <f t="shared" si="234"/>
        <v>551021.9643859599</v>
      </c>
      <c r="BW167" s="538">
        <f t="shared" si="235"/>
        <v>22389314.385157842</v>
      </c>
      <c r="BX167" s="538">
        <f t="shared" si="236"/>
        <v>0</v>
      </c>
      <c r="BY167" s="538">
        <f t="shared" si="274"/>
        <v>-14.000007628488644</v>
      </c>
      <c r="BZ167" s="538">
        <f t="shared" si="250"/>
        <v>22940336.35761904</v>
      </c>
      <c r="CA167" s="641">
        <f t="shared" si="270"/>
        <v>1.0450000000000001E-2</v>
      </c>
      <c r="CB167" s="469">
        <f t="shared" si="238"/>
        <v>45880658725.68045</v>
      </c>
      <c r="CC167" s="177">
        <f t="shared" si="251"/>
        <v>8508123.426819507</v>
      </c>
      <c r="CD167" s="5">
        <f t="shared" si="239"/>
        <v>3.1349999999999998</v>
      </c>
      <c r="CE167" s="177">
        <f t="shared" si="240"/>
        <v>3.684712465454397E-7</v>
      </c>
      <c r="CF167" s="5">
        <f t="shared" si="241"/>
        <v>3.6847124654543972E-5</v>
      </c>
      <c r="CG167">
        <f t="shared" si="242"/>
        <v>56.999999999999993</v>
      </c>
      <c r="CI167" s="571">
        <f t="shared" si="271"/>
        <v>-50</v>
      </c>
      <c r="CJ167">
        <f t="shared" si="272"/>
        <v>-50</v>
      </c>
    </row>
    <row r="168" spans="5:88" x14ac:dyDescent="0.25">
      <c r="E168" s="174">
        <v>58</v>
      </c>
      <c r="F168" s="221">
        <f t="shared" si="273"/>
        <v>5.7999999999999996E-2</v>
      </c>
      <c r="G168" s="221">
        <f t="shared" si="252"/>
        <v>0.28999999999999998</v>
      </c>
      <c r="H168" s="221">
        <f t="shared" si="253"/>
        <v>0.86999999999999988</v>
      </c>
      <c r="I168" s="221">
        <f t="shared" si="254"/>
        <v>2.3199999999999998</v>
      </c>
      <c r="J168" s="551">
        <f t="shared" si="186"/>
        <v>20</v>
      </c>
      <c r="K168" s="451">
        <f t="shared" si="187"/>
        <v>695386.58000000007</v>
      </c>
      <c r="L168" s="451">
        <f t="shared" si="188"/>
        <v>695406.58000000007</v>
      </c>
      <c r="M168" s="451"/>
      <c r="N168" s="221">
        <f t="shared" si="189"/>
        <v>0.9999712398464794</v>
      </c>
      <c r="O168" s="176">
        <f t="shared" si="255"/>
        <v>1.8408561460810189</v>
      </c>
      <c r="P168" s="176">
        <f t="shared" si="256"/>
        <v>4.908949722882717</v>
      </c>
      <c r="Q168" s="221">
        <f t="shared" si="192"/>
        <v>0.12272374307206793</v>
      </c>
      <c r="R168" s="221">
        <f t="shared" si="257"/>
        <v>0.23010701826012736</v>
      </c>
      <c r="S168" s="221">
        <f t="shared" si="258"/>
        <v>15</v>
      </c>
      <c r="T168" s="221">
        <f t="shared" si="259"/>
        <v>0.35445463861426701</v>
      </c>
      <c r="U168" s="221">
        <f t="shared" si="196"/>
        <v>0.53168195792140049</v>
      </c>
      <c r="V168" s="221">
        <f t="shared" si="197"/>
        <v>1.5291694525407735E-5</v>
      </c>
      <c r="W168" s="201">
        <f t="shared" si="198"/>
        <v>350</v>
      </c>
      <c r="X168" s="451">
        <f t="shared" si="199"/>
        <v>350</v>
      </c>
      <c r="Z168" s="221">
        <f t="shared" si="200"/>
        <v>1.9047071235171036</v>
      </c>
      <c r="AA168" s="177">
        <f t="shared" si="201"/>
        <v>8.2171867201568798E-5</v>
      </c>
      <c r="AB168" s="177">
        <f t="shared" si="260"/>
        <v>0.34129476953431226</v>
      </c>
      <c r="AC168" s="177"/>
      <c r="AD168" s="177">
        <f t="shared" si="203"/>
        <v>6.4712206554230591E-6</v>
      </c>
      <c r="AE168" s="555">
        <f t="shared" si="261"/>
        <v>9590.4790123456823</v>
      </c>
      <c r="AF168" s="538">
        <f t="shared" si="262"/>
        <v>2.1166825946720815E-3</v>
      </c>
      <c r="AH168" s="177">
        <f t="shared" si="263"/>
        <v>0.77949922874820565</v>
      </c>
      <c r="AI168" s="177">
        <f t="shared" si="264"/>
        <v>0.77949922874820565</v>
      </c>
      <c r="AJ168" s="177">
        <f t="shared" si="265"/>
        <v>1.6662957249986707</v>
      </c>
      <c r="AL168" s="555">
        <f t="shared" si="266"/>
        <v>57.999999999999993</v>
      </c>
      <c r="AM168" s="469">
        <f t="shared" si="267"/>
        <v>350</v>
      </c>
      <c r="AO168">
        <f t="shared" si="211"/>
        <v>57.999999999999993</v>
      </c>
      <c r="AP168">
        <f t="shared" si="212"/>
        <v>350</v>
      </c>
      <c r="AR168" s="5">
        <f t="shared" si="249"/>
        <v>2.8571428571428572</v>
      </c>
      <c r="AS168" s="5">
        <f t="shared" si="246"/>
        <v>1.1692488431223087</v>
      </c>
      <c r="AT168" s="5">
        <f t="shared" si="247"/>
        <v>1.6878940140205485</v>
      </c>
      <c r="AU168" s="177">
        <f t="shared" si="248"/>
        <v>0.40923709509280803</v>
      </c>
      <c r="AW168" s="5">
        <f t="shared" si="216"/>
        <v>0.45210955267395936</v>
      </c>
      <c r="AX168" s="5"/>
      <c r="AY168" s="5">
        <f t="shared" si="217"/>
        <v>4.238527056318369</v>
      </c>
      <c r="AZ168" s="5"/>
      <c r="BA168" s="5">
        <f t="shared" si="218"/>
        <v>6.7984620009160959E-2</v>
      </c>
      <c r="BB168" s="5"/>
      <c r="BC168" s="5"/>
      <c r="BD168" s="177">
        <f t="shared" si="219"/>
        <v>0.28790059278084024</v>
      </c>
      <c r="BE168" s="177">
        <f t="shared" si="220"/>
        <v>4310.244371539261</v>
      </c>
      <c r="BF168" s="177">
        <f t="shared" si="221"/>
        <v>21282.050068070581</v>
      </c>
      <c r="BG168" s="177"/>
      <c r="BH168" s="538">
        <f t="shared" si="222"/>
        <v>2.9010362963245717E-2</v>
      </c>
      <c r="BI168" s="538">
        <f t="shared" si="223"/>
        <v>948.62056235874809</v>
      </c>
      <c r="BJ168" s="538">
        <f t="shared" si="224"/>
        <v>4.3749999999999995E-3</v>
      </c>
      <c r="BK168" s="538">
        <f t="shared" si="225"/>
        <v>8462830.4513776898</v>
      </c>
      <c r="BL168">
        <f t="shared" si="226"/>
        <v>5.7999999999999996E-3</v>
      </c>
      <c r="BM168">
        <f t="shared" si="268"/>
        <v>1.3124999999999999E-5</v>
      </c>
      <c r="BN168">
        <f t="shared" si="269"/>
        <v>8509324.5254737753</v>
      </c>
      <c r="BO168" s="469">
        <f t="shared" si="229"/>
        <v>8463779111.125411</v>
      </c>
      <c r="BP168" s="177">
        <f t="shared" si="230"/>
        <v>1.7399999999999999E-2</v>
      </c>
      <c r="BQ168" s="177">
        <f t="shared" si="231"/>
        <v>8.6999999999999994E-2</v>
      </c>
      <c r="BR168" s="538"/>
      <c r="BT168" s="469">
        <f t="shared" si="232"/>
        <v>104.39999999999999</v>
      </c>
      <c r="BU168" s="538">
        <f t="shared" si="233"/>
        <v>8.2886751323559202E-3</v>
      </c>
      <c r="BV168" s="538">
        <f t="shared" si="234"/>
        <v>557346.19627157634</v>
      </c>
      <c r="BW168" s="538">
        <f t="shared" si="235"/>
        <v>22646282.754993152</v>
      </c>
      <c r="BX168" s="538">
        <f t="shared" si="236"/>
        <v>0</v>
      </c>
      <c r="BY168" s="538">
        <f t="shared" si="274"/>
        <v>-14.000007541927799</v>
      </c>
      <c r="BZ168" s="538">
        <f t="shared" si="250"/>
        <v>23203628.959553402</v>
      </c>
      <c r="CA168" s="641">
        <f t="shared" si="270"/>
        <v>1.063333333333333E-2</v>
      </c>
      <c r="CB168" s="469">
        <f t="shared" si="238"/>
        <v>46407243929.73259</v>
      </c>
      <c r="CC168" s="177">
        <f t="shared" si="251"/>
        <v>8509310.6404995658</v>
      </c>
      <c r="CD168" s="5">
        <f t="shared" si="239"/>
        <v>3.1899999999999995</v>
      </c>
      <c r="CE168" s="177">
        <f t="shared" si="240"/>
        <v>3.7488334118859509E-7</v>
      </c>
      <c r="CF168" s="5">
        <f t="shared" si="241"/>
        <v>3.748833411885951E-5</v>
      </c>
      <c r="CG168">
        <f t="shared" si="242"/>
        <v>57.999999999999993</v>
      </c>
      <c r="CI168" s="571">
        <f t="shared" si="271"/>
        <v>-50</v>
      </c>
      <c r="CJ168">
        <f t="shared" si="272"/>
        <v>-50</v>
      </c>
    </row>
    <row r="169" spans="5:88" x14ac:dyDescent="0.25">
      <c r="E169" s="174">
        <v>59</v>
      </c>
      <c r="F169" s="221">
        <f t="shared" si="273"/>
        <v>5.8999999999999997E-2</v>
      </c>
      <c r="G169" s="221">
        <f t="shared" si="252"/>
        <v>0.29499999999999998</v>
      </c>
      <c r="H169" s="221">
        <f t="shared" si="253"/>
        <v>0.88500000000000001</v>
      </c>
      <c r="I169" s="221">
        <f t="shared" si="254"/>
        <v>2.36</v>
      </c>
      <c r="J169" s="551">
        <f t="shared" si="186"/>
        <v>20</v>
      </c>
      <c r="K169" s="451">
        <f t="shared" si="187"/>
        <v>695386.58000000007</v>
      </c>
      <c r="L169" s="451">
        <f t="shared" si="188"/>
        <v>695406.58000000007</v>
      </c>
      <c r="M169" s="451"/>
      <c r="N169" s="221">
        <f t="shared" si="189"/>
        <v>0.9999712398464794</v>
      </c>
      <c r="O169" s="176">
        <f t="shared" si="255"/>
        <v>1.8408561460810189</v>
      </c>
      <c r="P169" s="176">
        <f t="shared" si="256"/>
        <v>4.908949722882717</v>
      </c>
      <c r="Q169" s="221">
        <f t="shared" si="192"/>
        <v>0.12272374307206793</v>
      </c>
      <c r="R169" s="221">
        <f t="shared" si="257"/>
        <v>0.23010701826012736</v>
      </c>
      <c r="S169" s="221">
        <f t="shared" si="258"/>
        <v>15</v>
      </c>
      <c r="T169" s="221">
        <f t="shared" si="259"/>
        <v>0.36056592548692684</v>
      </c>
      <c r="U169" s="221">
        <f t="shared" si="196"/>
        <v>0.54084888823039023</v>
      </c>
      <c r="V169" s="221">
        <f t="shared" si="197"/>
        <v>1.5555344431018218E-5</v>
      </c>
      <c r="W169" s="201">
        <f t="shared" si="198"/>
        <v>350</v>
      </c>
      <c r="X169" s="451">
        <f t="shared" si="199"/>
        <v>350</v>
      </c>
      <c r="Z169" s="221">
        <f t="shared" si="200"/>
        <v>1.9047071235171036</v>
      </c>
      <c r="AA169" s="177">
        <f t="shared" si="201"/>
        <v>8.2171867201568798E-5</v>
      </c>
      <c r="AB169" s="177">
        <f t="shared" si="260"/>
        <v>0.34129476953431226</v>
      </c>
      <c r="AC169" s="177"/>
      <c r="AD169" s="177">
        <f t="shared" si="203"/>
        <v>6.4712206554230591E-6</v>
      </c>
      <c r="AE169" s="555">
        <f t="shared" si="261"/>
        <v>9755.8320987654351</v>
      </c>
      <c r="AF169" s="538">
        <f t="shared" si="262"/>
        <v>2.1166825946720815E-3</v>
      </c>
      <c r="AH169" s="177">
        <f t="shared" si="263"/>
        <v>0.78619033197772037</v>
      </c>
      <c r="AI169" s="177">
        <f t="shared" si="264"/>
        <v>0.78619033197772037</v>
      </c>
      <c r="AJ169" s="177">
        <f t="shared" si="265"/>
        <v>1.6712520977612744</v>
      </c>
      <c r="AL169" s="555">
        <f t="shared" si="266"/>
        <v>59</v>
      </c>
      <c r="AM169" s="469">
        <f t="shared" si="267"/>
        <v>350</v>
      </c>
      <c r="AO169">
        <f t="shared" si="211"/>
        <v>59</v>
      </c>
      <c r="AP169">
        <f t="shared" si="212"/>
        <v>350</v>
      </c>
      <c r="AR169" s="5">
        <f t="shared" si="249"/>
        <v>2.8571428571428572</v>
      </c>
      <c r="AS169" s="5">
        <f t="shared" si="246"/>
        <v>1.1792854979665806</v>
      </c>
      <c r="AT169" s="5">
        <f t="shared" si="247"/>
        <v>1.6778573591762767</v>
      </c>
      <c r="AU169" s="177">
        <f t="shared" si="248"/>
        <v>0.4127499242883032</v>
      </c>
      <c r="AW169" s="5">
        <f t="shared" si="216"/>
        <v>0.46385229586685495</v>
      </c>
      <c r="AX169" s="5"/>
      <c r="AY169" s="5">
        <f t="shared" si="217"/>
        <v>4.3486152737517658</v>
      </c>
      <c r="AZ169" s="5"/>
      <c r="BA169" s="5">
        <f t="shared" si="218"/>
        <v>6.8745544577361317E-2</v>
      </c>
      <c r="BB169" s="5"/>
      <c r="BC169" s="5"/>
      <c r="BD169" s="177">
        <f t="shared" si="219"/>
        <v>0.2916154789711789</v>
      </c>
      <c r="BE169" s="177">
        <f t="shared" si="220"/>
        <v>4334.2986690370026</v>
      </c>
      <c r="BF169" s="177">
        <f t="shared" si="221"/>
        <v>21400.819381263002</v>
      </c>
      <c r="BG169" s="177"/>
      <c r="BH169" s="538">
        <f t="shared" si="222"/>
        <v>2.976385565145653E-2</v>
      </c>
      <c r="BI169" s="538">
        <f t="shared" si="223"/>
        <v>956.76337748195965</v>
      </c>
      <c r="BJ169" s="538">
        <f t="shared" si="224"/>
        <v>4.3749999999999995E-3</v>
      </c>
      <c r="BK169" s="538">
        <f t="shared" si="225"/>
        <v>8462830.4513776898</v>
      </c>
      <c r="BL169">
        <f t="shared" si="226"/>
        <v>5.7999999999999996E-3</v>
      </c>
      <c r="BM169">
        <f t="shared" si="268"/>
        <v>1.3124999999999999E-5</v>
      </c>
      <c r="BN169">
        <f t="shared" si="269"/>
        <v>8510522.2073300574</v>
      </c>
      <c r="BO169" s="469">
        <f t="shared" si="229"/>
        <v>8463787254.6940279</v>
      </c>
      <c r="BP169" s="177">
        <f t="shared" si="230"/>
        <v>1.7699999999999997E-2</v>
      </c>
      <c r="BQ169" s="177">
        <f t="shared" si="231"/>
        <v>8.8499999999999995E-2</v>
      </c>
      <c r="BR169" s="538"/>
      <c r="BT169" s="469">
        <f t="shared" si="232"/>
        <v>106.19999999999999</v>
      </c>
      <c r="BU169" s="538">
        <f t="shared" si="233"/>
        <v>8.5039587575590093E-3</v>
      </c>
      <c r="BV169" s="538">
        <f t="shared" si="234"/>
        <v>563584.34857247793</v>
      </c>
      <c r="BW169" s="538">
        <f t="shared" si="235"/>
        <v>22899753.509472106</v>
      </c>
      <c r="BX169" s="538">
        <f t="shared" si="236"/>
        <v>0</v>
      </c>
      <c r="BY169" s="538">
        <f t="shared" si="274"/>
        <v>-14.000007458448337</v>
      </c>
      <c r="BZ169" s="538">
        <f t="shared" si="250"/>
        <v>23463337.866548542</v>
      </c>
      <c r="CA169" s="641">
        <f t="shared" si="270"/>
        <v>1.0816666666666669E-2</v>
      </c>
      <c r="CB169" s="469">
        <f t="shared" si="238"/>
        <v>46926661743.906288</v>
      </c>
      <c r="CC169" s="177">
        <f t="shared" si="251"/>
        <v>8510508.3243392669</v>
      </c>
      <c r="CD169" s="5">
        <f t="shared" si="239"/>
        <v>3.2450000000000001</v>
      </c>
      <c r="CE169" s="177">
        <f t="shared" si="240"/>
        <v>3.8129317768519685E-7</v>
      </c>
      <c r="CF169" s="5">
        <f t="shared" si="241"/>
        <v>3.8129317768519682E-5</v>
      </c>
      <c r="CG169">
        <f t="shared" si="242"/>
        <v>59</v>
      </c>
      <c r="CI169" s="571">
        <f t="shared" si="271"/>
        <v>-50</v>
      </c>
      <c r="CJ169">
        <f t="shared" si="272"/>
        <v>-50</v>
      </c>
    </row>
    <row r="170" spans="5:88" x14ac:dyDescent="0.25">
      <c r="E170" s="174">
        <v>60</v>
      </c>
      <c r="F170" s="221">
        <f t="shared" si="273"/>
        <v>0.06</v>
      </c>
      <c r="G170" s="221">
        <f t="shared" si="252"/>
        <v>0.3</v>
      </c>
      <c r="H170" s="221">
        <f t="shared" si="253"/>
        <v>0.89999999999999991</v>
      </c>
      <c r="I170" s="221">
        <f t="shared" si="254"/>
        <v>2.4</v>
      </c>
      <c r="J170" s="551">
        <f t="shared" si="186"/>
        <v>20</v>
      </c>
      <c r="K170" s="451">
        <f t="shared" si="187"/>
        <v>695386.58000000007</v>
      </c>
      <c r="L170" s="451">
        <f t="shared" si="188"/>
        <v>695406.58000000007</v>
      </c>
      <c r="M170" s="451"/>
      <c r="N170" s="221">
        <f t="shared" si="189"/>
        <v>0.9999712398464794</v>
      </c>
      <c r="O170" s="176">
        <f t="shared" si="255"/>
        <v>1.8408561460810189</v>
      </c>
      <c r="P170" s="176">
        <f t="shared" si="256"/>
        <v>4.908949722882717</v>
      </c>
      <c r="Q170" s="221">
        <f t="shared" si="192"/>
        <v>0.12272374307206793</v>
      </c>
      <c r="R170" s="221">
        <f t="shared" si="257"/>
        <v>0.23010701826012736</v>
      </c>
      <c r="S170" s="221">
        <f t="shared" si="258"/>
        <v>15</v>
      </c>
      <c r="T170" s="221">
        <f t="shared" si="259"/>
        <v>0.36667721235958661</v>
      </c>
      <c r="U170" s="221">
        <f t="shared" si="196"/>
        <v>0.55001581853937997</v>
      </c>
      <c r="V170" s="221">
        <f t="shared" si="197"/>
        <v>1.5818994336628697E-5</v>
      </c>
      <c r="W170" s="201">
        <f t="shared" si="198"/>
        <v>350</v>
      </c>
      <c r="X170" s="451">
        <f t="shared" si="199"/>
        <v>350</v>
      </c>
      <c r="Z170" s="221">
        <f t="shared" si="200"/>
        <v>1.9047071235171036</v>
      </c>
      <c r="AA170" s="177">
        <f t="shared" si="201"/>
        <v>8.2171867201568798E-5</v>
      </c>
      <c r="AB170" s="177">
        <f t="shared" si="260"/>
        <v>0.34129476953431226</v>
      </c>
      <c r="AC170" s="177"/>
      <c r="AD170" s="177">
        <f t="shared" si="203"/>
        <v>6.4712206554230591E-6</v>
      </c>
      <c r="AE170" s="555">
        <f t="shared" si="261"/>
        <v>9921.1851851851879</v>
      </c>
      <c r="AF170" s="538">
        <f t="shared" si="262"/>
        <v>2.1166825946720815E-3</v>
      </c>
      <c r="AH170" s="177">
        <f t="shared" si="263"/>
        <v>0.79282496717209183</v>
      </c>
      <c r="AI170" s="177">
        <f t="shared" si="264"/>
        <v>0.79282496717209183</v>
      </c>
      <c r="AJ170" s="177">
        <f t="shared" si="265"/>
        <v>1.6761666423496977</v>
      </c>
      <c r="AL170" s="555">
        <f t="shared" si="266"/>
        <v>60</v>
      </c>
      <c r="AM170" s="469">
        <f t="shared" si="267"/>
        <v>350</v>
      </c>
      <c r="AO170">
        <f t="shared" si="211"/>
        <v>60</v>
      </c>
      <c r="AP170">
        <f t="shared" si="212"/>
        <v>350</v>
      </c>
      <c r="AR170" s="5">
        <f t="shared" si="249"/>
        <v>2.8571428571428572</v>
      </c>
      <c r="AS170" s="5">
        <f t="shared" si="246"/>
        <v>1.1892374507581378</v>
      </c>
      <c r="AT170" s="5">
        <f t="shared" si="247"/>
        <v>1.6679054063847194</v>
      </c>
      <c r="AU170" s="177">
        <f t="shared" si="248"/>
        <v>0.41623310776534822</v>
      </c>
      <c r="AW170" s="5">
        <f t="shared" ref="AW170:AW210" si="275">F170*AS170/Vout_ripple*1000</f>
        <v>0.47569498030325508</v>
      </c>
      <c r="AX170" s="5"/>
      <c r="AY170" s="5">
        <f t="shared" ref="AY170:AY210" si="276">G170*AS170/Vout_ripple2*1000</f>
        <v>4.4596404403430165</v>
      </c>
      <c r="AZ170" s="5"/>
      <c r="BA170" s="5">
        <f t="shared" ref="BA170:BA210" si="277">H170/Efficiency/J170*AT170/Vinripple1</f>
        <v>6.9496058599363295E-2</v>
      </c>
      <c r="BB170" s="5"/>
      <c r="BC170" s="5"/>
      <c r="BD170" s="177">
        <f t="shared" ref="BD170:BD210" si="278">AI170*SQRT(AU170/3)</f>
        <v>0.29531465657655748</v>
      </c>
      <c r="BE170" s="177">
        <f t="shared" ref="BE170:BE210" si="279">AI170*Npri_sec1*SQRT((1-AU170)/3)*(Pout/Pout_total)</f>
        <v>4357.8938106517362</v>
      </c>
      <c r="BF170" s="177">
        <f t="shared" ref="BF170:BF210" si="280">AI170*Npri_sec2*SQRT((1-AU170)/3)*(Pout2/Pout_total)</f>
        <v>21517.321589008738</v>
      </c>
      <c r="BG170" s="177"/>
      <c r="BH170" s="538">
        <f t="shared" ref="BH170:BH210" si="281">Rdson*BD170^2</f>
        <v>3.0523761236125529E-2</v>
      </c>
      <c r="BI170" s="538">
        <f t="shared" ref="BI170:BI210" si="282">0.5*L170*AI170*AM170*1000*Trise</f>
        <v>964.83747317957432</v>
      </c>
      <c r="BJ170" s="538">
        <f t="shared" ref="BJ170:BJ210" si="283">Qg*Vdd*AM170*1000</f>
        <v>4.3749999999999995E-3</v>
      </c>
      <c r="BK170" s="538">
        <f t="shared" ref="BK170:BK210" si="284">0.5*(Coss+Csw)*L170^2*AM170*1000</f>
        <v>8462830.4513776898</v>
      </c>
      <c r="BL170">
        <f t="shared" ref="BL170:BL210" si="285">J170*IQ</f>
        <v>5.7999999999999996E-3</v>
      </c>
      <c r="BM170">
        <f t="shared" si="268"/>
        <v>1.3124999999999999E-5</v>
      </c>
      <c r="BN170">
        <f t="shared" si="269"/>
        <v>8511730.2829014249</v>
      </c>
      <c r="BO170" s="469">
        <f t="shared" ref="BO170:BO210" si="286">SUM(BH170:BL170)*1000</f>
        <v>8463795329.5496292</v>
      </c>
      <c r="BP170" s="177">
        <f t="shared" ref="BP170:BP210" si="287">Vfwd2*F170</f>
        <v>1.7999999999999999E-2</v>
      </c>
      <c r="BQ170" s="177">
        <f t="shared" ref="BQ170:BQ210" si="288">Vfwd2*G170</f>
        <v>0.09</v>
      </c>
      <c r="BR170" s="538"/>
      <c r="BT170" s="469">
        <f t="shared" ref="BT170:BT210" si="289">SUM(BP170:BS170)*1000</f>
        <v>108</v>
      </c>
      <c r="BU170" s="538">
        <f t="shared" ref="BU170:BU210" si="290">Rdcr_pri*BD170^2</f>
        <v>8.7210746388930085E-3</v>
      </c>
      <c r="BV170" s="538">
        <f t="shared" ref="BV170:BV210" si="291">Rdcr_sec*BE170^2</f>
        <v>569737.15394750133</v>
      </c>
      <c r="BW170" s="538">
        <f t="shared" ref="BW170:BW210" si="292">Rdcr_sec2*BF170^2</f>
        <v>23149756.418241076</v>
      </c>
      <c r="BX170" s="538">
        <f t="shared" ref="BX170:BX210" si="293">AI170^2.5*AM170^2.5*k_core</f>
        <v>0</v>
      </c>
      <c r="BY170" s="538">
        <f t="shared" si="274"/>
        <v>-14.00000737790171</v>
      </c>
      <c r="BZ170" s="538">
        <f t="shared" si="250"/>
        <v>23719493.580909651</v>
      </c>
      <c r="CA170" s="641">
        <f t="shared" si="270"/>
        <v>1.0999999999999998E-2</v>
      </c>
      <c r="CB170" s="469">
        <f t="shared" ref="CB170:CB192" si="294">SUM(BU170:CA170)*1000</f>
        <v>47438973172.811928</v>
      </c>
      <c r="CC170" s="177">
        <f t="shared" si="251"/>
        <v>8511716.401894046</v>
      </c>
      <c r="CD170" s="5">
        <f t="shared" ref="CD170:CD192" si="295">MIN(H170+I170,O170+P170)</f>
        <v>3.3</v>
      </c>
      <c r="CE170" s="177">
        <f t="shared" ref="CE170:CE192" si="296">CD170/(CD170+CC170)</f>
        <v>3.8770073681651857E-7</v>
      </c>
      <c r="CF170" s="5">
        <f t="shared" ref="CF170:CF192" si="297">CE170*100</f>
        <v>3.8770073681651854E-5</v>
      </c>
      <c r="CG170">
        <f t="shared" ref="CG170:CG192" si="298">F170/Iout*100</f>
        <v>60</v>
      </c>
      <c r="CI170" s="571">
        <f t="shared" si="271"/>
        <v>-50</v>
      </c>
      <c r="CJ170">
        <f t="shared" si="272"/>
        <v>-50</v>
      </c>
    </row>
    <row r="171" spans="5:88" x14ac:dyDescent="0.25">
      <c r="E171" s="174">
        <v>61</v>
      </c>
      <c r="F171" s="221">
        <f t="shared" si="273"/>
        <v>6.0999999999999999E-2</v>
      </c>
      <c r="G171" s="221">
        <f t="shared" si="252"/>
        <v>0.30499999999999999</v>
      </c>
      <c r="H171" s="221">
        <f t="shared" si="253"/>
        <v>0.91500000000000004</v>
      </c>
      <c r="I171" s="221">
        <f t="shared" si="254"/>
        <v>2.44</v>
      </c>
      <c r="J171" s="551">
        <f t="shared" si="186"/>
        <v>20</v>
      </c>
      <c r="K171" s="451">
        <f t="shared" si="187"/>
        <v>695386.58000000007</v>
      </c>
      <c r="L171" s="451">
        <f t="shared" si="188"/>
        <v>695406.58000000007</v>
      </c>
      <c r="M171" s="451"/>
      <c r="N171" s="221">
        <f t="shared" si="189"/>
        <v>0.9999712398464794</v>
      </c>
      <c r="O171" s="176">
        <f t="shared" si="255"/>
        <v>1.8408561460810189</v>
      </c>
      <c r="P171" s="176">
        <f t="shared" si="256"/>
        <v>4.908949722882717</v>
      </c>
      <c r="Q171" s="221">
        <f t="shared" si="192"/>
        <v>0.12272374307206793</v>
      </c>
      <c r="R171" s="221">
        <f t="shared" si="257"/>
        <v>0.23010701826012736</v>
      </c>
      <c r="S171" s="221">
        <f t="shared" si="258"/>
        <v>15</v>
      </c>
      <c r="T171" s="221">
        <f t="shared" si="259"/>
        <v>0.37278849923224638</v>
      </c>
      <c r="U171" s="221">
        <f t="shared" si="196"/>
        <v>0.55918274884836949</v>
      </c>
      <c r="V171" s="221">
        <f t="shared" si="197"/>
        <v>1.6082644242239173E-5</v>
      </c>
      <c r="W171" s="201">
        <f t="shared" si="198"/>
        <v>350</v>
      </c>
      <c r="X171" s="451">
        <f t="shared" si="199"/>
        <v>350</v>
      </c>
      <c r="Z171" s="221">
        <f t="shared" si="200"/>
        <v>1.9047071235171036</v>
      </c>
      <c r="AA171" s="177">
        <f t="shared" si="201"/>
        <v>8.2171867201568798E-5</v>
      </c>
      <c r="AB171" s="177">
        <f t="shared" si="260"/>
        <v>0.34129476953431226</v>
      </c>
      <c r="AC171" s="177"/>
      <c r="AD171" s="177">
        <f t="shared" si="203"/>
        <v>6.4712206554230591E-6</v>
      </c>
      <c r="AE171" s="555">
        <f t="shared" si="261"/>
        <v>10086.538271604941</v>
      </c>
      <c r="AF171" s="538">
        <f t="shared" si="262"/>
        <v>2.1166825946720815E-3</v>
      </c>
      <c r="AH171" s="177">
        <f t="shared" si="263"/>
        <v>0.79940454029710084</v>
      </c>
      <c r="AI171" s="177">
        <f t="shared" si="264"/>
        <v>0.79940454029710084</v>
      </c>
      <c r="AJ171" s="177">
        <f t="shared" si="265"/>
        <v>1.6810404002200747</v>
      </c>
      <c r="AL171" s="555">
        <f t="shared" si="266"/>
        <v>61</v>
      </c>
      <c r="AM171" s="469">
        <f t="shared" si="267"/>
        <v>350</v>
      </c>
      <c r="AO171">
        <f t="shared" si="211"/>
        <v>61</v>
      </c>
      <c r="AP171">
        <f t="shared" si="212"/>
        <v>350</v>
      </c>
      <c r="AR171" s="5">
        <f t="shared" si="249"/>
        <v>2.8571428571428572</v>
      </c>
      <c r="AS171" s="5">
        <f t="shared" si="246"/>
        <v>1.1991068104456513</v>
      </c>
      <c r="AT171" s="5">
        <f t="shared" si="247"/>
        <v>1.6580360466972059</v>
      </c>
      <c r="AU171" s="177">
        <f t="shared" si="248"/>
        <v>0.41968738365597791</v>
      </c>
      <c r="AW171" s="5">
        <f t="shared" si="275"/>
        <v>0.48763676958123153</v>
      </c>
      <c r="AX171" s="5"/>
      <c r="AY171" s="5">
        <f t="shared" si="276"/>
        <v>4.5715947148240454</v>
      </c>
      <c r="AZ171" s="5"/>
      <c r="BA171" s="5">
        <f t="shared" si="277"/>
        <v>7.0236249200367723E-2</v>
      </c>
      <c r="BB171" s="5"/>
      <c r="BC171" s="5"/>
      <c r="BD171" s="177">
        <f t="shared" si="278"/>
        <v>0.29899845220874599</v>
      </c>
      <c r="BE171" s="177">
        <f t="shared" si="279"/>
        <v>4381.0399323283063</v>
      </c>
      <c r="BF171" s="177">
        <f t="shared" si="280"/>
        <v>21631.606738049253</v>
      </c>
      <c r="BG171" s="177"/>
      <c r="BH171" s="538">
        <f t="shared" si="281"/>
        <v>3.1290026048129013E-2</v>
      </c>
      <c r="BI171" s="538">
        <f t="shared" si="282"/>
        <v>972.8445604578385</v>
      </c>
      <c r="BJ171" s="538">
        <f t="shared" si="283"/>
        <v>4.3749999999999995E-3</v>
      </c>
      <c r="BK171" s="538">
        <f t="shared" si="284"/>
        <v>8462830.4513776898</v>
      </c>
      <c r="BL171">
        <f t="shared" si="285"/>
        <v>5.7999999999999996E-3</v>
      </c>
      <c r="BM171">
        <f t="shared" si="268"/>
        <v>1.3124999999999999E-5</v>
      </c>
      <c r="BN171">
        <f t="shared" si="269"/>
        <v>8512948.6778345406</v>
      </c>
      <c r="BO171" s="469">
        <f t="shared" si="286"/>
        <v>8463803337.4031725</v>
      </c>
      <c r="BP171" s="177">
        <f t="shared" si="287"/>
        <v>1.83E-2</v>
      </c>
      <c r="BQ171" s="177">
        <f t="shared" si="288"/>
        <v>9.1499999999999998E-2</v>
      </c>
      <c r="BR171" s="538"/>
      <c r="BT171" s="469">
        <f t="shared" si="289"/>
        <v>109.8</v>
      </c>
      <c r="BU171" s="538">
        <f t="shared" si="290"/>
        <v>8.940007442322576E-3</v>
      </c>
      <c r="BV171" s="538">
        <f t="shared" si="291"/>
        <v>575805.32665965636</v>
      </c>
      <c r="BW171" s="538">
        <f t="shared" si="292"/>
        <v>23396320.503480896</v>
      </c>
      <c r="BX171" s="538">
        <f t="shared" si="293"/>
        <v>0</v>
      </c>
      <c r="BY171" s="538">
        <f t="shared" si="274"/>
        <v>-14.000007300149035</v>
      </c>
      <c r="BZ171" s="538">
        <f t="shared" si="250"/>
        <v>23972125.839080561</v>
      </c>
      <c r="CA171" s="641">
        <f t="shared" si="270"/>
        <v>1.1183333333333335E-2</v>
      </c>
      <c r="CB171" s="469">
        <f t="shared" si="294"/>
        <v>47944237689.337158</v>
      </c>
      <c r="CC171" s="177">
        <f t="shared" si="251"/>
        <v>8512934.7988105733</v>
      </c>
      <c r="CD171" s="5">
        <f t="shared" si="295"/>
        <v>3.355</v>
      </c>
      <c r="CE171" s="177">
        <f t="shared" si="296"/>
        <v>3.9410599952476218E-7</v>
      </c>
      <c r="CF171" s="5">
        <f t="shared" si="297"/>
        <v>3.9410599952476219E-5</v>
      </c>
      <c r="CG171">
        <f t="shared" si="298"/>
        <v>61</v>
      </c>
      <c r="CI171" s="571">
        <f t="shared" si="271"/>
        <v>-50</v>
      </c>
      <c r="CJ171">
        <f t="shared" si="272"/>
        <v>-50</v>
      </c>
    </row>
    <row r="172" spans="5:88" x14ac:dyDescent="0.25">
      <c r="E172" s="174">
        <v>62</v>
      </c>
      <c r="F172" s="221">
        <f t="shared" si="273"/>
        <v>6.2E-2</v>
      </c>
      <c r="G172" s="221">
        <f t="shared" si="252"/>
        <v>0.31</v>
      </c>
      <c r="H172" s="221">
        <f t="shared" si="253"/>
        <v>0.92999999999999994</v>
      </c>
      <c r="I172" s="221">
        <f t="shared" si="254"/>
        <v>2.48</v>
      </c>
      <c r="J172" s="551">
        <f t="shared" si="186"/>
        <v>20</v>
      </c>
      <c r="K172" s="451">
        <f t="shared" si="187"/>
        <v>695386.58000000007</v>
      </c>
      <c r="L172" s="451">
        <f t="shared" si="188"/>
        <v>695406.58000000007</v>
      </c>
      <c r="M172" s="451"/>
      <c r="N172" s="221">
        <f t="shared" si="189"/>
        <v>0.9999712398464794</v>
      </c>
      <c r="O172" s="176">
        <f t="shared" si="255"/>
        <v>1.8408561460810189</v>
      </c>
      <c r="P172" s="176">
        <f t="shared" si="256"/>
        <v>4.908949722882717</v>
      </c>
      <c r="Q172" s="221">
        <f t="shared" si="192"/>
        <v>0.12272374307206793</v>
      </c>
      <c r="R172" s="221">
        <f t="shared" si="257"/>
        <v>0.23010701826012736</v>
      </c>
      <c r="S172" s="221">
        <f t="shared" si="258"/>
        <v>15</v>
      </c>
      <c r="T172" s="221">
        <f t="shared" si="259"/>
        <v>0.37889978610490616</v>
      </c>
      <c r="U172" s="221">
        <f t="shared" si="196"/>
        <v>0.56834967915735923</v>
      </c>
      <c r="V172" s="221">
        <f t="shared" si="197"/>
        <v>1.6346294147849652E-5</v>
      </c>
      <c r="W172" s="201">
        <f t="shared" si="198"/>
        <v>350</v>
      </c>
      <c r="X172" s="451">
        <f t="shared" si="199"/>
        <v>350</v>
      </c>
      <c r="Z172" s="221">
        <f t="shared" si="200"/>
        <v>1.9047071235171036</v>
      </c>
      <c r="AA172" s="177">
        <f t="shared" si="201"/>
        <v>8.2171867201568798E-5</v>
      </c>
      <c r="AB172" s="177">
        <f t="shared" si="260"/>
        <v>0.34129476953431226</v>
      </c>
      <c r="AC172" s="177"/>
      <c r="AD172" s="177">
        <f t="shared" si="203"/>
        <v>6.4712206554230591E-6</v>
      </c>
      <c r="AE172" s="555">
        <f t="shared" si="261"/>
        <v>10251.891358024694</v>
      </c>
      <c r="AF172" s="538">
        <f t="shared" si="262"/>
        <v>2.1166825946720815E-3</v>
      </c>
      <c r="AH172" s="177">
        <f t="shared" si="263"/>
        <v>0.80593039992533444</v>
      </c>
      <c r="AI172" s="177">
        <f t="shared" si="264"/>
        <v>0.80593039992533444</v>
      </c>
      <c r="AJ172" s="177">
        <f t="shared" si="265"/>
        <v>1.6858743703150625</v>
      </c>
      <c r="AL172" s="555">
        <f t="shared" si="266"/>
        <v>62</v>
      </c>
      <c r="AM172" s="469">
        <f t="shared" si="267"/>
        <v>350</v>
      </c>
      <c r="AO172">
        <f t="shared" si="211"/>
        <v>62</v>
      </c>
      <c r="AP172">
        <f t="shared" si="212"/>
        <v>350</v>
      </c>
      <c r="AR172" s="5">
        <f t="shared" si="249"/>
        <v>2.8571428571428572</v>
      </c>
      <c r="AS172" s="5">
        <f t="shared" si="246"/>
        <v>1.2088955998880018</v>
      </c>
      <c r="AT172" s="5">
        <f t="shared" si="247"/>
        <v>1.6482472572548554</v>
      </c>
      <c r="AU172" s="177">
        <f t="shared" si="248"/>
        <v>0.42311345996080063</v>
      </c>
      <c r="AW172" s="5">
        <f t="shared" si="275"/>
        <v>0.49967684795370737</v>
      </c>
      <c r="AX172" s="5"/>
      <c r="AY172" s="5">
        <f t="shared" si="276"/>
        <v>4.6844704495660077</v>
      </c>
      <c r="AZ172" s="5"/>
      <c r="BA172" s="5">
        <f t="shared" si="277"/>
        <v>7.096620135402848E-2</v>
      </c>
      <c r="BB172" s="5"/>
      <c r="BC172" s="5"/>
      <c r="BD172" s="177">
        <f t="shared" si="278"/>
        <v>0.30266718045544078</v>
      </c>
      <c r="BE172" s="177">
        <f t="shared" si="279"/>
        <v>4403.74675071621</v>
      </c>
      <c r="BF172" s="177">
        <f t="shared" si="280"/>
        <v>21743.722804833975</v>
      </c>
      <c r="BG172" s="177"/>
      <c r="BH172" s="538">
        <f t="shared" si="281"/>
        <v>3.2062597743696221E-2</v>
      </c>
      <c r="BI172" s="538">
        <f t="shared" si="282"/>
        <v>980.78628047769087</v>
      </c>
      <c r="BJ172" s="538">
        <f t="shared" si="283"/>
        <v>4.3749999999999995E-3</v>
      </c>
      <c r="BK172" s="538">
        <f t="shared" si="284"/>
        <v>8462830.4513776898</v>
      </c>
      <c r="BL172">
        <f t="shared" si="285"/>
        <v>5.7999999999999996E-3</v>
      </c>
      <c r="BM172">
        <f t="shared" si="268"/>
        <v>1.3124999999999999E-5</v>
      </c>
      <c r="BN172">
        <f t="shared" si="269"/>
        <v>8514177.3197827768</v>
      </c>
      <c r="BO172" s="469">
        <f t="shared" si="286"/>
        <v>8463811279.8957634</v>
      </c>
      <c r="BP172" s="177">
        <f t="shared" si="287"/>
        <v>1.8599999999999998E-2</v>
      </c>
      <c r="BQ172" s="177">
        <f t="shared" si="288"/>
        <v>9.2999999999999999E-2</v>
      </c>
      <c r="BR172" s="538"/>
      <c r="BT172" s="469">
        <f t="shared" si="289"/>
        <v>111.60000000000001</v>
      </c>
      <c r="BU172" s="538">
        <f t="shared" si="290"/>
        <v>9.1607422124846353E-3</v>
      </c>
      <c r="BV172" s="538">
        <f t="shared" si="291"/>
        <v>581789.56333330728</v>
      </c>
      <c r="BW172" s="538">
        <f t="shared" si="292"/>
        <v>23639474.070672855</v>
      </c>
      <c r="BX172" s="538">
        <f t="shared" si="293"/>
        <v>0</v>
      </c>
      <c r="BY172" s="538">
        <f t="shared" si="274"/>
        <v>-14.000007225060298</v>
      </c>
      <c r="BZ172" s="538">
        <f t="shared" si="250"/>
        <v>24221263.643166903</v>
      </c>
      <c r="CA172" s="641">
        <f t="shared" si="270"/>
        <v>1.1366666666666666E-2</v>
      </c>
      <c r="CB172" s="469">
        <f t="shared" si="294"/>
        <v>48442513297.693253</v>
      </c>
      <c r="CC172" s="177">
        <f t="shared" si="251"/>
        <v>8514163.4427422192</v>
      </c>
      <c r="CD172" s="5">
        <f t="shared" si="295"/>
        <v>3.41</v>
      </c>
      <c r="CE172" s="177">
        <f t="shared" si="296"/>
        <v>4.005089469090821E-7</v>
      </c>
      <c r="CF172" s="5">
        <f t="shared" si="297"/>
        <v>4.005089469090821E-5</v>
      </c>
      <c r="CG172">
        <f t="shared" si="298"/>
        <v>62</v>
      </c>
      <c r="CI172" s="571">
        <f t="shared" si="271"/>
        <v>-50</v>
      </c>
      <c r="CJ172">
        <f t="shared" si="272"/>
        <v>-50</v>
      </c>
    </row>
    <row r="173" spans="5:88" x14ac:dyDescent="0.25">
      <c r="E173" s="174">
        <v>63</v>
      </c>
      <c r="F173" s="221">
        <f t="shared" si="273"/>
        <v>6.3E-2</v>
      </c>
      <c r="G173" s="221">
        <f t="shared" si="252"/>
        <v>0.315</v>
      </c>
      <c r="H173" s="221">
        <f t="shared" si="253"/>
        <v>0.94500000000000006</v>
      </c>
      <c r="I173" s="221">
        <f t="shared" si="254"/>
        <v>2.52</v>
      </c>
      <c r="J173" s="551">
        <f t="shared" si="186"/>
        <v>20</v>
      </c>
      <c r="K173" s="451">
        <f t="shared" si="187"/>
        <v>695386.58000000007</v>
      </c>
      <c r="L173" s="451">
        <f t="shared" si="188"/>
        <v>695406.58000000007</v>
      </c>
      <c r="M173" s="451"/>
      <c r="N173" s="221">
        <f t="shared" si="189"/>
        <v>0.9999712398464794</v>
      </c>
      <c r="O173" s="176">
        <f t="shared" si="255"/>
        <v>1.8408561460810189</v>
      </c>
      <c r="P173" s="176">
        <f t="shared" si="256"/>
        <v>4.908949722882717</v>
      </c>
      <c r="Q173" s="221">
        <f t="shared" si="192"/>
        <v>0.12272374307206793</v>
      </c>
      <c r="R173" s="221">
        <f t="shared" si="257"/>
        <v>0.23010701826012736</v>
      </c>
      <c r="S173" s="221">
        <f t="shared" si="258"/>
        <v>15</v>
      </c>
      <c r="T173" s="221">
        <f t="shared" si="259"/>
        <v>0.38501107297756593</v>
      </c>
      <c r="U173" s="221">
        <f t="shared" si="196"/>
        <v>0.57751660946634886</v>
      </c>
      <c r="V173" s="221">
        <f t="shared" si="197"/>
        <v>1.6609944053460127E-5</v>
      </c>
      <c r="W173" s="201">
        <f t="shared" si="198"/>
        <v>350</v>
      </c>
      <c r="X173" s="451">
        <f t="shared" si="199"/>
        <v>350</v>
      </c>
      <c r="Z173" s="221">
        <f t="shared" si="200"/>
        <v>1.9047071235171036</v>
      </c>
      <c r="AA173" s="177">
        <f t="shared" si="201"/>
        <v>8.2171867201568798E-5</v>
      </c>
      <c r="AB173" s="177">
        <f t="shared" si="260"/>
        <v>0.34129476953431226</v>
      </c>
      <c r="AC173" s="177"/>
      <c r="AD173" s="177">
        <f t="shared" si="203"/>
        <v>6.4712206554230591E-6</v>
      </c>
      <c r="AE173" s="555">
        <f t="shared" si="261"/>
        <v>10417.244444444448</v>
      </c>
      <c r="AF173" s="538">
        <f t="shared" si="262"/>
        <v>2.1166825946720815E-3</v>
      </c>
      <c r="AH173" s="177">
        <f t="shared" si="263"/>
        <v>0.81240384046359604</v>
      </c>
      <c r="AI173" s="177">
        <f t="shared" si="264"/>
        <v>0.81240384046359604</v>
      </c>
      <c r="AJ173" s="177">
        <f t="shared" si="265"/>
        <v>1.6906695114545156</v>
      </c>
      <c r="AL173" s="555">
        <f t="shared" si="266"/>
        <v>63</v>
      </c>
      <c r="AM173" s="469">
        <f t="shared" si="267"/>
        <v>350</v>
      </c>
      <c r="AO173">
        <f t="shared" si="211"/>
        <v>63</v>
      </c>
      <c r="AP173">
        <f t="shared" si="212"/>
        <v>350</v>
      </c>
      <c r="AR173" s="5">
        <f t="shared" si="249"/>
        <v>2.8571428571428572</v>
      </c>
      <c r="AS173" s="5">
        <f t="shared" si="246"/>
        <v>1.2186057606953942</v>
      </c>
      <c r="AT173" s="5">
        <f t="shared" si="247"/>
        <v>1.638537096447463</v>
      </c>
      <c r="AU173" s="177">
        <f t="shared" si="248"/>
        <v>0.42651201624338797</v>
      </c>
      <c r="AW173" s="5">
        <f t="shared" si="275"/>
        <v>0.51181441949206563</v>
      </c>
      <c r="AX173" s="5"/>
      <c r="AY173" s="5">
        <f t="shared" si="276"/>
        <v>4.7982601827381144</v>
      </c>
      <c r="AZ173" s="5"/>
      <c r="BA173" s="5">
        <f t="shared" si="277"/>
        <v>7.1685997969576504E-2</v>
      </c>
      <c r="BB173" s="5"/>
      <c r="BC173" s="5"/>
      <c r="BD173" s="177">
        <f t="shared" si="278"/>
        <v>0.30632114450939452</v>
      </c>
      <c r="BE173" s="177">
        <f t="shared" si="279"/>
        <v>4426.0235865783252</v>
      </c>
      <c r="BF173" s="177">
        <f t="shared" si="280"/>
        <v>21853.715811102065</v>
      </c>
      <c r="BG173" s="177"/>
      <c r="BH173" s="538">
        <f t="shared" si="281"/>
        <v>3.2841425250740873E-2</v>
      </c>
      <c r="BI173" s="538">
        <f t="shared" si="282"/>
        <v>988.66420848239613</v>
      </c>
      <c r="BJ173" s="538">
        <f t="shared" si="283"/>
        <v>4.3749999999999995E-3</v>
      </c>
      <c r="BK173" s="538">
        <f t="shared" si="284"/>
        <v>8462830.4513776898</v>
      </c>
      <c r="BL173">
        <f t="shared" si="285"/>
        <v>5.7999999999999996E-3</v>
      </c>
      <c r="BM173">
        <f t="shared" si="268"/>
        <v>1.3124999999999999E-5</v>
      </c>
      <c r="BN173">
        <f t="shared" si="269"/>
        <v>8515416.1383263934</v>
      </c>
      <c r="BO173" s="469">
        <f t="shared" si="286"/>
        <v>8463819158.6025972</v>
      </c>
      <c r="BP173" s="177">
        <f t="shared" si="287"/>
        <v>1.89E-2</v>
      </c>
      <c r="BQ173" s="177">
        <f t="shared" si="288"/>
        <v>9.4500000000000001E-2</v>
      </c>
      <c r="BR173" s="538"/>
      <c r="BT173" s="469">
        <f t="shared" si="289"/>
        <v>113.4</v>
      </c>
      <c r="BU173" s="538">
        <f t="shared" si="290"/>
        <v>9.3832643573545371E-3</v>
      </c>
      <c r="BV173" s="538">
        <f t="shared" si="291"/>
        <v>587690.54366842983</v>
      </c>
      <c r="BW173" s="538">
        <f t="shared" si="292"/>
        <v>23879244.737620622</v>
      </c>
      <c r="BX173" s="538">
        <f t="shared" si="293"/>
        <v>0</v>
      </c>
      <c r="BY173" s="538">
        <f t="shared" si="274"/>
        <v>-14.000007152513682</v>
      </c>
      <c r="BZ173" s="538">
        <f t="shared" si="250"/>
        <v>24466935.290672317</v>
      </c>
      <c r="CA173" s="641">
        <f t="shared" si="270"/>
        <v>1.1550000000000001E-2</v>
      </c>
      <c r="CB173" s="469">
        <f t="shared" si="294"/>
        <v>48933856592.887482</v>
      </c>
      <c r="CC173" s="177">
        <f t="shared" si="251"/>
        <v>8515402.26326924</v>
      </c>
      <c r="CD173" s="5">
        <f t="shared" si="295"/>
        <v>3.4649999999999999</v>
      </c>
      <c r="CE173" s="177">
        <f t="shared" si="296"/>
        <v>4.0690956022177263E-7</v>
      </c>
      <c r="CF173" s="5">
        <f t="shared" si="297"/>
        <v>4.0690956022177261E-5</v>
      </c>
      <c r="CG173">
        <f t="shared" si="298"/>
        <v>63</v>
      </c>
      <c r="CI173" s="571">
        <f t="shared" si="271"/>
        <v>-50</v>
      </c>
      <c r="CJ173">
        <f t="shared" si="272"/>
        <v>-50</v>
      </c>
    </row>
    <row r="174" spans="5:88" x14ac:dyDescent="0.25">
      <c r="E174" s="174">
        <v>64</v>
      </c>
      <c r="F174" s="221">
        <f t="shared" si="273"/>
        <v>6.4000000000000001E-2</v>
      </c>
      <c r="G174" s="221">
        <f t="shared" ref="G174:G210" si="299">IF(PLOT_TYPE=1, E174/100*Iout2, min_I*EXP(Q174*rr/100))</f>
        <v>0.32</v>
      </c>
      <c r="H174" s="221">
        <f t="shared" ref="H174:H210" si="300">F174*Vout</f>
        <v>0.96</v>
      </c>
      <c r="I174" s="221">
        <f t="shared" ref="I174:I210" si="301">Vout2*G174</f>
        <v>2.56</v>
      </c>
      <c r="J174" s="551">
        <f t="shared" ref="J174:J210" si="302">VIN_min</f>
        <v>20</v>
      </c>
      <c r="K174" s="451">
        <f t="shared" ref="K174:K210" si="303">(S174+Vfwd1)*Nps</f>
        <v>695386.58000000007</v>
      </c>
      <c r="L174" s="451">
        <f t="shared" ref="L174:L210" si="304">(Vout+Vfwd1)*Nps+J174</f>
        <v>695406.58000000007</v>
      </c>
      <c r="M174" s="451"/>
      <c r="N174" s="221">
        <f t="shared" ref="N174:N210" si="305">(Vout+Vfwd1)*Nps/((Vout+Vfwd1)*Nps+J174)</f>
        <v>0.9999712398464794</v>
      </c>
      <c r="O174" s="176">
        <f t="shared" ref="O174:O205" si="306">N174*J174*Isw_max*0.5*Efficiency*Pout/(Pout+Pout2)</f>
        <v>1.8408561460810189</v>
      </c>
      <c r="P174" s="176">
        <f t="shared" ref="P174:P210" si="307">N174*J174*Isw_max*0.5*Efficiency*(Pout2/Pout_total)</f>
        <v>4.908949722882717</v>
      </c>
      <c r="Q174" s="221">
        <f t="shared" ref="Q174:Q210" si="308">O174/Vout</f>
        <v>0.12272374307206793</v>
      </c>
      <c r="R174" s="221">
        <f t="shared" ref="R174:R210" si="309">O174/Vout2</f>
        <v>0.23010701826012736</v>
      </c>
      <c r="S174" s="221">
        <f t="shared" ref="S174:S210" si="310">MIN(Vout,O174/F174)</f>
        <v>15</v>
      </c>
      <c r="T174" s="221">
        <f t="shared" ref="T174:T210" si="311">MIN(2*(Vout*F174+Vout2*G174)/(Efficiency*J174*N174), Isw_max)</f>
        <v>0.3911223598502257</v>
      </c>
      <c r="U174" s="221">
        <f t="shared" ref="U174:U210" si="312">L*T174/J174*1000000</f>
        <v>0.58668353977533849</v>
      </c>
      <c r="V174" s="221">
        <f t="shared" ref="V174:V210" si="313">L*T174/K174*1000000</f>
        <v>1.687359395907061E-5</v>
      </c>
      <c r="W174" s="201">
        <f t="shared" ref="W174:W210" si="314">IF(1/((350000*L)*(1/J174+1/K174))&gt;Isw_min, 350, 0.001/((Isw_min*L)*(1/J174+1/K174)))</f>
        <v>350</v>
      </c>
      <c r="X174" s="451">
        <f t="shared" ref="X174:X210" si="315">MIN(1/(U174+V174)*1000, 350)</f>
        <v>350</v>
      </c>
      <c r="Z174" s="221">
        <f t="shared" ref="Z174:Z210" si="316">1/((W174*1000*L)*(1/J174+1/K174))</f>
        <v>1.9047071235171036</v>
      </c>
      <c r="AA174" s="177">
        <f t="shared" ref="AA174:AA210" si="317">L*Z174/K174*1000000</f>
        <v>8.2171867201568798E-5</v>
      </c>
      <c r="AB174" s="177">
        <f t="shared" ref="AB174:AB205" si="318">0.5*AA174*Z174*Nps*W174/1000*(Pout/(Pout+Pout2))</f>
        <v>0.34129476953431226</v>
      </c>
      <c r="AC174" s="177"/>
      <c r="AD174" s="177">
        <f t="shared" ref="AD174:AD210" si="319">L*Isw_min/K174*1000000</f>
        <v>6.4712206554230591E-6</v>
      </c>
      <c r="AE174" s="555">
        <f t="shared" ref="AE174:AE205" si="320">MAX(10, F174/(0.5*AD174/1000000*Isw_min*Nps)/1000*Pout_total/Pout)</f>
        <v>10582.597530864201</v>
      </c>
      <c r="AF174" s="538">
        <f t="shared" ref="AF174:AF210" si="321">0.5*AD174/1000000*Isw_min*Nps*W174*1000*(Pout/Pout_total)</f>
        <v>2.1166825946720815E-3</v>
      </c>
      <c r="AH174" s="177">
        <f t="shared" ref="AH174:AH210" si="322">SQRT((H174+I174)/(0.5*L*Fsw_DCM))</f>
        <v>0.81882610515065435</v>
      </c>
      <c r="AI174" s="177">
        <f t="shared" ref="AI174:AI205" si="323">MAX(IF(F174&gt;AB174,T174,AH174),Isw_min)</f>
        <v>0.81882610515065435</v>
      </c>
      <c r="AJ174" s="177">
        <f t="shared" ref="AJ174:AJ205" si="324">IF(F174&gt;AF174, (AI174-Isw_min)/1.08*0.8+1.2, AE174*0.2/350+1)</f>
        <v>1.6954267445560403</v>
      </c>
      <c r="AL174" s="555">
        <f t="shared" ref="AL174:AL210" si="325">F174*1000</f>
        <v>64</v>
      </c>
      <c r="AM174" s="469">
        <f t="shared" ref="AM174:AM210" si="326">IF(F174&gt;AF174, X174, AE174)</f>
        <v>350</v>
      </c>
      <c r="AO174">
        <f t="shared" ref="AO174:AO210" si="327">IF(H174&gt;O174, "",AL174)</f>
        <v>64</v>
      </c>
      <c r="AP174">
        <f t="shared" ref="AP174:AP210" si="328">IF(H174&gt;O174, "",AM174)</f>
        <v>350</v>
      </c>
      <c r="AR174" s="5">
        <f t="shared" si="249"/>
        <v>2.8571428571428572</v>
      </c>
      <c r="AS174" s="5">
        <f t="shared" si="246"/>
        <v>1.2282391577259815</v>
      </c>
      <c r="AT174" s="5">
        <f t="shared" si="247"/>
        <v>1.6289036994168757</v>
      </c>
      <c r="AU174" s="177">
        <f t="shared" si="248"/>
        <v>0.42988370520409352</v>
      </c>
      <c r="AW174" s="5">
        <f t="shared" si="275"/>
        <v>0.52404870729641873</v>
      </c>
      <c r="AX174" s="5"/>
      <c r="AY174" s="5">
        <f t="shared" si="276"/>
        <v>4.9129566309039259</v>
      </c>
      <c r="AZ174" s="5"/>
      <c r="BA174" s="5">
        <f t="shared" si="277"/>
        <v>7.2395719974083353E-2</v>
      </c>
      <c r="BB174" s="5"/>
      <c r="BC174" s="5"/>
      <c r="BD174" s="177">
        <f t="shared" si="278"/>
        <v>0.30996063675518021</v>
      </c>
      <c r="BE174" s="177">
        <f t="shared" si="279"/>
        <v>4447.8793865354701</v>
      </c>
      <c r="BF174" s="177">
        <f t="shared" si="280"/>
        <v>21961.62993124732</v>
      </c>
      <c r="BG174" s="177"/>
      <c r="BH174" s="538">
        <f t="shared" si="281"/>
        <v>3.3626458718186869E-2</v>
      </c>
      <c r="BI174" s="538">
        <f t="shared" si="282"/>
        <v>996.47985744568973</v>
      </c>
      <c r="BJ174" s="538">
        <f t="shared" si="283"/>
        <v>4.3749999999999995E-3</v>
      </c>
      <c r="BK174" s="538">
        <f t="shared" si="284"/>
        <v>8462830.4513776898</v>
      </c>
      <c r="BL174">
        <f t="shared" si="285"/>
        <v>5.7999999999999996E-3</v>
      </c>
      <c r="BM174">
        <f t="shared" ref="BM174:BM210" si="329">(J174-Vdd)*Qg*AM174</f>
        <v>1.3124999999999999E-5</v>
      </c>
      <c r="BN174">
        <f t="shared" ref="BN174:BN205" si="330">(BI174+BJ174+BK174+BL174+BM174+BH174*(1+RdsonTC*(Ta-25)))/(1-BH174*RdsonTC*ThetaJA)</f>
        <v>8516665.0648971368</v>
      </c>
      <c r="BO174" s="469">
        <f t="shared" si="286"/>
        <v>8463826975.0365934</v>
      </c>
      <c r="BP174" s="177">
        <f t="shared" si="287"/>
        <v>1.9199999999999998E-2</v>
      </c>
      <c r="BQ174" s="177">
        <f t="shared" si="288"/>
        <v>9.6000000000000002E-2</v>
      </c>
      <c r="BR174" s="538"/>
      <c r="BT174" s="469">
        <f t="shared" si="289"/>
        <v>115.2</v>
      </c>
      <c r="BU174" s="538">
        <f t="shared" si="290"/>
        <v>9.6075596337676789E-3</v>
      </c>
      <c r="BV174" s="538">
        <f t="shared" si="291"/>
        <v>593508.93111501448</v>
      </c>
      <c r="BW174" s="538">
        <f t="shared" si="292"/>
        <v>24115659.461852908</v>
      </c>
      <c r="BX174" s="538">
        <f t="shared" si="293"/>
        <v>0</v>
      </c>
      <c r="BY174" s="538">
        <f t="shared" si="274"/>
        <v>-14.000007082394911</v>
      </c>
      <c r="BZ174" s="538">
        <f t="shared" si="250"/>
        <v>24709168.402575482</v>
      </c>
      <c r="CA174" s="641">
        <f t="shared" ref="CA174:CA210" si="331">0.5*Lleak*0.000000001*AI174^2*AM174*1000</f>
        <v>1.1733333333333335E-2</v>
      </c>
      <c r="CB174" s="469">
        <f t="shared" si="294"/>
        <v>49418322816.877205</v>
      </c>
      <c r="CC174" s="177">
        <f t="shared" si="251"/>
        <v>8516651.1918233894</v>
      </c>
      <c r="CD174" s="5">
        <f t="shared" si="295"/>
        <v>3.52</v>
      </c>
      <c r="CE174" s="177">
        <f t="shared" si="296"/>
        <v>4.1330782086460557E-7</v>
      </c>
      <c r="CF174" s="5">
        <f t="shared" si="297"/>
        <v>4.1330782086460554E-5</v>
      </c>
      <c r="CG174">
        <f t="shared" si="298"/>
        <v>64</v>
      </c>
      <c r="CI174" s="571">
        <f t="shared" ref="CI174:CI210" si="332">IF(ABS(F174-Ioutmax_Vinmin)&lt;Iout/200, AM174, -50)</f>
        <v>-50</v>
      </c>
      <c r="CJ174">
        <f t="shared" ref="CJ174:CJ210" si="333">IF(ABS(F174-Ioutmax_Vinmin)&lt;Iout/200, (O174+P174)*CE174, -50)</f>
        <v>-50</v>
      </c>
    </row>
    <row r="175" spans="5:88" x14ac:dyDescent="0.25">
      <c r="E175" s="174">
        <v>65</v>
      </c>
      <c r="F175" s="221">
        <f t="shared" ref="F175:F206" si="334">IF(PLOT_TYPE=1, E175/100*Iout_max, min_I*EXP(O175*rr/100))</f>
        <v>6.5000000000000002E-2</v>
      </c>
      <c r="G175" s="221">
        <f t="shared" si="299"/>
        <v>0.32500000000000001</v>
      </c>
      <c r="H175" s="221">
        <f t="shared" si="300"/>
        <v>0.97500000000000009</v>
      </c>
      <c r="I175" s="221">
        <f t="shared" si="301"/>
        <v>2.6</v>
      </c>
      <c r="J175" s="551">
        <f t="shared" si="302"/>
        <v>20</v>
      </c>
      <c r="K175" s="451">
        <f t="shared" si="303"/>
        <v>695386.58000000007</v>
      </c>
      <c r="L175" s="451">
        <f t="shared" si="304"/>
        <v>695406.58000000007</v>
      </c>
      <c r="M175" s="451"/>
      <c r="N175" s="221">
        <f t="shared" si="305"/>
        <v>0.9999712398464794</v>
      </c>
      <c r="O175" s="176">
        <f t="shared" si="306"/>
        <v>1.8408561460810189</v>
      </c>
      <c r="P175" s="176">
        <f t="shared" si="307"/>
        <v>4.908949722882717</v>
      </c>
      <c r="Q175" s="221">
        <f t="shared" si="308"/>
        <v>0.12272374307206793</v>
      </c>
      <c r="R175" s="221">
        <f t="shared" si="309"/>
        <v>0.23010701826012736</v>
      </c>
      <c r="S175" s="221">
        <f t="shared" si="310"/>
        <v>15</v>
      </c>
      <c r="T175" s="221">
        <f t="shared" si="311"/>
        <v>0.39723364672288553</v>
      </c>
      <c r="U175" s="221">
        <f t="shared" si="312"/>
        <v>0.59585047008432823</v>
      </c>
      <c r="V175" s="221">
        <f t="shared" si="313"/>
        <v>1.7137243864681089E-5</v>
      </c>
      <c r="W175" s="201">
        <f t="shared" si="314"/>
        <v>350</v>
      </c>
      <c r="X175" s="451">
        <f t="shared" si="315"/>
        <v>350</v>
      </c>
      <c r="Z175" s="221">
        <f t="shared" si="316"/>
        <v>1.9047071235171036</v>
      </c>
      <c r="AA175" s="177">
        <f t="shared" si="317"/>
        <v>8.2171867201568798E-5</v>
      </c>
      <c r="AB175" s="177">
        <f t="shared" si="318"/>
        <v>0.34129476953431226</v>
      </c>
      <c r="AC175" s="177"/>
      <c r="AD175" s="177">
        <f t="shared" si="319"/>
        <v>6.4712206554230591E-6</v>
      </c>
      <c r="AE175" s="555">
        <f t="shared" si="320"/>
        <v>10747.950617283954</v>
      </c>
      <c r="AF175" s="538">
        <f t="shared" si="321"/>
        <v>2.1166825946720815E-3</v>
      </c>
      <c r="AH175" s="177">
        <f t="shared" si="322"/>
        <v>0.8251983888449983</v>
      </c>
      <c r="AI175" s="177">
        <f t="shared" si="323"/>
        <v>0.8251983888449983</v>
      </c>
      <c r="AJ175" s="177">
        <f t="shared" si="324"/>
        <v>1.7001469546999988</v>
      </c>
      <c r="AL175" s="555">
        <f t="shared" si="325"/>
        <v>65</v>
      </c>
      <c r="AM175" s="469">
        <f t="shared" si="326"/>
        <v>350</v>
      </c>
      <c r="AO175">
        <f t="shared" si="327"/>
        <v>65</v>
      </c>
      <c r="AP175">
        <f t="shared" si="328"/>
        <v>350</v>
      </c>
      <c r="AR175" s="5">
        <f t="shared" si="249"/>
        <v>2.8571428571428572</v>
      </c>
      <c r="AS175" s="5">
        <f t="shared" si="246"/>
        <v>1.2377975832674974</v>
      </c>
      <c r="AT175" s="5">
        <f t="shared" si="247"/>
        <v>1.6193452738753598</v>
      </c>
      <c r="AU175" s="177">
        <f t="shared" si="248"/>
        <v>0.43322915414362412</v>
      </c>
      <c r="AW175" s="5">
        <f t="shared" si="275"/>
        <v>0.53637895274924885</v>
      </c>
      <c r="AX175" s="5"/>
      <c r="AY175" s="5">
        <f t="shared" si="276"/>
        <v>5.0285526820242081</v>
      </c>
      <c r="AZ175" s="5"/>
      <c r="BA175" s="5">
        <f t="shared" si="277"/>
        <v>7.3095446390207208E-2</v>
      </c>
      <c r="BB175" s="5"/>
      <c r="BC175" s="5"/>
      <c r="BD175" s="177">
        <f t="shared" si="278"/>
        <v>0.31358593931705914</v>
      </c>
      <c r="BE175" s="177">
        <f t="shared" si="279"/>
        <v>4469.3227432891099</v>
      </c>
      <c r="BF175" s="177">
        <f t="shared" si="280"/>
        <v>22067.507592168779</v>
      </c>
      <c r="BG175" s="177"/>
      <c r="BH175" s="538">
        <f t="shared" si="281"/>
        <v>3.4417649468076801E-2</v>
      </c>
      <c r="BI175" s="538">
        <f t="shared" si="282"/>
        <v>1004.2346814643685</v>
      </c>
      <c r="BJ175" s="538">
        <f t="shared" si="283"/>
        <v>4.3749999999999995E-3</v>
      </c>
      <c r="BK175" s="538">
        <f t="shared" si="284"/>
        <v>8462830.4513776898</v>
      </c>
      <c r="BL175">
        <f t="shared" si="285"/>
        <v>5.7999999999999996E-3</v>
      </c>
      <c r="BM175">
        <f t="shared" si="329"/>
        <v>1.3124999999999999E-5</v>
      </c>
      <c r="BN175">
        <f t="shared" si="330"/>
        <v>8517924.0327069145</v>
      </c>
      <c r="BO175" s="469">
        <f t="shared" si="286"/>
        <v>8463834730.651803</v>
      </c>
      <c r="BP175" s="177">
        <f t="shared" si="287"/>
        <v>1.95E-2</v>
      </c>
      <c r="BQ175" s="177">
        <f t="shared" si="288"/>
        <v>9.7500000000000003E-2</v>
      </c>
      <c r="BR175" s="538"/>
      <c r="BT175" s="469">
        <f t="shared" si="289"/>
        <v>117</v>
      </c>
      <c r="BU175" s="538">
        <f t="shared" si="290"/>
        <v>9.8336141337362296E-3</v>
      </c>
      <c r="BV175" s="538">
        <f t="shared" si="291"/>
        <v>599245.37351043883</v>
      </c>
      <c r="BW175" s="538">
        <f t="shared" si="292"/>
        <v>24348744.566521335</v>
      </c>
      <c r="BX175" s="538">
        <f t="shared" si="293"/>
        <v>0</v>
      </c>
      <c r="BY175" s="538">
        <f t="shared" si="274"/>
        <v>-14.00000701459669</v>
      </c>
      <c r="BZ175" s="538">
        <f t="shared" si="250"/>
        <v>24947989.94986539</v>
      </c>
      <c r="CA175" s="641">
        <f t="shared" si="331"/>
        <v>1.1916666666666667E-2</v>
      </c>
      <c r="CB175" s="469">
        <f t="shared" si="294"/>
        <v>49895965911.640434</v>
      </c>
      <c r="CC175" s="177">
        <f t="shared" si="251"/>
        <v>8517910.1616165675</v>
      </c>
      <c r="CD175" s="5">
        <f t="shared" si="295"/>
        <v>3.5750000000000002</v>
      </c>
      <c r="CE175" s="177">
        <f t="shared" si="296"/>
        <v>4.1970371038531316E-7</v>
      </c>
      <c r="CF175" s="5">
        <f t="shared" si="297"/>
        <v>4.1970371038531313E-5</v>
      </c>
      <c r="CG175">
        <f t="shared" si="298"/>
        <v>65</v>
      </c>
      <c r="CI175" s="571">
        <f t="shared" si="332"/>
        <v>-50</v>
      </c>
      <c r="CJ175">
        <f t="shared" si="333"/>
        <v>-50</v>
      </c>
    </row>
    <row r="176" spans="5:88" x14ac:dyDescent="0.25">
      <c r="E176" s="174">
        <v>66</v>
      </c>
      <c r="F176" s="221">
        <f t="shared" si="334"/>
        <v>6.6000000000000003E-2</v>
      </c>
      <c r="G176" s="221">
        <f t="shared" si="299"/>
        <v>0.33</v>
      </c>
      <c r="H176" s="221">
        <f t="shared" si="300"/>
        <v>0.99</v>
      </c>
      <c r="I176" s="221">
        <f t="shared" si="301"/>
        <v>2.64</v>
      </c>
      <c r="J176" s="551">
        <f t="shared" si="302"/>
        <v>20</v>
      </c>
      <c r="K176" s="451">
        <f t="shared" si="303"/>
        <v>695386.58000000007</v>
      </c>
      <c r="L176" s="451">
        <f t="shared" si="304"/>
        <v>695406.58000000007</v>
      </c>
      <c r="M176" s="451"/>
      <c r="N176" s="221">
        <f t="shared" si="305"/>
        <v>0.9999712398464794</v>
      </c>
      <c r="O176" s="176">
        <f t="shared" si="306"/>
        <v>1.8408561460810189</v>
      </c>
      <c r="P176" s="176">
        <f t="shared" si="307"/>
        <v>4.908949722882717</v>
      </c>
      <c r="Q176" s="221">
        <f t="shared" si="308"/>
        <v>0.12272374307206793</v>
      </c>
      <c r="R176" s="221">
        <f t="shared" si="309"/>
        <v>0.23010701826012736</v>
      </c>
      <c r="S176" s="221">
        <f t="shared" si="310"/>
        <v>15</v>
      </c>
      <c r="T176" s="221">
        <f t="shared" si="311"/>
        <v>0.40334493359554524</v>
      </c>
      <c r="U176" s="221">
        <f t="shared" si="312"/>
        <v>0.60501740039331786</v>
      </c>
      <c r="V176" s="221">
        <f t="shared" si="313"/>
        <v>1.7400893770291565E-5</v>
      </c>
      <c r="W176" s="201">
        <f t="shared" si="314"/>
        <v>350</v>
      </c>
      <c r="X176" s="451">
        <f t="shared" si="315"/>
        <v>350</v>
      </c>
      <c r="Z176" s="221">
        <f t="shared" si="316"/>
        <v>1.9047071235171036</v>
      </c>
      <c r="AA176" s="177">
        <f t="shared" si="317"/>
        <v>8.2171867201568798E-5</v>
      </c>
      <c r="AB176" s="177">
        <f t="shared" si="318"/>
        <v>0.34129476953431226</v>
      </c>
      <c r="AC176" s="177"/>
      <c r="AD176" s="177">
        <f t="shared" si="319"/>
        <v>6.4712206554230591E-6</v>
      </c>
      <c r="AE176" s="555">
        <f t="shared" si="320"/>
        <v>10913.303703703707</v>
      </c>
      <c r="AF176" s="538">
        <f t="shared" si="321"/>
        <v>2.1166825946720815E-3</v>
      </c>
      <c r="AH176" s="177">
        <f t="shared" si="322"/>
        <v>0.83152184062029988</v>
      </c>
      <c r="AI176" s="177">
        <f t="shared" si="323"/>
        <v>0.83152184062029988</v>
      </c>
      <c r="AJ176" s="177">
        <f t="shared" si="324"/>
        <v>1.7048309930520738</v>
      </c>
      <c r="AL176" s="555">
        <f t="shared" si="325"/>
        <v>66</v>
      </c>
      <c r="AM176" s="469">
        <f t="shared" si="326"/>
        <v>350</v>
      </c>
      <c r="AO176">
        <f t="shared" si="327"/>
        <v>66</v>
      </c>
      <c r="AP176">
        <f t="shared" si="328"/>
        <v>350</v>
      </c>
      <c r="AR176" s="5">
        <f t="shared" si="249"/>
        <v>2.8571428571428572</v>
      </c>
      <c r="AS176" s="5">
        <f t="shared" si="246"/>
        <v>1.2472827609304498</v>
      </c>
      <c r="AT176" s="5">
        <f t="shared" si="247"/>
        <v>1.6098600962124074</v>
      </c>
      <c r="AU176" s="177">
        <f t="shared" si="248"/>
        <v>0.43654896632565743</v>
      </c>
      <c r="AW176" s="5">
        <f t="shared" si="275"/>
        <v>0.5488044148093979</v>
      </c>
      <c r="AX176" s="5"/>
      <c r="AY176" s="5">
        <f t="shared" si="276"/>
        <v>5.1450413888381057</v>
      </c>
      <c r="AZ176" s="5"/>
      <c r="BA176" s="5">
        <f t="shared" si="277"/>
        <v>7.3785254409735324E-2</v>
      </c>
      <c r="BB176" s="5"/>
      <c r="BC176" s="5"/>
      <c r="BD176" s="177">
        <f t="shared" si="278"/>
        <v>0.31719732457108823</v>
      </c>
      <c r="BE176" s="177">
        <f t="shared" si="279"/>
        <v>4490.3619144503191</v>
      </c>
      <c r="BF176" s="177">
        <f t="shared" si="280"/>
        <v>22171.389566239701</v>
      </c>
      <c r="BG176" s="177"/>
      <c r="BH176" s="538">
        <f t="shared" si="281"/>
        <v>3.5214949950269699E-2</v>
      </c>
      <c r="BI176" s="538">
        <f t="shared" si="282"/>
        <v>1011.9300789168688</v>
      </c>
      <c r="BJ176" s="538">
        <f t="shared" si="283"/>
        <v>4.3749999999999995E-3</v>
      </c>
      <c r="BK176" s="538">
        <f t="shared" si="284"/>
        <v>8462830.4513776898</v>
      </c>
      <c r="BL176">
        <f t="shared" si="285"/>
        <v>5.7999999999999996E-3</v>
      </c>
      <c r="BM176">
        <f t="shared" si="329"/>
        <v>1.3124999999999999E-5</v>
      </c>
      <c r="BN176">
        <f t="shared" si="330"/>
        <v>8519192.9766802937</v>
      </c>
      <c r="BO176" s="469">
        <f t="shared" si="286"/>
        <v>8463842426.8465567</v>
      </c>
      <c r="BP176" s="177">
        <f t="shared" si="287"/>
        <v>1.9800000000000002E-2</v>
      </c>
      <c r="BQ176" s="177">
        <f t="shared" si="288"/>
        <v>9.9000000000000005E-2</v>
      </c>
      <c r="BR176" s="538"/>
      <c r="BT176" s="469">
        <f t="shared" si="289"/>
        <v>118.8</v>
      </c>
      <c r="BU176" s="538">
        <f t="shared" si="290"/>
        <v>1.006141427150563E-2</v>
      </c>
      <c r="BV176" s="538">
        <f t="shared" si="291"/>
        <v>604900.50368237798</v>
      </c>
      <c r="BW176" s="538">
        <f t="shared" si="292"/>
        <v>24578525.764898136</v>
      </c>
      <c r="BX176" s="538">
        <f t="shared" si="293"/>
        <v>0</v>
      </c>
      <c r="BY176" s="538">
        <f t="shared" si="274"/>
        <v>-14.000006949018173</v>
      </c>
      <c r="BZ176" s="538">
        <f t="shared" si="250"/>
        <v>25183426.278641928</v>
      </c>
      <c r="CA176" s="641">
        <f t="shared" si="331"/>
        <v>1.2100000000000001E-2</v>
      </c>
      <c r="CB176" s="469">
        <f t="shared" si="294"/>
        <v>50366838569.376907</v>
      </c>
      <c r="CC176" s="177">
        <f t="shared" si="251"/>
        <v>8519179.1075733434</v>
      </c>
      <c r="CD176" s="5">
        <f t="shared" si="295"/>
        <v>3.63</v>
      </c>
      <c r="CE176" s="177">
        <f t="shared" si="296"/>
        <v>4.2609721047420459E-7</v>
      </c>
      <c r="CF176" s="5">
        <f t="shared" si="297"/>
        <v>4.2609721047420459E-5</v>
      </c>
      <c r="CG176">
        <f t="shared" si="298"/>
        <v>66</v>
      </c>
      <c r="CI176" s="571">
        <f t="shared" si="332"/>
        <v>-50</v>
      </c>
      <c r="CJ176">
        <f t="shared" si="333"/>
        <v>-50</v>
      </c>
    </row>
    <row r="177" spans="5:88" x14ac:dyDescent="0.25">
      <c r="E177" s="174">
        <v>67</v>
      </c>
      <c r="F177" s="221">
        <f t="shared" si="334"/>
        <v>6.7000000000000004E-2</v>
      </c>
      <c r="G177" s="221">
        <f t="shared" si="299"/>
        <v>0.33500000000000002</v>
      </c>
      <c r="H177" s="221">
        <f t="shared" si="300"/>
        <v>1.0050000000000001</v>
      </c>
      <c r="I177" s="221">
        <f t="shared" si="301"/>
        <v>2.68</v>
      </c>
      <c r="J177" s="551">
        <f t="shared" si="302"/>
        <v>20</v>
      </c>
      <c r="K177" s="451">
        <f t="shared" si="303"/>
        <v>695386.58000000007</v>
      </c>
      <c r="L177" s="451">
        <f t="shared" si="304"/>
        <v>695406.58000000007</v>
      </c>
      <c r="M177" s="451"/>
      <c r="N177" s="221">
        <f t="shared" si="305"/>
        <v>0.9999712398464794</v>
      </c>
      <c r="O177" s="176">
        <f t="shared" si="306"/>
        <v>1.8408561460810189</v>
      </c>
      <c r="P177" s="176">
        <f t="shared" si="307"/>
        <v>4.908949722882717</v>
      </c>
      <c r="Q177" s="221">
        <f t="shared" si="308"/>
        <v>0.12272374307206793</v>
      </c>
      <c r="R177" s="221">
        <f t="shared" si="309"/>
        <v>0.23010701826012736</v>
      </c>
      <c r="S177" s="221">
        <f t="shared" si="310"/>
        <v>15</v>
      </c>
      <c r="T177" s="221">
        <f t="shared" si="311"/>
        <v>0.40945622046820512</v>
      </c>
      <c r="U177" s="221">
        <f t="shared" si="312"/>
        <v>0.61418433070230771</v>
      </c>
      <c r="V177" s="221">
        <f t="shared" si="313"/>
        <v>1.7664543675902047E-5</v>
      </c>
      <c r="W177" s="201">
        <f t="shared" si="314"/>
        <v>350</v>
      </c>
      <c r="X177" s="451">
        <f t="shared" si="315"/>
        <v>350</v>
      </c>
      <c r="Z177" s="221">
        <f t="shared" si="316"/>
        <v>1.9047071235171036</v>
      </c>
      <c r="AA177" s="177">
        <f t="shared" si="317"/>
        <v>8.2171867201568798E-5</v>
      </c>
      <c r="AB177" s="177">
        <f t="shared" si="318"/>
        <v>0.34129476953431226</v>
      </c>
      <c r="AC177" s="177"/>
      <c r="AD177" s="177">
        <f t="shared" si="319"/>
        <v>6.4712206554230591E-6</v>
      </c>
      <c r="AE177" s="555">
        <f t="shared" si="320"/>
        <v>11078.656790123459</v>
      </c>
      <c r="AF177" s="538">
        <f t="shared" si="321"/>
        <v>2.1166825946720815E-3</v>
      </c>
      <c r="AH177" s="177">
        <f t="shared" si="322"/>
        <v>0.83779756618455392</v>
      </c>
      <c r="AI177" s="177">
        <f t="shared" si="323"/>
        <v>0.83779756618455392</v>
      </c>
      <c r="AJ177" s="177">
        <f t="shared" si="324"/>
        <v>1.7094796786552249</v>
      </c>
      <c r="AL177" s="555">
        <f t="shared" si="325"/>
        <v>67</v>
      </c>
      <c r="AM177" s="469">
        <f t="shared" si="326"/>
        <v>350</v>
      </c>
      <c r="AO177">
        <f t="shared" si="327"/>
        <v>67</v>
      </c>
      <c r="AP177">
        <f t="shared" si="328"/>
        <v>350</v>
      </c>
      <c r="AR177" s="5">
        <f t="shared" si="249"/>
        <v>2.8571428571428572</v>
      </c>
      <c r="AS177" s="5">
        <f t="shared" si="246"/>
        <v>1.2566963492768308</v>
      </c>
      <c r="AT177" s="5">
        <f t="shared" si="247"/>
        <v>1.6004465078660264</v>
      </c>
      <c r="AU177" s="177">
        <f t="shared" si="248"/>
        <v>0.43984372224689078</v>
      </c>
      <c r="AW177" s="5">
        <f t="shared" si="275"/>
        <v>0.56132436934365115</v>
      </c>
      <c r="AX177" s="5"/>
      <c r="AY177" s="5">
        <f t="shared" si="276"/>
        <v>5.2624159625967293</v>
      </c>
      <c r="AZ177" s="5"/>
      <c r="BA177" s="5">
        <f t="shared" si="277"/>
        <v>7.4465219463210927E-2</v>
      </c>
      <c r="BB177" s="5"/>
      <c r="BC177" s="5"/>
      <c r="BD177" s="177">
        <f t="shared" si="278"/>
        <v>0.32079505562430777</v>
      </c>
      <c r="BE177" s="177">
        <f t="shared" si="279"/>
        <v>4511.0048400905616</v>
      </c>
      <c r="BF177" s="177">
        <f t="shared" si="280"/>
        <v>22273.315057965399</v>
      </c>
      <c r="BG177" s="177"/>
      <c r="BH177" s="538">
        <f t="shared" si="281"/>
        <v>3.6018313699550948E-2</v>
      </c>
      <c r="BI177" s="538">
        <f t="shared" si="282"/>
        <v>1019.5673954072674</v>
      </c>
      <c r="BJ177" s="538">
        <f t="shared" si="283"/>
        <v>4.3749999999999995E-3</v>
      </c>
      <c r="BK177" s="538">
        <f t="shared" si="284"/>
        <v>8462830.4513776898</v>
      </c>
      <c r="BL177">
        <f t="shared" si="285"/>
        <v>5.7999999999999996E-3</v>
      </c>
      <c r="BM177">
        <f t="shared" si="329"/>
        <v>1.3124999999999999E-5</v>
      </c>
      <c r="BN177">
        <f t="shared" si="330"/>
        <v>8520471.8333905265</v>
      </c>
      <c r="BO177" s="469">
        <f t="shared" si="286"/>
        <v>8463850064.9664106</v>
      </c>
      <c r="BP177" s="177">
        <f t="shared" si="287"/>
        <v>2.01E-2</v>
      </c>
      <c r="BQ177" s="177">
        <f t="shared" si="288"/>
        <v>0.10050000000000001</v>
      </c>
      <c r="BR177" s="538"/>
      <c r="BT177" s="469">
        <f t="shared" si="289"/>
        <v>120.60000000000001</v>
      </c>
      <c r="BU177" s="538">
        <f t="shared" si="290"/>
        <v>1.0290946771300272E-2</v>
      </c>
      <c r="BV177" s="538">
        <f t="shared" si="291"/>
        <v>610474.94001961418</v>
      </c>
      <c r="BW177" s="538">
        <f t="shared" si="292"/>
        <v>24805028.183569413</v>
      </c>
      <c r="BX177" s="538">
        <f t="shared" si="293"/>
        <v>0</v>
      </c>
      <c r="BY177" s="538">
        <f t="shared" si="274"/>
        <v>-14.000006885564499</v>
      </c>
      <c r="BZ177" s="538">
        <f t="shared" si="250"/>
        <v>25415503.133879974</v>
      </c>
      <c r="CA177" s="641">
        <f t="shared" si="331"/>
        <v>1.2283333333333337E-2</v>
      </c>
      <c r="CB177" s="469">
        <f t="shared" si="294"/>
        <v>50830992280.0364</v>
      </c>
      <c r="CC177" s="177">
        <f t="shared" si="251"/>
        <v>8520457.9662669729</v>
      </c>
      <c r="CD177" s="5">
        <f t="shared" si="295"/>
        <v>3.6850000000000005</v>
      </c>
      <c r="CE177" s="177">
        <f t="shared" si="296"/>
        <v>4.32488302960914E-7</v>
      </c>
      <c r="CF177" s="5">
        <f t="shared" si="297"/>
        <v>4.3248830296091399E-5</v>
      </c>
      <c r="CG177">
        <f t="shared" si="298"/>
        <v>67</v>
      </c>
      <c r="CI177" s="571">
        <f t="shared" si="332"/>
        <v>-50</v>
      </c>
      <c r="CJ177">
        <f t="shared" si="333"/>
        <v>-50</v>
      </c>
    </row>
    <row r="178" spans="5:88" x14ac:dyDescent="0.25">
      <c r="E178" s="174">
        <v>68</v>
      </c>
      <c r="F178" s="221">
        <f t="shared" si="334"/>
        <v>6.8000000000000005E-2</v>
      </c>
      <c r="G178" s="221">
        <f t="shared" si="299"/>
        <v>0.34</v>
      </c>
      <c r="H178" s="221">
        <f t="shared" si="300"/>
        <v>1.02</v>
      </c>
      <c r="I178" s="221">
        <f t="shared" si="301"/>
        <v>2.72</v>
      </c>
      <c r="J178" s="551">
        <f t="shared" si="302"/>
        <v>20</v>
      </c>
      <c r="K178" s="451">
        <f t="shared" si="303"/>
        <v>695386.58000000007</v>
      </c>
      <c r="L178" s="451">
        <f t="shared" si="304"/>
        <v>695406.58000000007</v>
      </c>
      <c r="M178" s="451"/>
      <c r="N178" s="221">
        <f t="shared" si="305"/>
        <v>0.9999712398464794</v>
      </c>
      <c r="O178" s="176">
        <f t="shared" si="306"/>
        <v>1.8408561460810189</v>
      </c>
      <c r="P178" s="176">
        <f t="shared" si="307"/>
        <v>4.908949722882717</v>
      </c>
      <c r="Q178" s="221">
        <f t="shared" si="308"/>
        <v>0.12272374307206793</v>
      </c>
      <c r="R178" s="221">
        <f t="shared" si="309"/>
        <v>0.23010701826012736</v>
      </c>
      <c r="S178" s="221">
        <f t="shared" si="310"/>
        <v>15</v>
      </c>
      <c r="T178" s="221">
        <f t="shared" si="311"/>
        <v>0.41556750734086484</v>
      </c>
      <c r="U178" s="221">
        <f t="shared" si="312"/>
        <v>0.62335126101129723</v>
      </c>
      <c r="V178" s="221">
        <f t="shared" si="313"/>
        <v>1.7928193581512519E-5</v>
      </c>
      <c r="W178" s="201">
        <f t="shared" si="314"/>
        <v>350</v>
      </c>
      <c r="X178" s="451">
        <f t="shared" si="315"/>
        <v>350</v>
      </c>
      <c r="Z178" s="221">
        <f t="shared" si="316"/>
        <v>1.9047071235171036</v>
      </c>
      <c r="AA178" s="177">
        <f t="shared" si="317"/>
        <v>8.2171867201568798E-5</v>
      </c>
      <c r="AB178" s="177">
        <f t="shared" si="318"/>
        <v>0.34129476953431226</v>
      </c>
      <c r="AC178" s="177"/>
      <c r="AD178" s="177">
        <f t="shared" si="319"/>
        <v>6.4712206554230591E-6</v>
      </c>
      <c r="AE178" s="555">
        <f t="shared" si="320"/>
        <v>11244.009876543214</v>
      </c>
      <c r="AF178" s="538">
        <f t="shared" si="321"/>
        <v>2.1166825946720815E-3</v>
      </c>
      <c r="AH178" s="177">
        <f t="shared" si="322"/>
        <v>0.84402663013731527</v>
      </c>
      <c r="AI178" s="177">
        <f t="shared" si="323"/>
        <v>0.84402663013731527</v>
      </c>
      <c r="AJ178" s="177">
        <f t="shared" si="324"/>
        <v>1.7140938001017147</v>
      </c>
      <c r="AL178" s="555">
        <f t="shared" si="325"/>
        <v>68</v>
      </c>
      <c r="AM178" s="469">
        <f t="shared" si="326"/>
        <v>350</v>
      </c>
      <c r="AO178">
        <f t="shared" si="327"/>
        <v>68</v>
      </c>
      <c r="AP178">
        <f t="shared" si="328"/>
        <v>350</v>
      </c>
      <c r="AR178" s="5">
        <f t="shared" si="249"/>
        <v>2.8571428571428572</v>
      </c>
      <c r="AS178" s="5">
        <f t="shared" si="246"/>
        <v>1.266039945205973</v>
      </c>
      <c r="AT178" s="5">
        <f t="shared" si="247"/>
        <v>1.5911029119368842</v>
      </c>
      <c r="AU178" s="177">
        <f t="shared" si="248"/>
        <v>0.44311398082209053</v>
      </c>
      <c r="AW178" s="5">
        <f t="shared" si="275"/>
        <v>0.57393810849337445</v>
      </c>
      <c r="AX178" s="5"/>
      <c r="AY178" s="5">
        <f t="shared" si="276"/>
        <v>5.3806697671253856</v>
      </c>
      <c r="AZ178" s="5"/>
      <c r="BA178" s="5">
        <f t="shared" si="277"/>
        <v>7.5135415285908405E-2</v>
      </c>
      <c r="BB178" s="5"/>
      <c r="BC178" s="5"/>
      <c r="BD178" s="177">
        <f t="shared" si="278"/>
        <v>0.32437938676358374</v>
      </c>
      <c r="BE178" s="177">
        <f t="shared" si="279"/>
        <v>4531.2591591186792</v>
      </c>
      <c r="BF178" s="177">
        <f t="shared" si="280"/>
        <v>22373.321784845517</v>
      </c>
      <c r="BG178" s="177"/>
      <c r="BH178" s="538">
        <f t="shared" si="281"/>
        <v>3.6827695294991525E-2</v>
      </c>
      <c r="BI178" s="538">
        <f t="shared" si="282"/>
        <v>1027.1479265122518</v>
      </c>
      <c r="BJ178" s="538">
        <f t="shared" si="283"/>
        <v>4.3749999999999995E-3</v>
      </c>
      <c r="BK178" s="538">
        <f t="shared" si="284"/>
        <v>8462830.4513776898</v>
      </c>
      <c r="BL178">
        <f t="shared" si="285"/>
        <v>5.7999999999999996E-3</v>
      </c>
      <c r="BM178">
        <f t="shared" si="329"/>
        <v>1.3124999999999999E-5</v>
      </c>
      <c r="BN178">
        <f t="shared" si="330"/>
        <v>8521760.5409989152</v>
      </c>
      <c r="BO178" s="469">
        <f t="shared" si="286"/>
        <v>8463857646.3068962</v>
      </c>
      <c r="BP178" s="177">
        <f t="shared" si="287"/>
        <v>2.0400000000000001E-2</v>
      </c>
      <c r="BQ178" s="177">
        <f t="shared" si="288"/>
        <v>0.10200000000000001</v>
      </c>
      <c r="BR178" s="538"/>
      <c r="BT178" s="469">
        <f t="shared" si="289"/>
        <v>122.4</v>
      </c>
      <c r="BU178" s="538">
        <f t="shared" si="290"/>
        <v>1.0522198655711865E-2</v>
      </c>
      <c r="BV178" s="538">
        <f t="shared" si="291"/>
        <v>615969.28701290756</v>
      </c>
      <c r="BW178" s="538">
        <f t="shared" si="292"/>
        <v>25028276.384412151</v>
      </c>
      <c r="BX178" s="538">
        <f t="shared" si="293"/>
        <v>0</v>
      </c>
      <c r="BY178" s="538">
        <f t="shared" si="274"/>
        <v>-14.000006824146341</v>
      </c>
      <c r="BZ178" s="538">
        <f t="shared" si="250"/>
        <v>25644245.681947257</v>
      </c>
      <c r="CA178" s="641">
        <f t="shared" si="331"/>
        <v>1.2466666666666668E-2</v>
      </c>
      <c r="CB178" s="469">
        <f t="shared" si="294"/>
        <v>51288477376.354362</v>
      </c>
      <c r="CC178" s="177">
        <f t="shared" si="251"/>
        <v>8521746.6758587584</v>
      </c>
      <c r="CD178" s="5">
        <f t="shared" si="295"/>
        <v>3.74</v>
      </c>
      <c r="CE178" s="177">
        <f t="shared" si="296"/>
        <v>4.3887696981126744E-7</v>
      </c>
      <c r="CF178" s="5">
        <f t="shared" si="297"/>
        <v>4.3887696981126746E-5</v>
      </c>
      <c r="CG178">
        <f t="shared" si="298"/>
        <v>68</v>
      </c>
      <c r="CI178" s="571">
        <f t="shared" si="332"/>
        <v>-50</v>
      </c>
      <c r="CJ178">
        <f t="shared" si="333"/>
        <v>-50</v>
      </c>
    </row>
    <row r="179" spans="5:88" x14ac:dyDescent="0.25">
      <c r="E179" s="174">
        <v>69</v>
      </c>
      <c r="F179" s="221">
        <f t="shared" si="334"/>
        <v>6.8999999999999992E-2</v>
      </c>
      <c r="G179" s="221">
        <f t="shared" si="299"/>
        <v>0.34499999999999997</v>
      </c>
      <c r="H179" s="221">
        <f t="shared" si="300"/>
        <v>1.0349999999999999</v>
      </c>
      <c r="I179" s="221">
        <f t="shared" si="301"/>
        <v>2.76</v>
      </c>
      <c r="J179" s="551">
        <f t="shared" si="302"/>
        <v>20</v>
      </c>
      <c r="K179" s="451">
        <f t="shared" si="303"/>
        <v>695386.58000000007</v>
      </c>
      <c r="L179" s="451">
        <f t="shared" si="304"/>
        <v>695406.58000000007</v>
      </c>
      <c r="M179" s="451"/>
      <c r="N179" s="221">
        <f t="shared" si="305"/>
        <v>0.9999712398464794</v>
      </c>
      <c r="O179" s="176">
        <f t="shared" si="306"/>
        <v>1.8408561460810189</v>
      </c>
      <c r="P179" s="176">
        <f t="shared" si="307"/>
        <v>4.908949722882717</v>
      </c>
      <c r="Q179" s="221">
        <f t="shared" si="308"/>
        <v>0.12272374307206793</v>
      </c>
      <c r="R179" s="221">
        <f t="shared" si="309"/>
        <v>0.23010701826012736</v>
      </c>
      <c r="S179" s="221">
        <f t="shared" si="310"/>
        <v>15</v>
      </c>
      <c r="T179" s="221">
        <f t="shared" si="311"/>
        <v>0.42167879421352461</v>
      </c>
      <c r="U179" s="221">
        <f t="shared" si="312"/>
        <v>0.63251819132028697</v>
      </c>
      <c r="V179" s="221">
        <f t="shared" si="313"/>
        <v>1.8191843487122998E-5</v>
      </c>
      <c r="W179" s="201">
        <f t="shared" si="314"/>
        <v>350</v>
      </c>
      <c r="X179" s="451">
        <f t="shared" si="315"/>
        <v>350</v>
      </c>
      <c r="Z179" s="221">
        <f t="shared" si="316"/>
        <v>1.9047071235171036</v>
      </c>
      <c r="AA179" s="177">
        <f t="shared" si="317"/>
        <v>8.2171867201568798E-5</v>
      </c>
      <c r="AB179" s="177">
        <f t="shared" si="318"/>
        <v>0.34129476953431226</v>
      </c>
      <c r="AC179" s="177"/>
      <c r="AD179" s="177">
        <f t="shared" si="319"/>
        <v>6.4712206554230591E-6</v>
      </c>
      <c r="AE179" s="555">
        <f t="shared" si="320"/>
        <v>11409.362962962965</v>
      </c>
      <c r="AF179" s="538">
        <f t="shared" si="321"/>
        <v>2.1166825946720815E-3</v>
      </c>
      <c r="AH179" s="177">
        <f t="shared" si="322"/>
        <v>0.85021005807808625</v>
      </c>
      <c r="AI179" s="177">
        <f t="shared" si="323"/>
        <v>0.85021005807808625</v>
      </c>
      <c r="AJ179" s="177">
        <f t="shared" si="324"/>
        <v>1.7186741170948787</v>
      </c>
      <c r="AL179" s="555">
        <f t="shared" si="325"/>
        <v>68.999999999999986</v>
      </c>
      <c r="AM179" s="469">
        <f t="shared" si="326"/>
        <v>350</v>
      </c>
      <c r="AO179">
        <f t="shared" si="327"/>
        <v>68.999999999999986</v>
      </c>
      <c r="AP179">
        <f t="shared" si="328"/>
        <v>350</v>
      </c>
      <c r="AR179" s="5">
        <f t="shared" si="249"/>
        <v>2.8571428571428572</v>
      </c>
      <c r="AS179" s="5">
        <f t="shared" ref="AS179:AS242" si="335">L*AI179/J179*1000000</f>
        <v>1.2753150871171295</v>
      </c>
      <c r="AT179" s="5">
        <f t="shared" ref="AT179:AT242" si="336">AR179-AS179</f>
        <v>1.5818277700257277</v>
      </c>
      <c r="AU179" s="177">
        <f t="shared" ref="AU179:AU242" si="337">AS179/AR179</f>
        <v>0.4463602804909953</v>
      </c>
      <c r="AW179" s="5">
        <f t="shared" si="275"/>
        <v>0.58664494007387946</v>
      </c>
      <c r="AX179" s="5"/>
      <c r="AY179" s="5">
        <f t="shared" si="276"/>
        <v>5.4997963131926211</v>
      </c>
      <c r="AZ179" s="5"/>
      <c r="BA179" s="5">
        <f t="shared" si="277"/>
        <v>7.5795913980399435E-2</v>
      </c>
      <c r="BB179" s="5"/>
      <c r="BC179" s="5"/>
      <c r="BD179" s="177">
        <f t="shared" si="278"/>
        <v>0.3279505638764445</v>
      </c>
      <c r="BE179" s="177">
        <f t="shared" si="279"/>
        <v>4551.1322245785705</v>
      </c>
      <c r="BF179" s="177">
        <f t="shared" si="280"/>
        <v>22471.446052907009</v>
      </c>
      <c r="BG179" s="177"/>
      <c r="BH179" s="538">
        <f t="shared" si="281"/>
        <v>3.7643050321407259E-2</v>
      </c>
      <c r="BI179" s="538">
        <f t="shared" si="282"/>
        <v>1034.6729203469458</v>
      </c>
      <c r="BJ179" s="538">
        <f t="shared" si="283"/>
        <v>4.3749999999999995E-3</v>
      </c>
      <c r="BK179" s="538">
        <f t="shared" si="284"/>
        <v>8462830.4513776898</v>
      </c>
      <c r="BL179">
        <f t="shared" si="285"/>
        <v>5.7999999999999996E-3</v>
      </c>
      <c r="BM179">
        <f t="shared" si="329"/>
        <v>1.3124999999999999E-5</v>
      </c>
      <c r="BN179">
        <f t="shared" si="330"/>
        <v>8523059.0391972642</v>
      </c>
      <c r="BO179" s="469">
        <f t="shared" si="286"/>
        <v>8463865172.116086</v>
      </c>
      <c r="BP179" s="177">
        <f t="shared" si="287"/>
        <v>2.0699999999999996E-2</v>
      </c>
      <c r="BQ179" s="177">
        <f t="shared" si="288"/>
        <v>0.10349999999999999</v>
      </c>
      <c r="BR179" s="538"/>
      <c r="BT179" s="469">
        <f t="shared" si="289"/>
        <v>124.19999999999999</v>
      </c>
      <c r="BU179" s="538">
        <f t="shared" si="290"/>
        <v>1.0755157234687791E-2</v>
      </c>
      <c r="BV179" s="538">
        <f t="shared" si="291"/>
        <v>621384.1357679246</v>
      </c>
      <c r="BW179" s="538">
        <f t="shared" si="292"/>
        <v>25248294.385435503</v>
      </c>
      <c r="BX179" s="538">
        <f t="shared" si="293"/>
        <v>0</v>
      </c>
      <c r="BY179" s="538">
        <f t="shared" si="274"/>
        <v>-14.000006764679522</v>
      </c>
      <c r="BZ179" s="538">
        <f t="shared" si="250"/>
        <v>25869678.531958584</v>
      </c>
      <c r="CA179" s="641">
        <f t="shared" si="331"/>
        <v>1.265E-2</v>
      </c>
      <c r="CB179" s="469">
        <f t="shared" si="294"/>
        <v>51739343076.560402</v>
      </c>
      <c r="CC179" s="177">
        <f t="shared" si="251"/>
        <v>8523045.1760404985</v>
      </c>
      <c r="CD179" s="5">
        <f t="shared" si="295"/>
        <v>3.7949999999999999</v>
      </c>
      <c r="CE179" s="177">
        <f t="shared" si="296"/>
        <v>4.4526319312426809E-7</v>
      </c>
      <c r="CF179" s="5">
        <f t="shared" si="297"/>
        <v>4.4526319312426808E-5</v>
      </c>
      <c r="CG179">
        <f t="shared" si="298"/>
        <v>68.999999999999986</v>
      </c>
      <c r="CI179" s="571">
        <f t="shared" si="332"/>
        <v>-50</v>
      </c>
      <c r="CJ179">
        <f t="shared" si="333"/>
        <v>-50</v>
      </c>
    </row>
    <row r="180" spans="5:88" x14ac:dyDescent="0.25">
      <c r="E180" s="174">
        <v>70</v>
      </c>
      <c r="F180" s="221">
        <f t="shared" si="334"/>
        <v>6.9999999999999993E-2</v>
      </c>
      <c r="G180" s="221">
        <f t="shared" si="299"/>
        <v>0.35</v>
      </c>
      <c r="H180" s="221">
        <f t="shared" si="300"/>
        <v>1.0499999999999998</v>
      </c>
      <c r="I180" s="221">
        <f t="shared" si="301"/>
        <v>2.8</v>
      </c>
      <c r="J180" s="551">
        <f t="shared" si="302"/>
        <v>20</v>
      </c>
      <c r="K180" s="451">
        <f t="shared" si="303"/>
        <v>695386.58000000007</v>
      </c>
      <c r="L180" s="451">
        <f t="shared" si="304"/>
        <v>695406.58000000007</v>
      </c>
      <c r="M180" s="451"/>
      <c r="N180" s="221">
        <f t="shared" si="305"/>
        <v>0.9999712398464794</v>
      </c>
      <c r="O180" s="176">
        <f t="shared" si="306"/>
        <v>1.8408561460810189</v>
      </c>
      <c r="P180" s="176">
        <f t="shared" si="307"/>
        <v>4.908949722882717</v>
      </c>
      <c r="Q180" s="221">
        <f t="shared" si="308"/>
        <v>0.12272374307206793</v>
      </c>
      <c r="R180" s="221">
        <f t="shared" si="309"/>
        <v>0.23010701826012736</v>
      </c>
      <c r="S180" s="221">
        <f t="shared" si="310"/>
        <v>15</v>
      </c>
      <c r="T180" s="221">
        <f t="shared" si="311"/>
        <v>0.42779008108618433</v>
      </c>
      <c r="U180" s="221">
        <f t="shared" si="312"/>
        <v>0.64168512162927649</v>
      </c>
      <c r="V180" s="221">
        <f t="shared" si="313"/>
        <v>1.8455493392733474E-5</v>
      </c>
      <c r="W180" s="201">
        <f t="shared" si="314"/>
        <v>350</v>
      </c>
      <c r="X180" s="451">
        <f t="shared" si="315"/>
        <v>350</v>
      </c>
      <c r="Z180" s="221">
        <f t="shared" si="316"/>
        <v>1.9047071235171036</v>
      </c>
      <c r="AA180" s="177">
        <f t="shared" si="317"/>
        <v>8.2171867201568798E-5</v>
      </c>
      <c r="AB180" s="177">
        <f t="shared" si="318"/>
        <v>0.34129476953431226</v>
      </c>
      <c r="AC180" s="177"/>
      <c r="AD180" s="177">
        <f t="shared" si="319"/>
        <v>6.4712206554230591E-6</v>
      </c>
      <c r="AE180" s="555">
        <f t="shared" si="320"/>
        <v>11574.716049382718</v>
      </c>
      <c r="AF180" s="538">
        <f t="shared" si="321"/>
        <v>2.1166825946720815E-3</v>
      </c>
      <c r="AH180" s="177">
        <f t="shared" si="322"/>
        <v>0.85634883857767519</v>
      </c>
      <c r="AI180" s="177">
        <f t="shared" si="323"/>
        <v>0.85634883857767519</v>
      </c>
      <c r="AJ180" s="177">
        <f t="shared" si="324"/>
        <v>1.7232213619093888</v>
      </c>
      <c r="AL180" s="555">
        <f t="shared" si="325"/>
        <v>69.999999999999986</v>
      </c>
      <c r="AM180" s="469">
        <f t="shared" si="326"/>
        <v>350</v>
      </c>
      <c r="AO180">
        <f t="shared" si="327"/>
        <v>69.999999999999986</v>
      </c>
      <c r="AP180">
        <f t="shared" si="328"/>
        <v>350</v>
      </c>
      <c r="AR180" s="5">
        <f t="shared" si="249"/>
        <v>2.8571428571428572</v>
      </c>
      <c r="AS180" s="5">
        <f t="shared" si="335"/>
        <v>1.2845232578665127</v>
      </c>
      <c r="AT180" s="5">
        <f t="shared" si="336"/>
        <v>1.5726195992763445</v>
      </c>
      <c r="AU180" s="177">
        <f t="shared" si="337"/>
        <v>0.44958314025327945</v>
      </c>
      <c r="AW180" s="5">
        <f t="shared" si="275"/>
        <v>0.59944418700437252</v>
      </c>
      <c r="AX180" s="5"/>
      <c r="AY180" s="5">
        <f t="shared" si="276"/>
        <v>5.619789253165993</v>
      </c>
      <c r="AZ180" s="5"/>
      <c r="BA180" s="5">
        <f t="shared" si="277"/>
        <v>7.6446786075933401E-2</v>
      </c>
      <c r="BB180" s="5"/>
      <c r="BC180" s="5"/>
      <c r="BD180" s="177">
        <f t="shared" si="278"/>
        <v>0.33150882484603877</v>
      </c>
      <c r="BE180" s="177">
        <f t="shared" si="279"/>
        <v>4570.6311179531231</v>
      </c>
      <c r="BF180" s="177">
        <f t="shared" si="280"/>
        <v>22567.722827330599</v>
      </c>
      <c r="BG180" s="177"/>
      <c r="BH180" s="538">
        <f t="shared" si="281"/>
        <v>3.8464335332780562E-2</v>
      </c>
      <c r="BI180" s="538">
        <f t="shared" si="282"/>
        <v>1042.143579963978</v>
      </c>
      <c r="BJ180" s="538">
        <f t="shared" si="283"/>
        <v>4.3749999999999995E-3</v>
      </c>
      <c r="BK180" s="538">
        <f t="shared" si="284"/>
        <v>8462830.4513776898</v>
      </c>
      <c r="BL180">
        <f t="shared" si="285"/>
        <v>5.7999999999999996E-3</v>
      </c>
      <c r="BM180">
        <f t="shared" si="329"/>
        <v>1.3124999999999999E-5</v>
      </c>
      <c r="BN180">
        <f t="shared" si="330"/>
        <v>8524367.2691532169</v>
      </c>
      <c r="BO180" s="469">
        <f t="shared" si="286"/>
        <v>8463872643.5969877</v>
      </c>
      <c r="BP180" s="177">
        <f t="shared" si="287"/>
        <v>2.0999999999999998E-2</v>
      </c>
      <c r="BQ180" s="177">
        <f t="shared" si="288"/>
        <v>0.105</v>
      </c>
      <c r="BR180" s="538"/>
      <c r="BT180" s="469">
        <f t="shared" si="289"/>
        <v>126</v>
      </c>
      <c r="BU180" s="538">
        <f t="shared" si="290"/>
        <v>1.0989810095080162E-2</v>
      </c>
      <c r="BV180" s="538">
        <f t="shared" si="291"/>
        <v>626720.06449204241</v>
      </c>
      <c r="BW180" s="538">
        <f t="shared" si="292"/>
        <v>25465105.680560932</v>
      </c>
      <c r="BX180" s="538">
        <f t="shared" si="293"/>
        <v>0</v>
      </c>
      <c r="BY180" s="538">
        <f t="shared" si="274"/>
        <v>-14.000006707084644</v>
      </c>
      <c r="BZ180" s="538">
        <f t="shared" si="250"/>
        <v>26091825.756042786</v>
      </c>
      <c r="CA180" s="641">
        <f t="shared" si="331"/>
        <v>1.2833333333333334E-2</v>
      </c>
      <c r="CB180" s="469">
        <f t="shared" si="294"/>
        <v>52183637524.912201</v>
      </c>
      <c r="CC180" s="177">
        <f t="shared" si="251"/>
        <v>8524353.4079798423</v>
      </c>
      <c r="CD180" s="5">
        <f t="shared" si="295"/>
        <v>3.8499999999999996</v>
      </c>
      <c r="CE180" s="177">
        <f t="shared" si="296"/>
        <v>4.5164695512918916E-7</v>
      </c>
      <c r="CF180" s="5">
        <f t="shared" si="297"/>
        <v>4.5164695512918915E-5</v>
      </c>
      <c r="CG180">
        <f t="shared" si="298"/>
        <v>69.999999999999986</v>
      </c>
      <c r="CI180" s="571">
        <f t="shared" si="332"/>
        <v>-50</v>
      </c>
      <c r="CJ180">
        <f t="shared" si="333"/>
        <v>-50</v>
      </c>
    </row>
    <row r="181" spans="5:88" x14ac:dyDescent="0.25">
      <c r="E181" s="174">
        <v>71</v>
      </c>
      <c r="F181" s="221">
        <f t="shared" si="334"/>
        <v>7.0999999999999994E-2</v>
      </c>
      <c r="G181" s="221">
        <f t="shared" si="299"/>
        <v>0.35499999999999998</v>
      </c>
      <c r="H181" s="221">
        <f t="shared" si="300"/>
        <v>1.0649999999999999</v>
      </c>
      <c r="I181" s="221">
        <f t="shared" si="301"/>
        <v>2.84</v>
      </c>
      <c r="J181" s="551">
        <f t="shared" si="302"/>
        <v>20</v>
      </c>
      <c r="K181" s="451">
        <f t="shared" si="303"/>
        <v>695386.58000000007</v>
      </c>
      <c r="L181" s="451">
        <f t="shared" si="304"/>
        <v>695406.58000000007</v>
      </c>
      <c r="M181" s="451"/>
      <c r="N181" s="221">
        <f t="shared" si="305"/>
        <v>0.9999712398464794</v>
      </c>
      <c r="O181" s="176">
        <f t="shared" si="306"/>
        <v>1.8408561460810189</v>
      </c>
      <c r="P181" s="176">
        <f t="shared" si="307"/>
        <v>4.908949722882717</v>
      </c>
      <c r="Q181" s="221">
        <f t="shared" si="308"/>
        <v>0.12272374307206793</v>
      </c>
      <c r="R181" s="221">
        <f t="shared" si="309"/>
        <v>0.23010701826012736</v>
      </c>
      <c r="S181" s="221">
        <f t="shared" si="310"/>
        <v>15</v>
      </c>
      <c r="T181" s="221">
        <f t="shared" si="311"/>
        <v>0.43390136795884415</v>
      </c>
      <c r="U181" s="221">
        <f t="shared" si="312"/>
        <v>0.65085205193826623</v>
      </c>
      <c r="V181" s="221">
        <f t="shared" si="313"/>
        <v>1.8719143298343957E-5</v>
      </c>
      <c r="W181" s="201">
        <f t="shared" si="314"/>
        <v>350</v>
      </c>
      <c r="X181" s="451">
        <f t="shared" si="315"/>
        <v>350</v>
      </c>
      <c r="Z181" s="221">
        <f t="shared" si="316"/>
        <v>1.9047071235171036</v>
      </c>
      <c r="AA181" s="177">
        <f t="shared" si="317"/>
        <v>8.2171867201568798E-5</v>
      </c>
      <c r="AB181" s="177">
        <f t="shared" si="318"/>
        <v>0.34129476953431226</v>
      </c>
      <c r="AC181" s="177"/>
      <c r="AD181" s="177">
        <f t="shared" si="319"/>
        <v>6.4712206554230591E-6</v>
      </c>
      <c r="AE181" s="555">
        <f t="shared" si="320"/>
        <v>11740.069135802471</v>
      </c>
      <c r="AF181" s="538">
        <f t="shared" si="321"/>
        <v>2.1166825946720815E-3</v>
      </c>
      <c r="AH181" s="177">
        <f t="shared" si="322"/>
        <v>0.8624439250232584</v>
      </c>
      <c r="AI181" s="177">
        <f t="shared" si="323"/>
        <v>0.8624439250232584</v>
      </c>
      <c r="AJ181" s="177">
        <f t="shared" si="324"/>
        <v>1.7277362407579691</v>
      </c>
      <c r="AL181" s="555">
        <f t="shared" si="325"/>
        <v>71</v>
      </c>
      <c r="AM181" s="469">
        <f t="shared" si="326"/>
        <v>350</v>
      </c>
      <c r="AO181">
        <f t="shared" si="327"/>
        <v>71</v>
      </c>
      <c r="AP181">
        <f t="shared" si="328"/>
        <v>350</v>
      </c>
      <c r="AR181" s="5">
        <f t="shared" si="249"/>
        <v>2.8571428571428572</v>
      </c>
      <c r="AS181" s="5">
        <f t="shared" si="335"/>
        <v>1.2936658875348879</v>
      </c>
      <c r="AT181" s="5">
        <f t="shared" si="336"/>
        <v>1.5634769696079693</v>
      </c>
      <c r="AU181" s="177">
        <f t="shared" si="337"/>
        <v>0.45278306063721074</v>
      </c>
      <c r="AW181" s="5">
        <f t="shared" si="275"/>
        <v>0.61233518676651344</v>
      </c>
      <c r="AX181" s="5"/>
      <c r="AY181" s="5">
        <f t="shared" si="276"/>
        <v>5.7406423759360647</v>
      </c>
      <c r="AZ181" s="5"/>
      <c r="BA181" s="5">
        <f t="shared" si="277"/>
        <v>7.7088100584837366E-2</v>
      </c>
      <c r="BB181" s="5"/>
      <c r="BC181" s="5"/>
      <c r="BD181" s="177">
        <f t="shared" si="278"/>
        <v>0.33505439992215313</v>
      </c>
      <c r="BE181" s="177">
        <f t="shared" si="279"/>
        <v>4589.7626625521234</v>
      </c>
      <c r="BF181" s="177">
        <f t="shared" si="280"/>
        <v>22662.185798554201</v>
      </c>
      <c r="BG181" s="177"/>
      <c r="BH181" s="538">
        <f t="shared" si="281"/>
        <v>3.9291507817517939E-2</v>
      </c>
      <c r="BI181" s="538">
        <f t="shared" si="282"/>
        <v>1049.561065598851</v>
      </c>
      <c r="BJ181" s="538">
        <f t="shared" si="283"/>
        <v>4.3749999999999995E-3</v>
      </c>
      <c r="BK181" s="538">
        <f t="shared" si="284"/>
        <v>8462830.4513776898</v>
      </c>
      <c r="BL181">
        <f t="shared" si="285"/>
        <v>5.7999999999999996E-3</v>
      </c>
      <c r="BM181">
        <f t="shared" si="329"/>
        <v>1.3124999999999999E-5</v>
      </c>
      <c r="BN181">
        <f t="shared" si="330"/>
        <v>8525685.1734583415</v>
      </c>
      <c r="BO181" s="469">
        <f t="shared" si="286"/>
        <v>8463880061.9097967</v>
      </c>
      <c r="BP181" s="177">
        <f t="shared" si="287"/>
        <v>2.1299999999999996E-2</v>
      </c>
      <c r="BQ181" s="177">
        <f t="shared" si="288"/>
        <v>0.1065</v>
      </c>
      <c r="BR181" s="538"/>
      <c r="BT181" s="469">
        <f t="shared" si="289"/>
        <v>127.8</v>
      </c>
      <c r="BU181" s="538">
        <f t="shared" si="290"/>
        <v>1.1226145090719413E-2</v>
      </c>
      <c r="BV181" s="538">
        <f t="shared" si="291"/>
        <v>631977.63895672665</v>
      </c>
      <c r="BW181" s="538">
        <f t="shared" si="292"/>
        <v>25678733.25840959</v>
      </c>
      <c r="BX181" s="538">
        <f t="shared" si="293"/>
        <v>0</v>
      </c>
      <c r="BY181" s="538">
        <f t="shared" si="274"/>
        <v>-14.000006651286762</v>
      </c>
      <c r="BZ181" s="538">
        <f t="shared" si="250"/>
        <v>26310710.908592463</v>
      </c>
      <c r="CA181" s="641">
        <f t="shared" si="331"/>
        <v>1.3016666666666666E-2</v>
      </c>
      <c r="CB181" s="469">
        <f t="shared" si="294"/>
        <v>52621407830.194946</v>
      </c>
      <c r="CC181" s="177">
        <f t="shared" si="251"/>
        <v>8525671.3142683562</v>
      </c>
      <c r="CD181" s="5">
        <f t="shared" si="295"/>
        <v>3.9049999999999998</v>
      </c>
      <c r="CE181" s="177">
        <f t="shared" si="296"/>
        <v>4.580282381827716E-7</v>
      </c>
      <c r="CF181" s="5">
        <f t="shared" si="297"/>
        <v>4.5802823818277159E-5</v>
      </c>
      <c r="CG181">
        <f t="shared" si="298"/>
        <v>70.999999999999986</v>
      </c>
      <c r="CI181" s="571">
        <f t="shared" si="332"/>
        <v>-50</v>
      </c>
      <c r="CJ181">
        <f t="shared" si="333"/>
        <v>-50</v>
      </c>
    </row>
    <row r="182" spans="5:88" x14ac:dyDescent="0.25">
      <c r="E182" s="174">
        <v>72</v>
      </c>
      <c r="F182" s="221">
        <f t="shared" si="334"/>
        <v>7.1999999999999995E-2</v>
      </c>
      <c r="G182" s="221">
        <f t="shared" si="299"/>
        <v>0.36</v>
      </c>
      <c r="H182" s="221">
        <f t="shared" si="300"/>
        <v>1.0799999999999998</v>
      </c>
      <c r="I182" s="221">
        <f t="shared" si="301"/>
        <v>2.88</v>
      </c>
      <c r="J182" s="551">
        <f t="shared" si="302"/>
        <v>20</v>
      </c>
      <c r="K182" s="451">
        <f t="shared" si="303"/>
        <v>695386.58000000007</v>
      </c>
      <c r="L182" s="451">
        <f t="shared" si="304"/>
        <v>695406.58000000007</v>
      </c>
      <c r="M182" s="451"/>
      <c r="N182" s="221">
        <f t="shared" si="305"/>
        <v>0.9999712398464794</v>
      </c>
      <c r="O182" s="176">
        <f t="shared" si="306"/>
        <v>1.8408561460810189</v>
      </c>
      <c r="P182" s="176">
        <f t="shared" si="307"/>
        <v>4.908949722882717</v>
      </c>
      <c r="Q182" s="221">
        <f t="shared" si="308"/>
        <v>0.12272374307206793</v>
      </c>
      <c r="R182" s="221">
        <f t="shared" si="309"/>
        <v>0.23010701826012736</v>
      </c>
      <c r="S182" s="221">
        <f t="shared" si="310"/>
        <v>15</v>
      </c>
      <c r="T182" s="221">
        <f t="shared" si="311"/>
        <v>0.44001265483150392</v>
      </c>
      <c r="U182" s="221">
        <f t="shared" si="312"/>
        <v>0.66001898224725597</v>
      </c>
      <c r="V182" s="221">
        <f t="shared" si="313"/>
        <v>1.8982793203954436E-5</v>
      </c>
      <c r="W182" s="201">
        <f t="shared" si="314"/>
        <v>350</v>
      </c>
      <c r="X182" s="451">
        <f t="shared" si="315"/>
        <v>350</v>
      </c>
      <c r="Z182" s="221">
        <f t="shared" si="316"/>
        <v>1.9047071235171036</v>
      </c>
      <c r="AA182" s="177">
        <f t="shared" si="317"/>
        <v>8.2171867201568798E-5</v>
      </c>
      <c r="AB182" s="177">
        <f t="shared" si="318"/>
        <v>0.34129476953431226</v>
      </c>
      <c r="AC182" s="177"/>
      <c r="AD182" s="177">
        <f t="shared" si="319"/>
        <v>6.4712206554230591E-6</v>
      </c>
      <c r="AE182" s="555">
        <f t="shared" si="320"/>
        <v>11905.422222222223</v>
      </c>
      <c r="AF182" s="538">
        <f t="shared" si="321"/>
        <v>2.1166825946720815E-3</v>
      </c>
      <c r="AH182" s="177">
        <f t="shared" si="322"/>
        <v>0.86849623734689507</v>
      </c>
      <c r="AI182" s="177">
        <f t="shared" si="323"/>
        <v>0.86849623734689507</v>
      </c>
      <c r="AJ182" s="177">
        <f t="shared" si="324"/>
        <v>1.7322194350717739</v>
      </c>
      <c r="AL182" s="555">
        <f t="shared" si="325"/>
        <v>72</v>
      </c>
      <c r="AM182" s="469">
        <f t="shared" si="326"/>
        <v>350</v>
      </c>
      <c r="AO182">
        <f t="shared" si="327"/>
        <v>72</v>
      </c>
      <c r="AP182">
        <f t="shared" si="328"/>
        <v>350</v>
      </c>
      <c r="AR182" s="5">
        <f t="shared" si="249"/>
        <v>2.8571428571428572</v>
      </c>
      <c r="AS182" s="5">
        <f t="shared" si="335"/>
        <v>1.3027443560203427</v>
      </c>
      <c r="AT182" s="5">
        <f t="shared" si="336"/>
        <v>1.5543985011225145</v>
      </c>
      <c r="AU182" s="177">
        <f t="shared" si="337"/>
        <v>0.45596052460711994</v>
      </c>
      <c r="AW182" s="5">
        <f t="shared" si="275"/>
        <v>0.6253172908897644</v>
      </c>
      <c r="AX182" s="5"/>
      <c r="AY182" s="5">
        <f t="shared" si="276"/>
        <v>5.862349602091542</v>
      </c>
      <c r="AZ182" s="5"/>
      <c r="BA182" s="5">
        <f t="shared" si="277"/>
        <v>7.7719925056125697E-2</v>
      </c>
      <c r="BB182" s="5"/>
      <c r="BC182" s="5"/>
      <c r="BD182" s="177">
        <f t="shared" si="278"/>
        <v>0.33858751207005577</v>
      </c>
      <c r="BE182" s="177">
        <f t="shared" si="279"/>
        <v>4608.5334360547004</v>
      </c>
      <c r="BF182" s="177">
        <f t="shared" si="280"/>
        <v>22754.867444201962</v>
      </c>
      <c r="BG182" s="177"/>
      <c r="BH182" s="538">
        <f t="shared" si="281"/>
        <v>4.0124526165426555E-2</v>
      </c>
      <c r="BI182" s="538">
        <f t="shared" si="282"/>
        <v>1056.9264967734771</v>
      </c>
      <c r="BJ182" s="538">
        <f t="shared" si="283"/>
        <v>4.3749999999999995E-3</v>
      </c>
      <c r="BK182" s="538">
        <f t="shared" si="284"/>
        <v>8462830.4513776898</v>
      </c>
      <c r="BL182">
        <f t="shared" si="285"/>
        <v>5.7999999999999996E-3</v>
      </c>
      <c r="BM182">
        <f t="shared" si="329"/>
        <v>1.3124999999999999E-5</v>
      </c>
      <c r="BN182">
        <f t="shared" si="330"/>
        <v>8527012.6960787009</v>
      </c>
      <c r="BO182" s="469">
        <f t="shared" si="286"/>
        <v>8463887428.1739893</v>
      </c>
      <c r="BP182" s="177">
        <f t="shared" si="287"/>
        <v>2.1599999999999998E-2</v>
      </c>
      <c r="BQ182" s="177">
        <f t="shared" si="288"/>
        <v>0.108</v>
      </c>
      <c r="BR182" s="538"/>
      <c r="BT182" s="469">
        <f t="shared" si="289"/>
        <v>129.6</v>
      </c>
      <c r="BU182" s="538">
        <f t="shared" si="290"/>
        <v>1.1464150332979017E-2</v>
      </c>
      <c r="BV182" s="538">
        <f t="shared" si="291"/>
        <v>637157.41293702426</v>
      </c>
      <c r="BW182" s="538">
        <f t="shared" si="292"/>
        <v>25889199.620160118</v>
      </c>
      <c r="BX182" s="538">
        <f t="shared" si="293"/>
        <v>0</v>
      </c>
      <c r="BY182" s="538">
        <f t="shared" si="274"/>
        <v>-14.000006597215073</v>
      </c>
      <c r="BZ182" s="538">
        <f t="shared" si="250"/>
        <v>26526357.044561293</v>
      </c>
      <c r="CA182" s="641">
        <f t="shared" si="331"/>
        <v>1.3200000000000002E-2</v>
      </c>
      <c r="CB182" s="469">
        <f t="shared" si="294"/>
        <v>53052700102.315994</v>
      </c>
      <c r="CC182" s="177">
        <f t="shared" si="251"/>
        <v>8526998.838872103</v>
      </c>
      <c r="CD182" s="5">
        <f t="shared" si="295"/>
        <v>3.96</v>
      </c>
      <c r="CE182" s="177">
        <f t="shared" si="296"/>
        <v>4.6440702476652206E-7</v>
      </c>
      <c r="CF182" s="5">
        <f t="shared" si="297"/>
        <v>4.6440702476652209E-5</v>
      </c>
      <c r="CG182">
        <f t="shared" si="298"/>
        <v>71.999999999999986</v>
      </c>
      <c r="CI182" s="571">
        <f t="shared" si="332"/>
        <v>-50</v>
      </c>
      <c r="CJ182">
        <f t="shared" si="333"/>
        <v>-50</v>
      </c>
    </row>
    <row r="183" spans="5:88" x14ac:dyDescent="0.25">
      <c r="E183" s="174">
        <v>73</v>
      </c>
      <c r="F183" s="221">
        <f t="shared" si="334"/>
        <v>7.2999999999999995E-2</v>
      </c>
      <c r="G183" s="221">
        <f t="shared" si="299"/>
        <v>0.36499999999999999</v>
      </c>
      <c r="H183" s="221">
        <f t="shared" si="300"/>
        <v>1.095</v>
      </c>
      <c r="I183" s="221">
        <f t="shared" si="301"/>
        <v>2.92</v>
      </c>
      <c r="J183" s="551">
        <f t="shared" si="302"/>
        <v>20</v>
      </c>
      <c r="K183" s="451">
        <f t="shared" si="303"/>
        <v>695386.58000000007</v>
      </c>
      <c r="L183" s="451">
        <f t="shared" si="304"/>
        <v>695406.58000000007</v>
      </c>
      <c r="M183" s="451"/>
      <c r="N183" s="221">
        <f t="shared" si="305"/>
        <v>0.9999712398464794</v>
      </c>
      <c r="O183" s="176">
        <f t="shared" si="306"/>
        <v>1.8408561460810189</v>
      </c>
      <c r="P183" s="176">
        <f t="shared" si="307"/>
        <v>4.908949722882717</v>
      </c>
      <c r="Q183" s="221">
        <f t="shared" si="308"/>
        <v>0.12272374307206793</v>
      </c>
      <c r="R183" s="221">
        <f t="shared" si="309"/>
        <v>0.23010701826012736</v>
      </c>
      <c r="S183" s="221">
        <f t="shared" si="310"/>
        <v>15</v>
      </c>
      <c r="T183" s="221">
        <f t="shared" si="311"/>
        <v>0.4461239417041637</v>
      </c>
      <c r="U183" s="221">
        <f t="shared" si="312"/>
        <v>0.66918591255624549</v>
      </c>
      <c r="V183" s="221">
        <f t="shared" si="313"/>
        <v>1.9246443109564911E-5</v>
      </c>
      <c r="W183" s="201">
        <f t="shared" si="314"/>
        <v>350</v>
      </c>
      <c r="X183" s="451">
        <f t="shared" si="315"/>
        <v>350</v>
      </c>
      <c r="Z183" s="221">
        <f t="shared" si="316"/>
        <v>1.9047071235171036</v>
      </c>
      <c r="AA183" s="177">
        <f t="shared" si="317"/>
        <v>8.2171867201568798E-5</v>
      </c>
      <c r="AB183" s="177">
        <f t="shared" si="318"/>
        <v>0.34129476953431226</v>
      </c>
      <c r="AC183" s="177"/>
      <c r="AD183" s="177">
        <f t="shared" si="319"/>
        <v>6.4712206554230591E-6</v>
      </c>
      <c r="AE183" s="555">
        <f t="shared" si="320"/>
        <v>12070.775308641976</v>
      </c>
      <c r="AF183" s="538">
        <f t="shared" si="321"/>
        <v>2.1166825946720815E-3</v>
      </c>
      <c r="AH183" s="177">
        <f t="shared" si="322"/>
        <v>0.87450666364636964</v>
      </c>
      <c r="AI183" s="177">
        <f t="shared" si="323"/>
        <v>0.87450666364636964</v>
      </c>
      <c r="AJ183" s="177">
        <f t="shared" si="324"/>
        <v>1.7366716027010143</v>
      </c>
      <c r="AL183" s="555">
        <f t="shared" si="325"/>
        <v>73</v>
      </c>
      <c r="AM183" s="469">
        <f t="shared" si="326"/>
        <v>350</v>
      </c>
      <c r="AO183">
        <f t="shared" si="327"/>
        <v>73</v>
      </c>
      <c r="AP183">
        <f t="shared" si="328"/>
        <v>350</v>
      </c>
      <c r="AR183" s="5">
        <f t="shared" si="249"/>
        <v>2.8571428571428572</v>
      </c>
      <c r="AS183" s="5">
        <f t="shared" si="335"/>
        <v>1.3117599954695545</v>
      </c>
      <c r="AT183" s="5">
        <f t="shared" si="336"/>
        <v>1.5453828616733027</v>
      </c>
      <c r="AU183" s="177">
        <f t="shared" si="337"/>
        <v>0.45911599841434403</v>
      </c>
      <c r="AW183" s="5">
        <f t="shared" si="275"/>
        <v>0.63838986446184987</v>
      </c>
      <c r="AX183" s="5"/>
      <c r="AY183" s="5">
        <f t="shared" si="276"/>
        <v>5.9849049793298423</v>
      </c>
      <c r="AZ183" s="5"/>
      <c r="BA183" s="5">
        <f t="shared" si="277"/>
        <v>7.8342325626493806E-2</v>
      </c>
      <c r="BB183" s="5"/>
      <c r="BC183" s="5"/>
      <c r="BD183" s="177">
        <f t="shared" si="278"/>
        <v>0.34210837729878202</v>
      </c>
      <c r="BE183" s="177">
        <f t="shared" si="279"/>
        <v>4626.9497822706062</v>
      </c>
      <c r="BF183" s="177">
        <f t="shared" si="280"/>
        <v>22845.799087156087</v>
      </c>
      <c r="BG183" s="177"/>
      <c r="BH183" s="538">
        <f t="shared" si="281"/>
        <v>4.0963349636302021E-2</v>
      </c>
      <c r="BI183" s="538">
        <f t="shared" si="282"/>
        <v>1064.2409542686814</v>
      </c>
      <c r="BJ183" s="538">
        <f t="shared" si="283"/>
        <v>4.3749999999999995E-3</v>
      </c>
      <c r="BK183" s="538">
        <f t="shared" si="284"/>
        <v>8462830.4513776898</v>
      </c>
      <c r="BL183">
        <f t="shared" si="285"/>
        <v>5.7999999999999996E-3</v>
      </c>
      <c r="BM183">
        <f t="shared" si="329"/>
        <v>1.3124999999999999E-5</v>
      </c>
      <c r="BN183">
        <f t="shared" si="330"/>
        <v>8528349.7823078781</v>
      </c>
      <c r="BO183" s="469">
        <f t="shared" si="286"/>
        <v>8463894743.4703074</v>
      </c>
      <c r="BP183" s="177">
        <f t="shared" si="287"/>
        <v>2.1899999999999999E-2</v>
      </c>
      <c r="BQ183" s="177">
        <f t="shared" si="288"/>
        <v>0.1095</v>
      </c>
      <c r="BR183" s="538"/>
      <c r="BT183" s="469">
        <f t="shared" si="289"/>
        <v>131.39999999999998</v>
      </c>
      <c r="BU183" s="538">
        <f t="shared" si="290"/>
        <v>1.170381418180058E-2</v>
      </c>
      <c r="BV183" s="538">
        <f t="shared" si="291"/>
        <v>642259.92862962023</v>
      </c>
      <c r="BW183" s="538">
        <f t="shared" si="292"/>
        <v>26096526.796535097</v>
      </c>
      <c r="BX183" s="538">
        <f t="shared" si="293"/>
        <v>0</v>
      </c>
      <c r="BY183" s="538">
        <f t="shared" si="274"/>
        <v>-14.000006544802632</v>
      </c>
      <c r="BZ183" s="538">
        <f t="shared" si="250"/>
        <v>26738786.736868531</v>
      </c>
      <c r="CA183" s="641">
        <f t="shared" si="331"/>
        <v>1.338333333333333E-2</v>
      </c>
      <c r="CB183" s="469">
        <f t="shared" si="294"/>
        <v>53477559487.113853</v>
      </c>
      <c r="CC183" s="177">
        <f t="shared" si="251"/>
        <v>8528335.9270846657</v>
      </c>
      <c r="CD183" s="5">
        <f t="shared" si="295"/>
        <v>4.0149999999999997</v>
      </c>
      <c r="CE183" s="177">
        <f t="shared" si="296"/>
        <v>4.707832974841026E-7</v>
      </c>
      <c r="CF183" s="5">
        <f t="shared" si="297"/>
        <v>4.7078329748410257E-5</v>
      </c>
      <c r="CG183">
        <f t="shared" si="298"/>
        <v>72.999999999999986</v>
      </c>
      <c r="CI183" s="571">
        <f t="shared" si="332"/>
        <v>-50</v>
      </c>
      <c r="CJ183">
        <f t="shared" si="333"/>
        <v>-50</v>
      </c>
    </row>
    <row r="184" spans="5:88" x14ac:dyDescent="0.25">
      <c r="E184" s="174">
        <v>74</v>
      </c>
      <c r="F184" s="221">
        <f t="shared" si="334"/>
        <v>7.3999999999999996E-2</v>
      </c>
      <c r="G184" s="221">
        <f t="shared" si="299"/>
        <v>0.37</v>
      </c>
      <c r="H184" s="221">
        <f t="shared" si="300"/>
        <v>1.1099999999999999</v>
      </c>
      <c r="I184" s="221">
        <f t="shared" si="301"/>
        <v>2.96</v>
      </c>
      <c r="J184" s="551">
        <f t="shared" si="302"/>
        <v>20</v>
      </c>
      <c r="K184" s="451">
        <f t="shared" si="303"/>
        <v>695386.58000000007</v>
      </c>
      <c r="L184" s="451">
        <f t="shared" si="304"/>
        <v>695406.58000000007</v>
      </c>
      <c r="M184" s="451"/>
      <c r="N184" s="221">
        <f t="shared" si="305"/>
        <v>0.9999712398464794</v>
      </c>
      <c r="O184" s="176">
        <f t="shared" si="306"/>
        <v>1.8408561460810189</v>
      </c>
      <c r="P184" s="176">
        <f t="shared" si="307"/>
        <v>4.908949722882717</v>
      </c>
      <c r="Q184" s="221">
        <f t="shared" si="308"/>
        <v>0.12272374307206793</v>
      </c>
      <c r="R184" s="221">
        <f t="shared" si="309"/>
        <v>0.23010701826012736</v>
      </c>
      <c r="S184" s="221">
        <f t="shared" si="310"/>
        <v>15</v>
      </c>
      <c r="T184" s="221">
        <f t="shared" si="311"/>
        <v>0.45223522857682352</v>
      </c>
      <c r="U184" s="221">
        <f t="shared" si="312"/>
        <v>0.67835284286523534</v>
      </c>
      <c r="V184" s="221">
        <f t="shared" si="313"/>
        <v>1.951009301517539E-5</v>
      </c>
      <c r="W184" s="201">
        <f t="shared" si="314"/>
        <v>350</v>
      </c>
      <c r="X184" s="451">
        <f t="shared" si="315"/>
        <v>350</v>
      </c>
      <c r="Z184" s="221">
        <f t="shared" si="316"/>
        <v>1.9047071235171036</v>
      </c>
      <c r="AA184" s="177">
        <f t="shared" si="317"/>
        <v>8.2171867201568798E-5</v>
      </c>
      <c r="AB184" s="177">
        <f t="shared" si="318"/>
        <v>0.34129476953431226</v>
      </c>
      <c r="AC184" s="177"/>
      <c r="AD184" s="177">
        <f t="shared" si="319"/>
        <v>6.4712206554230591E-6</v>
      </c>
      <c r="AE184" s="555">
        <f t="shared" si="320"/>
        <v>12236.128395061731</v>
      </c>
      <c r="AF184" s="538">
        <f t="shared" si="321"/>
        <v>2.1166825946720815E-3</v>
      </c>
      <c r="AH184" s="177">
        <f t="shared" si="322"/>
        <v>0.8804760617064471</v>
      </c>
      <c r="AI184" s="177">
        <f t="shared" si="323"/>
        <v>0.8804760617064471</v>
      </c>
      <c r="AJ184" s="177">
        <f t="shared" si="324"/>
        <v>1.7410933790418126</v>
      </c>
      <c r="AL184" s="555">
        <f t="shared" si="325"/>
        <v>74</v>
      </c>
      <c r="AM184" s="469">
        <f t="shared" si="326"/>
        <v>350</v>
      </c>
      <c r="AO184">
        <f t="shared" si="327"/>
        <v>74</v>
      </c>
      <c r="AP184">
        <f t="shared" si="328"/>
        <v>350</v>
      </c>
      <c r="AR184" s="5">
        <f t="shared" si="249"/>
        <v>2.8571428571428572</v>
      </c>
      <c r="AS184" s="5">
        <f t="shared" si="335"/>
        <v>1.3207140925596708</v>
      </c>
      <c r="AT184" s="5">
        <f t="shared" si="336"/>
        <v>1.5364287645831864</v>
      </c>
      <c r="AU184" s="177">
        <f t="shared" si="337"/>
        <v>0.46224993239588474</v>
      </c>
      <c r="AW184" s="5">
        <f t="shared" si="275"/>
        <v>0.6515522856627709</v>
      </c>
      <c r="AX184" s="5"/>
      <c r="AY184" s="5">
        <f t="shared" si="276"/>
        <v>6.108302678088477</v>
      </c>
      <c r="AZ184" s="5"/>
      <c r="BA184" s="5">
        <f t="shared" si="277"/>
        <v>7.8955367068858182E-2</v>
      </c>
      <c r="BB184" s="5"/>
      <c r="BC184" s="5"/>
      <c r="BD184" s="177">
        <f t="shared" si="278"/>
        <v>0.34561720497033704</v>
      </c>
      <c r="BE184" s="177">
        <f t="shared" si="279"/>
        <v>4645.0178221788519</v>
      </c>
      <c r="BF184" s="177">
        <f t="shared" si="280"/>
        <v>22935.010950060707</v>
      </c>
      <c r="BG184" s="177"/>
      <c r="BH184" s="538">
        <f t="shared" si="281"/>
        <v>4.1807938330027786E-2</v>
      </c>
      <c r="BI184" s="538">
        <f t="shared" si="282"/>
        <v>1071.5054819755114</v>
      </c>
      <c r="BJ184" s="538">
        <f t="shared" si="283"/>
        <v>4.3749999999999995E-3</v>
      </c>
      <c r="BK184" s="538">
        <f t="shared" si="284"/>
        <v>8462830.4513776898</v>
      </c>
      <c r="BL184">
        <f t="shared" si="285"/>
        <v>5.7999999999999996E-3</v>
      </c>
      <c r="BM184">
        <f t="shared" si="329"/>
        <v>1.3124999999999999E-5</v>
      </c>
      <c r="BN184">
        <f t="shared" si="330"/>
        <v>8529696.3787221741</v>
      </c>
      <c r="BO184" s="469">
        <f t="shared" si="286"/>
        <v>8463902008.8426027</v>
      </c>
      <c r="BP184" s="177">
        <f t="shared" si="287"/>
        <v>2.2199999999999998E-2</v>
      </c>
      <c r="BQ184" s="177">
        <f t="shared" si="288"/>
        <v>0.111</v>
      </c>
      <c r="BR184" s="538"/>
      <c r="BT184" s="469">
        <f t="shared" si="289"/>
        <v>133.19999999999999</v>
      </c>
      <c r="BU184" s="538">
        <f t="shared" si="290"/>
        <v>1.1945125237150798E-2</v>
      </c>
      <c r="BV184" s="538">
        <f t="shared" si="291"/>
        <v>647285.71705077484</v>
      </c>
      <c r="BW184" s="538">
        <f t="shared" si="292"/>
        <v>26300736.363970228</v>
      </c>
      <c r="BX184" s="538">
        <f t="shared" si="293"/>
        <v>0</v>
      </c>
      <c r="BY184" s="538">
        <f t="shared" si="274"/>
        <v>-14.00000649398611</v>
      </c>
      <c r="BZ184" s="538">
        <f t="shared" si="250"/>
        <v>26948022.092966128</v>
      </c>
      <c r="CA184" s="641">
        <f t="shared" si="331"/>
        <v>1.3566666666666668E-2</v>
      </c>
      <c r="CB184" s="469">
        <f t="shared" si="294"/>
        <v>53896030199.492432</v>
      </c>
      <c r="CC184" s="177">
        <f t="shared" si="251"/>
        <v>8529682.5254823472</v>
      </c>
      <c r="CD184" s="5">
        <f t="shared" si="295"/>
        <v>4.07</v>
      </c>
      <c r="CE184" s="177">
        <f t="shared" si="296"/>
        <v>4.7715703905881254E-7</v>
      </c>
      <c r="CF184" s="5">
        <f t="shared" si="297"/>
        <v>4.7715703905881255E-5</v>
      </c>
      <c r="CG184">
        <f t="shared" si="298"/>
        <v>73.999999999999986</v>
      </c>
      <c r="CI184" s="571">
        <f t="shared" si="332"/>
        <v>-50</v>
      </c>
      <c r="CJ184">
        <f t="shared" si="333"/>
        <v>-50</v>
      </c>
    </row>
    <row r="185" spans="5:88" x14ac:dyDescent="0.25">
      <c r="E185" s="174">
        <v>75</v>
      </c>
      <c r="F185" s="221">
        <f t="shared" si="334"/>
        <v>7.5000000000000011E-2</v>
      </c>
      <c r="G185" s="221">
        <f t="shared" si="299"/>
        <v>0.375</v>
      </c>
      <c r="H185" s="221">
        <f t="shared" si="300"/>
        <v>1.1250000000000002</v>
      </c>
      <c r="I185" s="221">
        <f t="shared" si="301"/>
        <v>3</v>
      </c>
      <c r="J185" s="551">
        <f t="shared" si="302"/>
        <v>20</v>
      </c>
      <c r="K185" s="451">
        <f t="shared" si="303"/>
        <v>695386.58000000007</v>
      </c>
      <c r="L185" s="451">
        <f t="shared" si="304"/>
        <v>695406.58000000007</v>
      </c>
      <c r="M185" s="451"/>
      <c r="N185" s="221">
        <f t="shared" si="305"/>
        <v>0.9999712398464794</v>
      </c>
      <c r="O185" s="176">
        <f t="shared" si="306"/>
        <v>1.8408561460810189</v>
      </c>
      <c r="P185" s="176">
        <f t="shared" si="307"/>
        <v>4.908949722882717</v>
      </c>
      <c r="Q185" s="221">
        <f t="shared" si="308"/>
        <v>0.12272374307206793</v>
      </c>
      <c r="R185" s="221">
        <f t="shared" si="309"/>
        <v>0.23010701826012736</v>
      </c>
      <c r="S185" s="221">
        <f t="shared" si="310"/>
        <v>15</v>
      </c>
      <c r="T185" s="221">
        <f t="shared" si="311"/>
        <v>0.45834651544948324</v>
      </c>
      <c r="U185" s="221">
        <f t="shared" si="312"/>
        <v>0.68751977317422486</v>
      </c>
      <c r="V185" s="221">
        <f t="shared" si="313"/>
        <v>1.9773742920785869E-5</v>
      </c>
      <c r="W185" s="201">
        <f t="shared" si="314"/>
        <v>350</v>
      </c>
      <c r="X185" s="451">
        <f t="shared" si="315"/>
        <v>350</v>
      </c>
      <c r="Z185" s="221">
        <f t="shared" si="316"/>
        <v>1.9047071235171036</v>
      </c>
      <c r="AA185" s="177">
        <f t="shared" si="317"/>
        <v>8.2171867201568798E-5</v>
      </c>
      <c r="AB185" s="177">
        <f t="shared" si="318"/>
        <v>0.34129476953431226</v>
      </c>
      <c r="AC185" s="177"/>
      <c r="AD185" s="177">
        <f t="shared" si="319"/>
        <v>6.4712206554230591E-6</v>
      </c>
      <c r="AE185" s="555">
        <f t="shared" si="320"/>
        <v>12401.481481481487</v>
      </c>
      <c r="AF185" s="538">
        <f t="shared" si="321"/>
        <v>2.1166825946720815E-3</v>
      </c>
      <c r="AH185" s="177">
        <f t="shared" si="322"/>
        <v>0.88640526042791834</v>
      </c>
      <c r="AI185" s="177">
        <f t="shared" si="323"/>
        <v>0.88640526042791834</v>
      </c>
      <c r="AJ185" s="177">
        <f t="shared" si="324"/>
        <v>1.7454853780947541</v>
      </c>
      <c r="AL185" s="555">
        <f t="shared" si="325"/>
        <v>75.000000000000014</v>
      </c>
      <c r="AM185" s="469">
        <f t="shared" si="326"/>
        <v>350</v>
      </c>
      <c r="AO185">
        <f t="shared" si="327"/>
        <v>75.000000000000014</v>
      </c>
      <c r="AP185">
        <f t="shared" si="328"/>
        <v>350</v>
      </c>
      <c r="AR185" s="5">
        <f t="shared" si="249"/>
        <v>2.8571428571428572</v>
      </c>
      <c r="AS185" s="5">
        <f t="shared" si="335"/>
        <v>1.3296078906418776</v>
      </c>
      <c r="AT185" s="5">
        <f t="shared" si="336"/>
        <v>1.5275349665009796</v>
      </c>
      <c r="AU185" s="177">
        <f t="shared" si="337"/>
        <v>0.46536276172465713</v>
      </c>
      <c r="AW185" s="5">
        <f t="shared" si="275"/>
        <v>0.66480394532093889</v>
      </c>
      <c r="AX185" s="5"/>
      <c r="AY185" s="5">
        <f t="shared" si="276"/>
        <v>6.232536987383801</v>
      </c>
      <c r="AZ185" s="5"/>
      <c r="BA185" s="5">
        <f t="shared" si="277"/>
        <v>7.9559112838592697E-2</v>
      </c>
      <c r="BB185" s="5"/>
      <c r="BC185" s="5"/>
      <c r="BD185" s="177">
        <f t="shared" si="278"/>
        <v>0.34911419809116728</v>
      </c>
      <c r="BE185" s="177">
        <f t="shared" si="279"/>
        <v>4662.7434642971448</v>
      </c>
      <c r="BF185" s="177">
        <f t="shared" si="280"/>
        <v>23022.532206521504</v>
      </c>
      <c r="BG185" s="177"/>
      <c r="BH185" s="538">
        <f t="shared" si="281"/>
        <v>4.2658253158093573E-2</v>
      </c>
      <c r="BI185" s="538">
        <f t="shared" si="282"/>
        <v>1078.7210886343291</v>
      </c>
      <c r="BJ185" s="538">
        <f t="shared" si="283"/>
        <v>4.3749999999999995E-3</v>
      </c>
      <c r="BK185" s="538">
        <f t="shared" si="284"/>
        <v>8462830.4513776898</v>
      </c>
      <c r="BL185">
        <f t="shared" si="285"/>
        <v>5.7999999999999996E-3</v>
      </c>
      <c r="BM185">
        <f t="shared" si="329"/>
        <v>1.3124999999999999E-5</v>
      </c>
      <c r="BN185">
        <f t="shared" si="330"/>
        <v>8531052.4331379533</v>
      </c>
      <c r="BO185" s="469">
        <f t="shared" si="286"/>
        <v>8463909225.2995768</v>
      </c>
      <c r="BP185" s="177">
        <f t="shared" si="287"/>
        <v>2.2500000000000003E-2</v>
      </c>
      <c r="BQ185" s="177">
        <f t="shared" si="288"/>
        <v>0.11249999999999999</v>
      </c>
      <c r="BR185" s="538"/>
      <c r="BT185" s="469">
        <f t="shared" si="289"/>
        <v>134.99999999999997</v>
      </c>
      <c r="BU185" s="538">
        <f t="shared" si="290"/>
        <v>1.2188072330883879E-2</v>
      </c>
      <c r="BV185" s="538">
        <f t="shared" si="291"/>
        <v>652235.29841537215</v>
      </c>
      <c r="BW185" s="538">
        <f t="shared" si="292"/>
        <v>26501849.460015997</v>
      </c>
      <c r="BX185" s="538">
        <f t="shared" si="293"/>
        <v>0</v>
      </c>
      <c r="BY185" s="538">
        <f t="shared" si="274"/>
        <v>-14.000006444705543</v>
      </c>
      <c r="BZ185" s="538">
        <f t="shared" si="250"/>
        <v>27154084.770619441</v>
      </c>
      <c r="CA185" s="641">
        <f t="shared" si="331"/>
        <v>1.3750000000000002E-2</v>
      </c>
      <c r="CB185" s="469">
        <f t="shared" si="294"/>
        <v>54308155554.982437</v>
      </c>
      <c r="CC185" s="177">
        <f t="shared" si="251"/>
        <v>8531038.5818815101</v>
      </c>
      <c r="CD185" s="5">
        <f t="shared" si="295"/>
        <v>4.125</v>
      </c>
      <c r="CE185" s="177">
        <f t="shared" si="296"/>
        <v>4.8352823233115402E-7</v>
      </c>
      <c r="CF185" s="5">
        <f t="shared" si="297"/>
        <v>4.8352823233115405E-5</v>
      </c>
      <c r="CG185">
        <f t="shared" si="298"/>
        <v>75.000000000000014</v>
      </c>
      <c r="CI185" s="571">
        <f t="shared" si="332"/>
        <v>-50</v>
      </c>
      <c r="CJ185">
        <f t="shared" si="333"/>
        <v>-50</v>
      </c>
    </row>
    <row r="186" spans="5:88" x14ac:dyDescent="0.25">
      <c r="E186" s="174">
        <v>76</v>
      </c>
      <c r="F186" s="221">
        <f t="shared" si="334"/>
        <v>7.6000000000000012E-2</v>
      </c>
      <c r="G186" s="221">
        <f t="shared" si="299"/>
        <v>0.38</v>
      </c>
      <c r="H186" s="221">
        <f t="shared" si="300"/>
        <v>1.1400000000000001</v>
      </c>
      <c r="I186" s="221">
        <f t="shared" si="301"/>
        <v>3.04</v>
      </c>
      <c r="J186" s="551">
        <f t="shared" si="302"/>
        <v>20</v>
      </c>
      <c r="K186" s="451">
        <f t="shared" si="303"/>
        <v>695386.58000000007</v>
      </c>
      <c r="L186" s="451">
        <f t="shared" si="304"/>
        <v>695406.58000000007</v>
      </c>
      <c r="M186" s="451"/>
      <c r="N186" s="221">
        <f t="shared" si="305"/>
        <v>0.9999712398464794</v>
      </c>
      <c r="O186" s="176">
        <f t="shared" si="306"/>
        <v>1.8408561460810189</v>
      </c>
      <c r="P186" s="176">
        <f t="shared" si="307"/>
        <v>4.908949722882717</v>
      </c>
      <c r="Q186" s="221">
        <f t="shared" si="308"/>
        <v>0.12272374307206793</v>
      </c>
      <c r="R186" s="221">
        <f t="shared" si="309"/>
        <v>0.23010701826012736</v>
      </c>
      <c r="S186" s="221">
        <f t="shared" si="310"/>
        <v>15</v>
      </c>
      <c r="T186" s="221">
        <f t="shared" si="311"/>
        <v>0.46445780232214301</v>
      </c>
      <c r="U186" s="221">
        <f t="shared" si="312"/>
        <v>0.69668670348321449</v>
      </c>
      <c r="V186" s="221">
        <f t="shared" si="313"/>
        <v>2.0037392826396349E-5</v>
      </c>
      <c r="W186" s="201">
        <f t="shared" si="314"/>
        <v>350</v>
      </c>
      <c r="X186" s="451">
        <f t="shared" si="315"/>
        <v>350</v>
      </c>
      <c r="Z186" s="221">
        <f t="shared" si="316"/>
        <v>1.9047071235171036</v>
      </c>
      <c r="AA186" s="177">
        <f t="shared" si="317"/>
        <v>8.2171867201568798E-5</v>
      </c>
      <c r="AB186" s="177">
        <f t="shared" si="318"/>
        <v>0.34129476953431226</v>
      </c>
      <c r="AC186" s="177"/>
      <c r="AD186" s="177">
        <f t="shared" si="319"/>
        <v>6.4712206554230591E-6</v>
      </c>
      <c r="AE186" s="555">
        <f t="shared" si="320"/>
        <v>12566.834567901242</v>
      </c>
      <c r="AF186" s="538">
        <f t="shared" si="321"/>
        <v>2.1166825946720815E-3</v>
      </c>
      <c r="AH186" s="177">
        <f t="shared" si="322"/>
        <v>0.89229506117117785</v>
      </c>
      <c r="AI186" s="177">
        <f t="shared" si="323"/>
        <v>0.89229506117117785</v>
      </c>
      <c r="AJ186" s="177">
        <f t="shared" si="324"/>
        <v>1.7498481934601315</v>
      </c>
      <c r="AL186" s="555">
        <f t="shared" si="325"/>
        <v>76.000000000000014</v>
      </c>
      <c r="AM186" s="469">
        <f t="shared" si="326"/>
        <v>350</v>
      </c>
      <c r="AO186">
        <f t="shared" si="327"/>
        <v>76.000000000000014</v>
      </c>
      <c r="AP186">
        <f t="shared" si="328"/>
        <v>350</v>
      </c>
      <c r="AR186" s="5">
        <f t="shared" si="249"/>
        <v>2.8571428571428572</v>
      </c>
      <c r="AS186" s="5">
        <f t="shared" si="335"/>
        <v>1.3384425917567668</v>
      </c>
      <c r="AT186" s="5">
        <f t="shared" si="336"/>
        <v>1.5187002653860904</v>
      </c>
      <c r="AU186" s="177">
        <f t="shared" si="337"/>
        <v>0.46845490711486837</v>
      </c>
      <c r="AW186" s="5">
        <f t="shared" si="275"/>
        <v>0.67814424649009541</v>
      </c>
      <c r="AX186" s="5"/>
      <c r="AY186" s="5">
        <f t="shared" si="276"/>
        <v>6.3576023108446433</v>
      </c>
      <c r="AZ186" s="5"/>
      <c r="BA186" s="5">
        <f t="shared" si="277"/>
        <v>8.01536251175992E-2</v>
      </c>
      <c r="BB186" s="5"/>
      <c r="BC186" s="5"/>
      <c r="BD186" s="177">
        <f t="shared" si="278"/>
        <v>0.35259955358714051</v>
      </c>
      <c r="BE186" s="177">
        <f t="shared" si="279"/>
        <v>4680.1324144309519</v>
      </c>
      <c r="BF186" s="177">
        <f t="shared" si="280"/>
        <v>23108.391029242201</v>
      </c>
      <c r="BG186" s="177"/>
      <c r="BH186" s="538">
        <f t="shared" si="281"/>
        <v>4.3514255816447765E-2</v>
      </c>
      <c r="BI186" s="538">
        <f t="shared" si="282"/>
        <v>1085.8887494698943</v>
      </c>
      <c r="BJ186" s="538">
        <f t="shared" si="283"/>
        <v>4.3749999999999995E-3</v>
      </c>
      <c r="BK186" s="538">
        <f t="shared" si="284"/>
        <v>8462830.4513776898</v>
      </c>
      <c r="BL186">
        <f t="shared" si="285"/>
        <v>5.7999999999999996E-3</v>
      </c>
      <c r="BM186">
        <f t="shared" si="329"/>
        <v>1.3124999999999999E-5</v>
      </c>
      <c r="BN186">
        <f t="shared" si="330"/>
        <v>8532417.8945709467</v>
      </c>
      <c r="BO186" s="469">
        <f t="shared" si="286"/>
        <v>8463916393.8164148</v>
      </c>
      <c r="BP186" s="177">
        <f t="shared" si="287"/>
        <v>2.2800000000000004E-2</v>
      </c>
      <c r="BQ186" s="177">
        <f t="shared" si="288"/>
        <v>0.11399999999999999</v>
      </c>
      <c r="BR186" s="538"/>
      <c r="BT186" s="469">
        <f t="shared" si="289"/>
        <v>136.80000000000001</v>
      </c>
      <c r="BU186" s="538">
        <f t="shared" si="290"/>
        <v>1.2432644518985077E-2</v>
      </c>
      <c r="BV186" s="538">
        <f t="shared" si="291"/>
        <v>657109.18249821872</v>
      </c>
      <c r="BW186" s="538">
        <f t="shared" si="292"/>
        <v>26699886.798018072</v>
      </c>
      <c r="BX186" s="538">
        <f t="shared" si="293"/>
        <v>0</v>
      </c>
      <c r="BY186" s="538">
        <f t="shared" si="274"/>
        <v>-14.000006396904105</v>
      </c>
      <c r="BZ186" s="538">
        <f t="shared" si="250"/>
        <v>27356995.992948934</v>
      </c>
      <c r="CA186" s="641">
        <f t="shared" si="331"/>
        <v>1.3933333333333331E-2</v>
      </c>
      <c r="CB186" s="469">
        <f t="shared" si="294"/>
        <v>54713977999.824806</v>
      </c>
      <c r="CC186" s="177">
        <f t="shared" si="251"/>
        <v>8532404.0452978835</v>
      </c>
      <c r="CD186" s="5">
        <f t="shared" si="295"/>
        <v>4.18</v>
      </c>
      <c r="CE186" s="177">
        <f t="shared" si="296"/>
        <v>4.898968602564802E-7</v>
      </c>
      <c r="CF186" s="5">
        <f t="shared" si="297"/>
        <v>4.898968602564802E-5</v>
      </c>
      <c r="CG186">
        <f t="shared" si="298"/>
        <v>76.000000000000014</v>
      </c>
      <c r="CI186" s="571">
        <f t="shared" si="332"/>
        <v>-50</v>
      </c>
      <c r="CJ186">
        <f t="shared" si="333"/>
        <v>-50</v>
      </c>
    </row>
    <row r="187" spans="5:88" x14ac:dyDescent="0.25">
      <c r="E187" s="174">
        <v>77</v>
      </c>
      <c r="F187" s="221">
        <f t="shared" si="334"/>
        <v>7.7000000000000013E-2</v>
      </c>
      <c r="G187" s="221">
        <f t="shared" si="299"/>
        <v>0.38500000000000001</v>
      </c>
      <c r="H187" s="221">
        <f t="shared" si="300"/>
        <v>1.1550000000000002</v>
      </c>
      <c r="I187" s="221">
        <f t="shared" si="301"/>
        <v>3.08</v>
      </c>
      <c r="J187" s="551">
        <f t="shared" si="302"/>
        <v>20</v>
      </c>
      <c r="K187" s="451">
        <f t="shared" si="303"/>
        <v>695386.58000000007</v>
      </c>
      <c r="L187" s="451">
        <f t="shared" si="304"/>
        <v>695406.58000000007</v>
      </c>
      <c r="M187" s="451"/>
      <c r="N187" s="221">
        <f t="shared" si="305"/>
        <v>0.9999712398464794</v>
      </c>
      <c r="O187" s="176">
        <f t="shared" si="306"/>
        <v>1.8408561460810189</v>
      </c>
      <c r="P187" s="176">
        <f t="shared" si="307"/>
        <v>4.908949722882717</v>
      </c>
      <c r="Q187" s="221">
        <f t="shared" si="308"/>
        <v>0.12272374307206793</v>
      </c>
      <c r="R187" s="221">
        <f t="shared" si="309"/>
        <v>0.23010701826012736</v>
      </c>
      <c r="S187" s="221">
        <f t="shared" si="310"/>
        <v>15</v>
      </c>
      <c r="T187" s="221">
        <f t="shared" si="311"/>
        <v>0.47056908919480284</v>
      </c>
      <c r="U187" s="221">
        <f t="shared" si="312"/>
        <v>0.70585363379220434</v>
      </c>
      <c r="V187" s="221">
        <f t="shared" si="313"/>
        <v>2.0301042732006828E-5</v>
      </c>
      <c r="W187" s="201">
        <f t="shared" si="314"/>
        <v>350</v>
      </c>
      <c r="X187" s="451">
        <f t="shared" si="315"/>
        <v>350</v>
      </c>
      <c r="Z187" s="221">
        <f t="shared" si="316"/>
        <v>1.9047071235171036</v>
      </c>
      <c r="AA187" s="177">
        <f t="shared" si="317"/>
        <v>8.2171867201568798E-5</v>
      </c>
      <c r="AB187" s="177">
        <f t="shared" si="318"/>
        <v>0.34129476953431226</v>
      </c>
      <c r="AC187" s="177"/>
      <c r="AD187" s="177">
        <f t="shared" si="319"/>
        <v>6.4712206554230591E-6</v>
      </c>
      <c r="AE187" s="555">
        <f t="shared" si="320"/>
        <v>12732.187654320993</v>
      </c>
      <c r="AF187" s="538">
        <f t="shared" si="321"/>
        <v>2.1166825946720815E-3</v>
      </c>
      <c r="AH187" s="177">
        <f t="shared" si="322"/>
        <v>0.89814623902049873</v>
      </c>
      <c r="AI187" s="177">
        <f t="shared" si="323"/>
        <v>0.89814623902049873</v>
      </c>
      <c r="AJ187" s="177">
        <f t="shared" si="324"/>
        <v>1.7541823992744434</v>
      </c>
      <c r="AL187" s="555">
        <f t="shared" si="325"/>
        <v>77.000000000000014</v>
      </c>
      <c r="AM187" s="469">
        <f t="shared" si="326"/>
        <v>350</v>
      </c>
      <c r="AO187">
        <f t="shared" si="327"/>
        <v>77.000000000000014</v>
      </c>
      <c r="AP187">
        <f t="shared" si="328"/>
        <v>350</v>
      </c>
      <c r="AR187" s="5">
        <f t="shared" si="249"/>
        <v>2.8571428571428572</v>
      </c>
      <c r="AS187" s="5">
        <f t="shared" si="335"/>
        <v>1.3472193585307481</v>
      </c>
      <c r="AT187" s="5">
        <f t="shared" si="336"/>
        <v>1.5099234986121091</v>
      </c>
      <c r="AU187" s="177">
        <f t="shared" si="337"/>
        <v>0.47152677548576183</v>
      </c>
      <c r="AW187" s="5">
        <f t="shared" si="275"/>
        <v>0.69157260404578424</v>
      </c>
      <c r="AX187" s="5"/>
      <c r="AY187" s="5">
        <f t="shared" si="276"/>
        <v>6.4834931629292258</v>
      </c>
      <c r="AZ187" s="5"/>
      <c r="BA187" s="5">
        <f t="shared" si="277"/>
        <v>8.0738964856341938E-2</v>
      </c>
      <c r="BB187" s="5"/>
      <c r="BC187" s="5"/>
      <c r="BD187" s="177">
        <f t="shared" si="278"/>
        <v>0.35607346256317263</v>
      </c>
      <c r="BE187" s="177">
        <f t="shared" si="279"/>
        <v>4697.1901848468415</v>
      </c>
      <c r="BF187" s="177">
        <f t="shared" si="280"/>
        <v>23192.614635318387</v>
      </c>
      <c r="BG187" s="177"/>
      <c r="BH187" s="538">
        <f t="shared" si="281"/>
        <v>4.4375908759604489E-2</v>
      </c>
      <c r="BI187" s="538">
        <f t="shared" si="282"/>
        <v>1093.0094077299384</v>
      </c>
      <c r="BJ187" s="538">
        <f t="shared" si="283"/>
        <v>4.3749999999999995E-3</v>
      </c>
      <c r="BK187" s="538">
        <f t="shared" si="284"/>
        <v>8462830.4513776898</v>
      </c>
      <c r="BL187">
        <f t="shared" si="285"/>
        <v>5.7999999999999996E-3</v>
      </c>
      <c r="BM187">
        <f t="shared" si="329"/>
        <v>1.3124999999999999E-5</v>
      </c>
      <c r="BN187">
        <f t="shared" si="330"/>
        <v>8533792.713197425</v>
      </c>
      <c r="BO187" s="469">
        <f t="shared" si="286"/>
        <v>8463923515.3363276</v>
      </c>
      <c r="BP187" s="177">
        <f t="shared" si="287"/>
        <v>2.3100000000000002E-2</v>
      </c>
      <c r="BQ187" s="177">
        <f t="shared" si="288"/>
        <v>0.11549999999999999</v>
      </c>
      <c r="BR187" s="538"/>
      <c r="BT187" s="469">
        <f t="shared" si="289"/>
        <v>138.6</v>
      </c>
      <c r="BU187" s="538">
        <f t="shared" si="290"/>
        <v>1.2678831074172711E-2</v>
      </c>
      <c r="BV187" s="538">
        <f t="shared" si="291"/>
        <v>661907.86897864507</v>
      </c>
      <c r="BW187" s="538">
        <f t="shared" si="292"/>
        <v>26894868.681119233</v>
      </c>
      <c r="BX187" s="538">
        <f t="shared" si="293"/>
        <v>0</v>
      </c>
      <c r="BY187" s="538">
        <f t="shared" si="274"/>
        <v>-14.000006350527935</v>
      </c>
      <c r="BZ187" s="538">
        <f t="shared" si="250"/>
        <v>27556776.562776711</v>
      </c>
      <c r="CA187" s="641">
        <f t="shared" si="331"/>
        <v>1.411666666666667E-2</v>
      </c>
      <c r="CB187" s="469">
        <f t="shared" si="294"/>
        <v>55113539139.663734</v>
      </c>
      <c r="CC187" s="177">
        <f t="shared" si="251"/>
        <v>8533778.8659077417</v>
      </c>
      <c r="CD187" s="5">
        <f t="shared" si="295"/>
        <v>4.2350000000000003</v>
      </c>
      <c r="CE187" s="177">
        <f t="shared" si="296"/>
        <v>4.9626290590271999E-7</v>
      </c>
      <c r="CF187" s="5">
        <f t="shared" si="297"/>
        <v>4.9626290590272001E-5</v>
      </c>
      <c r="CG187">
        <f t="shared" si="298"/>
        <v>77.000000000000014</v>
      </c>
      <c r="CI187" s="571">
        <f t="shared" si="332"/>
        <v>-50</v>
      </c>
      <c r="CJ187">
        <f t="shared" si="333"/>
        <v>-50</v>
      </c>
    </row>
    <row r="188" spans="5:88" x14ac:dyDescent="0.25">
      <c r="E188" s="174">
        <v>78</v>
      </c>
      <c r="F188" s="221">
        <f t="shared" si="334"/>
        <v>7.8000000000000014E-2</v>
      </c>
      <c r="G188" s="221">
        <f t="shared" si="299"/>
        <v>0.39</v>
      </c>
      <c r="H188" s="221">
        <f t="shared" si="300"/>
        <v>1.1700000000000002</v>
      </c>
      <c r="I188" s="221">
        <f t="shared" si="301"/>
        <v>3.12</v>
      </c>
      <c r="J188" s="551">
        <f t="shared" si="302"/>
        <v>20</v>
      </c>
      <c r="K188" s="451">
        <f t="shared" si="303"/>
        <v>695386.58000000007</v>
      </c>
      <c r="L188" s="451">
        <f t="shared" si="304"/>
        <v>695406.58000000007</v>
      </c>
      <c r="M188" s="451"/>
      <c r="N188" s="221">
        <f t="shared" si="305"/>
        <v>0.9999712398464794</v>
      </c>
      <c r="O188" s="176">
        <f t="shared" si="306"/>
        <v>1.8408561460810189</v>
      </c>
      <c r="P188" s="176">
        <f t="shared" si="307"/>
        <v>4.908949722882717</v>
      </c>
      <c r="Q188" s="221">
        <f t="shared" si="308"/>
        <v>0.12272374307206793</v>
      </c>
      <c r="R188" s="221">
        <f t="shared" si="309"/>
        <v>0.23010701826012736</v>
      </c>
      <c r="S188" s="221">
        <f t="shared" si="310"/>
        <v>15</v>
      </c>
      <c r="T188" s="221">
        <f t="shared" si="311"/>
        <v>0.47668037606746261</v>
      </c>
      <c r="U188" s="221">
        <f t="shared" si="312"/>
        <v>0.71502056410119397</v>
      </c>
      <c r="V188" s="221">
        <f t="shared" si="313"/>
        <v>2.0564692637617303E-5</v>
      </c>
      <c r="W188" s="201">
        <f t="shared" si="314"/>
        <v>350</v>
      </c>
      <c r="X188" s="451">
        <f t="shared" si="315"/>
        <v>350</v>
      </c>
      <c r="Z188" s="221">
        <f t="shared" si="316"/>
        <v>1.9047071235171036</v>
      </c>
      <c r="AA188" s="177">
        <f t="shared" si="317"/>
        <v>8.2171867201568798E-5</v>
      </c>
      <c r="AB188" s="177">
        <f t="shared" si="318"/>
        <v>0.34129476953431226</v>
      </c>
      <c r="AC188" s="177"/>
      <c r="AD188" s="177">
        <f t="shared" si="319"/>
        <v>6.4712206554230591E-6</v>
      </c>
      <c r="AE188" s="555">
        <f t="shared" si="320"/>
        <v>12897.540740740746</v>
      </c>
      <c r="AF188" s="538">
        <f t="shared" si="321"/>
        <v>2.1166825946720815E-3</v>
      </c>
      <c r="AH188" s="177">
        <f t="shared" si="322"/>
        <v>0.90395954397464995</v>
      </c>
      <c r="AI188" s="177">
        <f t="shared" si="323"/>
        <v>0.90395954397464995</v>
      </c>
      <c r="AJ188" s="177">
        <f t="shared" si="324"/>
        <v>1.7584885510923334</v>
      </c>
      <c r="AL188" s="555">
        <f t="shared" si="325"/>
        <v>78.000000000000014</v>
      </c>
      <c r="AM188" s="469">
        <f t="shared" si="326"/>
        <v>350</v>
      </c>
      <c r="AO188">
        <f t="shared" si="327"/>
        <v>78.000000000000014</v>
      </c>
      <c r="AP188">
        <f t="shared" si="328"/>
        <v>350</v>
      </c>
      <c r="AR188" s="5">
        <f t="shared" si="249"/>
        <v>2.8571428571428572</v>
      </c>
      <c r="AS188" s="5">
        <f t="shared" si="335"/>
        <v>1.3559393159619748</v>
      </c>
      <c r="AT188" s="5">
        <f t="shared" si="336"/>
        <v>1.5012035411808824</v>
      </c>
      <c r="AU188" s="177">
        <f t="shared" si="337"/>
        <v>0.47457876058669118</v>
      </c>
      <c r="AW188" s="5">
        <f t="shared" si="275"/>
        <v>0.70508844430022699</v>
      </c>
      <c r="AX188" s="5"/>
      <c r="AY188" s="5">
        <f t="shared" si="276"/>
        <v>6.6102041653146273</v>
      </c>
      <c r="AZ188" s="5"/>
      <c r="BA188" s="5">
        <f t="shared" si="277"/>
        <v>8.131519181396446E-2</v>
      </c>
      <c r="BB188" s="5"/>
      <c r="BC188" s="5"/>
      <c r="BD188" s="177">
        <f t="shared" si="278"/>
        <v>0.35953611054854406</v>
      </c>
      <c r="BE188" s="177">
        <f t="shared" si="279"/>
        <v>4713.9221029110095</v>
      </c>
      <c r="BF188" s="177">
        <f t="shared" si="280"/>
        <v>23275.229328890699</v>
      </c>
      <c r="BG188" s="177"/>
      <c r="BH188" s="538">
        <f t="shared" si="281"/>
        <v>4.5243175175931218E-2</v>
      </c>
      <c r="BI188" s="538">
        <f t="shared" si="282"/>
        <v>1100.0839761340992</v>
      </c>
      <c r="BJ188" s="538">
        <f t="shared" si="283"/>
        <v>4.3749999999999995E-3</v>
      </c>
      <c r="BK188" s="538">
        <f t="shared" si="284"/>
        <v>8462830.4513776898</v>
      </c>
      <c r="BL188">
        <f t="shared" si="285"/>
        <v>5.7999999999999996E-3</v>
      </c>
      <c r="BM188">
        <f t="shared" si="329"/>
        <v>1.3124999999999999E-5</v>
      </c>
      <c r="BN188">
        <f t="shared" si="330"/>
        <v>8535176.8403171226</v>
      </c>
      <c r="BO188" s="469">
        <f t="shared" si="286"/>
        <v>8463930590.7719994</v>
      </c>
      <c r="BP188" s="177">
        <f t="shared" si="287"/>
        <v>2.3400000000000004E-2</v>
      </c>
      <c r="BQ188" s="177">
        <f t="shared" si="288"/>
        <v>0.11699999999999999</v>
      </c>
      <c r="BR188" s="538"/>
      <c r="BT188" s="469">
        <f t="shared" si="289"/>
        <v>140.4</v>
      </c>
      <c r="BU188" s="538">
        <f t="shared" si="290"/>
        <v>1.2926621478837491E-2</v>
      </c>
      <c r="BV188" s="538">
        <f t="shared" si="291"/>
        <v>666631.84776938858</v>
      </c>
      <c r="BW188" s="538">
        <f t="shared" si="292"/>
        <v>27086815.01562269</v>
      </c>
      <c r="BX188" s="538">
        <f t="shared" si="293"/>
        <v>0</v>
      </c>
      <c r="BY188" s="538">
        <f t="shared" si="274"/>
        <v>-14.000006305525927</v>
      </c>
      <c r="BZ188" s="538">
        <f t="shared" si="250"/>
        <v>27753446.876318701</v>
      </c>
      <c r="CA188" s="641">
        <f t="shared" si="331"/>
        <v>1.4299999999999998E-2</v>
      </c>
      <c r="CB188" s="469">
        <f t="shared" si="294"/>
        <v>55506879766.931099</v>
      </c>
      <c r="CC188" s="177">
        <f t="shared" si="251"/>
        <v>8535162.9950108174</v>
      </c>
      <c r="CD188" s="5">
        <f t="shared" si="295"/>
        <v>4.29</v>
      </c>
      <c r="CE188" s="177">
        <f t="shared" si="296"/>
        <v>5.0262635244817736E-7</v>
      </c>
      <c r="CF188" s="5">
        <f t="shared" si="297"/>
        <v>5.0262635244817734E-5</v>
      </c>
      <c r="CG188">
        <f t="shared" si="298"/>
        <v>78.000000000000014</v>
      </c>
      <c r="CI188" s="571">
        <f t="shared" si="332"/>
        <v>-50</v>
      </c>
      <c r="CJ188">
        <f t="shared" si="333"/>
        <v>-50</v>
      </c>
    </row>
    <row r="189" spans="5:88" x14ac:dyDescent="0.25">
      <c r="E189" s="174">
        <v>79</v>
      </c>
      <c r="F189" s="221">
        <f t="shared" si="334"/>
        <v>7.9000000000000015E-2</v>
      </c>
      <c r="G189" s="221">
        <f t="shared" si="299"/>
        <v>0.39500000000000002</v>
      </c>
      <c r="H189" s="221">
        <f t="shared" si="300"/>
        <v>1.1850000000000003</v>
      </c>
      <c r="I189" s="221">
        <f t="shared" si="301"/>
        <v>3.16</v>
      </c>
      <c r="J189" s="551">
        <f t="shared" si="302"/>
        <v>20</v>
      </c>
      <c r="K189" s="451">
        <f t="shared" si="303"/>
        <v>695386.58000000007</v>
      </c>
      <c r="L189" s="451">
        <f t="shared" si="304"/>
        <v>695406.58000000007</v>
      </c>
      <c r="M189" s="451"/>
      <c r="N189" s="221">
        <f t="shared" si="305"/>
        <v>0.9999712398464794</v>
      </c>
      <c r="O189" s="176">
        <f t="shared" si="306"/>
        <v>1.8408561460810189</v>
      </c>
      <c r="P189" s="176">
        <f t="shared" si="307"/>
        <v>4.908949722882717</v>
      </c>
      <c r="Q189" s="221">
        <f t="shared" si="308"/>
        <v>0.12272374307206793</v>
      </c>
      <c r="R189" s="221">
        <f t="shared" si="309"/>
        <v>0.23010701826012736</v>
      </c>
      <c r="S189" s="221">
        <f t="shared" si="310"/>
        <v>15</v>
      </c>
      <c r="T189" s="221">
        <f t="shared" si="311"/>
        <v>0.48279166294012243</v>
      </c>
      <c r="U189" s="221">
        <f t="shared" si="312"/>
        <v>0.72418749441018371</v>
      </c>
      <c r="V189" s="221">
        <f t="shared" si="313"/>
        <v>2.0828342543227786E-5</v>
      </c>
      <c r="W189" s="201">
        <f t="shared" si="314"/>
        <v>350</v>
      </c>
      <c r="X189" s="451">
        <f t="shared" si="315"/>
        <v>350</v>
      </c>
      <c r="Z189" s="221">
        <f t="shared" si="316"/>
        <v>1.9047071235171036</v>
      </c>
      <c r="AA189" s="177">
        <f t="shared" si="317"/>
        <v>8.2171867201568798E-5</v>
      </c>
      <c r="AB189" s="177">
        <f t="shared" si="318"/>
        <v>0.34129476953431226</v>
      </c>
      <c r="AC189" s="177"/>
      <c r="AD189" s="177">
        <f t="shared" si="319"/>
        <v>6.4712206554230591E-6</v>
      </c>
      <c r="AE189" s="555">
        <f t="shared" si="320"/>
        <v>13062.8938271605</v>
      </c>
      <c r="AF189" s="538">
        <f t="shared" si="321"/>
        <v>2.1166825946720815E-3</v>
      </c>
      <c r="AH189" s="177">
        <f t="shared" si="322"/>
        <v>0.9097357020690392</v>
      </c>
      <c r="AI189" s="177">
        <f t="shared" si="323"/>
        <v>0.9097357020690392</v>
      </c>
      <c r="AJ189" s="177">
        <f t="shared" si="324"/>
        <v>1.7627671867178067</v>
      </c>
      <c r="AL189" s="555">
        <f t="shared" si="325"/>
        <v>79.000000000000014</v>
      </c>
      <c r="AM189" s="469">
        <f t="shared" si="326"/>
        <v>350</v>
      </c>
      <c r="AO189">
        <f t="shared" si="327"/>
        <v>79.000000000000014</v>
      </c>
      <c r="AP189">
        <f t="shared" si="328"/>
        <v>350</v>
      </c>
      <c r="AR189" s="5">
        <f t="shared" si="249"/>
        <v>2.8571428571428572</v>
      </c>
      <c r="AS189" s="5">
        <f t="shared" si="335"/>
        <v>1.3646035531035587</v>
      </c>
      <c r="AT189" s="5">
        <f t="shared" si="336"/>
        <v>1.4925393040392985</v>
      </c>
      <c r="AU189" s="177">
        <f t="shared" si="337"/>
        <v>0.47761124358624557</v>
      </c>
      <c r="AW189" s="5">
        <f t="shared" si="275"/>
        <v>0.71869120463454117</v>
      </c>
      <c r="AX189" s="5"/>
      <c r="AY189" s="5">
        <f t="shared" si="276"/>
        <v>6.7377300434488205</v>
      </c>
      <c r="AZ189" s="5"/>
      <c r="BA189" s="5">
        <f t="shared" si="277"/>
        <v>8.1882364596600393E-2</v>
      </c>
      <c r="BB189" s="5"/>
      <c r="BC189" s="5"/>
      <c r="BD189" s="177">
        <f t="shared" si="278"/>
        <v>0.36298767772887164</v>
      </c>
      <c r="BE189" s="177">
        <f t="shared" si="279"/>
        <v>4730.333319230519</v>
      </c>
      <c r="BF189" s="177">
        <f t="shared" si="280"/>
        <v>23356.260541342584</v>
      </c>
      <c r="BG189" s="177"/>
      <c r="BH189" s="538">
        <f t="shared" si="281"/>
        <v>4.611601896404971E-2</v>
      </c>
      <c r="BI189" s="538">
        <f t="shared" si="282"/>
        <v>1107.1133382395267</v>
      </c>
      <c r="BJ189" s="538">
        <f t="shared" si="283"/>
        <v>4.3749999999999995E-3</v>
      </c>
      <c r="BK189" s="538">
        <f t="shared" si="284"/>
        <v>8462830.4513776898</v>
      </c>
      <c r="BL189">
        <f t="shared" si="285"/>
        <v>5.7999999999999996E-3</v>
      </c>
      <c r="BM189">
        <f t="shared" si="329"/>
        <v>1.3124999999999999E-5</v>
      </c>
      <c r="BN189">
        <f t="shared" si="330"/>
        <v>8536570.2283178195</v>
      </c>
      <c r="BO189" s="469">
        <f t="shared" si="286"/>
        <v>8463937621.0069466</v>
      </c>
      <c r="BP189" s="177">
        <f t="shared" si="287"/>
        <v>2.3700000000000002E-2</v>
      </c>
      <c r="BQ189" s="177">
        <f t="shared" si="288"/>
        <v>0.11849999999999999</v>
      </c>
      <c r="BR189" s="538"/>
      <c r="BT189" s="469">
        <f t="shared" si="289"/>
        <v>142.19999999999999</v>
      </c>
      <c r="BU189" s="538">
        <f t="shared" si="290"/>
        <v>1.317600541829992E-2</v>
      </c>
      <c r="BV189" s="538">
        <f t="shared" si="291"/>
        <v>671281.59933067253</v>
      </c>
      <c r="BW189" s="538">
        <f t="shared" si="292"/>
        <v>27275745.32375383</v>
      </c>
      <c r="BX189" s="538">
        <f t="shared" si="293"/>
        <v>0</v>
      </c>
      <c r="BY189" s="538">
        <f t="shared" si="274"/>
        <v>-14.00000626184956</v>
      </c>
      <c r="BZ189" s="538">
        <f t="shared" si="250"/>
        <v>27947026.936260507</v>
      </c>
      <c r="CA189" s="641">
        <f t="shared" si="331"/>
        <v>1.4483333333333336E-2</v>
      </c>
      <c r="CB189" s="469">
        <f t="shared" si="294"/>
        <v>55894039886.998085</v>
      </c>
      <c r="CC189" s="177">
        <f t="shared" si="251"/>
        <v>8536556.3849948905</v>
      </c>
      <c r="CD189" s="5">
        <f t="shared" si="295"/>
        <v>4.3450000000000006</v>
      </c>
      <c r="CE189" s="177">
        <f t="shared" si="296"/>
        <v>5.0898718317940211E-7</v>
      </c>
      <c r="CF189" s="5">
        <f t="shared" si="297"/>
        <v>5.089871831794021E-5</v>
      </c>
      <c r="CG189">
        <f t="shared" si="298"/>
        <v>79.000000000000014</v>
      </c>
      <c r="CI189" s="571">
        <f t="shared" si="332"/>
        <v>-50</v>
      </c>
      <c r="CJ189">
        <f t="shared" si="333"/>
        <v>-50</v>
      </c>
    </row>
    <row r="190" spans="5:88" x14ac:dyDescent="0.25">
      <c r="E190" s="174">
        <v>80</v>
      </c>
      <c r="F190" s="221">
        <f t="shared" si="334"/>
        <v>8.0000000000000016E-2</v>
      </c>
      <c r="G190" s="221">
        <f t="shared" si="299"/>
        <v>0.4</v>
      </c>
      <c r="H190" s="221">
        <f t="shared" si="300"/>
        <v>1.2000000000000002</v>
      </c>
      <c r="I190" s="221">
        <f t="shared" si="301"/>
        <v>3.2</v>
      </c>
      <c r="J190" s="551">
        <f t="shared" si="302"/>
        <v>20</v>
      </c>
      <c r="K190" s="451">
        <f t="shared" si="303"/>
        <v>695386.58000000007</v>
      </c>
      <c r="L190" s="451">
        <f t="shared" si="304"/>
        <v>695406.58000000007</v>
      </c>
      <c r="M190" s="451"/>
      <c r="N190" s="221">
        <f t="shared" si="305"/>
        <v>0.9999712398464794</v>
      </c>
      <c r="O190" s="176">
        <f t="shared" si="306"/>
        <v>1.8408561460810189</v>
      </c>
      <c r="P190" s="176">
        <f t="shared" si="307"/>
        <v>4.908949722882717</v>
      </c>
      <c r="Q190" s="221">
        <f t="shared" si="308"/>
        <v>0.12272374307206793</v>
      </c>
      <c r="R190" s="221">
        <f t="shared" si="309"/>
        <v>0.23010701826012736</v>
      </c>
      <c r="S190" s="221">
        <f t="shared" si="310"/>
        <v>15</v>
      </c>
      <c r="T190" s="221">
        <f t="shared" si="311"/>
        <v>0.48890294981278221</v>
      </c>
      <c r="U190" s="221">
        <f t="shared" si="312"/>
        <v>0.73335442471917334</v>
      </c>
      <c r="V190" s="221">
        <f t="shared" si="313"/>
        <v>2.1091992448838265E-5</v>
      </c>
      <c r="W190" s="201">
        <f t="shared" si="314"/>
        <v>350</v>
      </c>
      <c r="X190" s="451">
        <f t="shared" si="315"/>
        <v>350</v>
      </c>
      <c r="Z190" s="221">
        <f t="shared" si="316"/>
        <v>1.9047071235171036</v>
      </c>
      <c r="AA190" s="177">
        <f t="shared" si="317"/>
        <v>8.2171867201568798E-5</v>
      </c>
      <c r="AB190" s="177">
        <f t="shared" si="318"/>
        <v>0.34129476953431226</v>
      </c>
      <c r="AC190" s="177"/>
      <c r="AD190" s="177">
        <f t="shared" si="319"/>
        <v>6.4712206554230591E-6</v>
      </c>
      <c r="AE190" s="555">
        <f t="shared" si="320"/>
        <v>13228.246913580253</v>
      </c>
      <c r="AF190" s="538">
        <f t="shared" si="321"/>
        <v>2.1166825946720815E-3</v>
      </c>
      <c r="AH190" s="177">
        <f t="shared" si="322"/>
        <v>0.91547541643412689</v>
      </c>
      <c r="AI190" s="177">
        <f t="shared" si="323"/>
        <v>0.91547541643412689</v>
      </c>
      <c r="AJ190" s="177">
        <f t="shared" si="324"/>
        <v>1.7670188269882421</v>
      </c>
      <c r="AL190" s="555">
        <f t="shared" si="325"/>
        <v>80.000000000000014</v>
      </c>
      <c r="AM190" s="469">
        <f t="shared" si="326"/>
        <v>350</v>
      </c>
      <c r="AO190">
        <f t="shared" si="327"/>
        <v>80.000000000000014</v>
      </c>
      <c r="AP190">
        <f t="shared" si="328"/>
        <v>350</v>
      </c>
      <c r="AR190" s="5">
        <f t="shared" si="249"/>
        <v>2.8571428571428572</v>
      </c>
      <c r="AS190" s="5">
        <f t="shared" si="335"/>
        <v>1.3732131246511905</v>
      </c>
      <c r="AT190" s="5">
        <f t="shared" si="336"/>
        <v>1.4839297324916667</v>
      </c>
      <c r="AU190" s="177">
        <f t="shared" si="337"/>
        <v>0.48062459362791665</v>
      </c>
      <c r="AW190" s="5">
        <f t="shared" si="275"/>
        <v>0.73238033314730178</v>
      </c>
      <c r="AX190" s="5"/>
      <c r="AY190" s="5">
        <f t="shared" si="276"/>
        <v>6.8660656232559534</v>
      </c>
      <c r="AZ190" s="5"/>
      <c r="BA190" s="5">
        <f t="shared" si="277"/>
        <v>8.244054069398149E-2</v>
      </c>
      <c r="BB190" s="5"/>
      <c r="BC190" s="5"/>
      <c r="BD190" s="177">
        <f t="shared" si="278"/>
        <v>0.36642833916561629</v>
      </c>
      <c r="BE190" s="177">
        <f t="shared" si="279"/>
        <v>4746.4288153316593</v>
      </c>
      <c r="BF190" s="177">
        <f t="shared" si="280"/>
        <v>23435.732869212607</v>
      </c>
      <c r="BG190" s="177"/>
      <c r="BH190" s="538">
        <f t="shared" si="281"/>
        <v>4.6994404710285174E-2</v>
      </c>
      <c r="BI190" s="538">
        <f t="shared" si="282"/>
        <v>1114.0983497289312</v>
      </c>
      <c r="BJ190" s="538">
        <f t="shared" si="283"/>
        <v>4.3749999999999995E-3</v>
      </c>
      <c r="BK190" s="538">
        <f t="shared" si="284"/>
        <v>8462830.4513776898</v>
      </c>
      <c r="BL190">
        <f t="shared" si="285"/>
        <v>5.7999999999999996E-3</v>
      </c>
      <c r="BM190">
        <f t="shared" si="329"/>
        <v>1.3124999999999999E-5</v>
      </c>
      <c r="BN190">
        <f t="shared" si="330"/>
        <v>8537972.8306414764</v>
      </c>
      <c r="BO190" s="469">
        <f t="shared" si="286"/>
        <v>8463944606.8968229</v>
      </c>
      <c r="BP190" s="177">
        <f t="shared" si="287"/>
        <v>2.4000000000000004E-2</v>
      </c>
      <c r="BQ190" s="177">
        <f t="shared" si="288"/>
        <v>0.12</v>
      </c>
      <c r="BR190" s="538"/>
      <c r="BT190" s="469">
        <f t="shared" si="289"/>
        <v>144</v>
      </c>
      <c r="BU190" s="538">
        <f t="shared" si="290"/>
        <v>1.3426972774367194E-2</v>
      </c>
      <c r="BV190" s="538">
        <f t="shared" si="291"/>
        <v>675857.59497032093</v>
      </c>
      <c r="BW190" s="538">
        <f t="shared" si="292"/>
        <v>27461678.755854607</v>
      </c>
      <c r="BX190" s="538">
        <f t="shared" si="293"/>
        <v>0</v>
      </c>
      <c r="BY190" s="538">
        <f t="shared" si="274"/>
        <v>-14.000006219452747</v>
      </c>
      <c r="BZ190" s="538">
        <f t="shared" si="250"/>
        <v>28137536.3642519</v>
      </c>
      <c r="CA190" s="641">
        <f t="shared" si="331"/>
        <v>1.4666666666666666E-2</v>
      </c>
      <c r="CB190" s="469">
        <f t="shared" si="294"/>
        <v>56275058743.164246</v>
      </c>
      <c r="CC190" s="177">
        <f t="shared" si="251"/>
        <v>8537958.9893019237</v>
      </c>
      <c r="CD190" s="5">
        <f t="shared" si="295"/>
        <v>4.4000000000000004</v>
      </c>
      <c r="CE190" s="177">
        <f t="shared" si="296"/>
        <v>5.1534538148912706E-7</v>
      </c>
      <c r="CF190" s="5">
        <f t="shared" si="297"/>
        <v>5.1534538148912705E-5</v>
      </c>
      <c r="CG190">
        <f t="shared" si="298"/>
        <v>80.000000000000014</v>
      </c>
      <c r="CI190" s="571">
        <f t="shared" si="332"/>
        <v>-50</v>
      </c>
      <c r="CJ190">
        <f t="shared" si="333"/>
        <v>-50</v>
      </c>
    </row>
    <row r="191" spans="5:88" x14ac:dyDescent="0.25">
      <c r="E191" s="174">
        <v>81</v>
      </c>
      <c r="F191" s="221">
        <f t="shared" si="334"/>
        <v>8.1000000000000016E-2</v>
      </c>
      <c r="G191" s="221">
        <f t="shared" si="299"/>
        <v>0.40500000000000003</v>
      </c>
      <c r="H191" s="221">
        <f t="shared" si="300"/>
        <v>1.2150000000000003</v>
      </c>
      <c r="I191" s="221">
        <f t="shared" si="301"/>
        <v>3.24</v>
      </c>
      <c r="J191" s="551">
        <f t="shared" si="302"/>
        <v>20</v>
      </c>
      <c r="K191" s="451">
        <f t="shared" si="303"/>
        <v>695386.58000000007</v>
      </c>
      <c r="L191" s="451">
        <f t="shared" si="304"/>
        <v>695406.58000000007</v>
      </c>
      <c r="M191" s="451"/>
      <c r="N191" s="221">
        <f t="shared" si="305"/>
        <v>0.9999712398464794</v>
      </c>
      <c r="O191" s="176">
        <f t="shared" si="306"/>
        <v>1.8408561460810189</v>
      </c>
      <c r="P191" s="176">
        <f t="shared" si="307"/>
        <v>4.908949722882717</v>
      </c>
      <c r="Q191" s="221">
        <f t="shared" si="308"/>
        <v>0.12272374307206793</v>
      </c>
      <c r="R191" s="221">
        <f t="shared" si="309"/>
        <v>0.23010701826012736</v>
      </c>
      <c r="S191" s="221">
        <f t="shared" si="310"/>
        <v>15</v>
      </c>
      <c r="T191" s="221">
        <f t="shared" si="311"/>
        <v>0.49501423668544192</v>
      </c>
      <c r="U191" s="221">
        <f t="shared" si="312"/>
        <v>0.74252135502816297</v>
      </c>
      <c r="V191" s="221">
        <f t="shared" si="313"/>
        <v>2.1355642354448741E-5</v>
      </c>
      <c r="W191" s="201">
        <f t="shared" si="314"/>
        <v>350</v>
      </c>
      <c r="X191" s="451">
        <f t="shared" si="315"/>
        <v>350</v>
      </c>
      <c r="Z191" s="221">
        <f t="shared" si="316"/>
        <v>1.9047071235171036</v>
      </c>
      <c r="AA191" s="177">
        <f t="shared" si="317"/>
        <v>8.2171867201568798E-5</v>
      </c>
      <c r="AB191" s="177">
        <f t="shared" si="318"/>
        <v>0.34129476953431226</v>
      </c>
      <c r="AC191" s="177"/>
      <c r="AD191" s="177">
        <f t="shared" si="319"/>
        <v>6.4712206554230591E-6</v>
      </c>
      <c r="AE191" s="555">
        <f t="shared" si="320"/>
        <v>13393.600000000008</v>
      </c>
      <c r="AF191" s="538">
        <f t="shared" si="321"/>
        <v>2.1166825946720815E-3</v>
      </c>
      <c r="AH191" s="177">
        <f t="shared" si="322"/>
        <v>0.9211793682944861</v>
      </c>
      <c r="AI191" s="177">
        <f t="shared" si="323"/>
        <v>0.9211793682944861</v>
      </c>
      <c r="AJ191" s="177">
        <f t="shared" si="324"/>
        <v>1.7712439765144339</v>
      </c>
      <c r="AL191" s="555">
        <f t="shared" si="325"/>
        <v>81.000000000000014</v>
      </c>
      <c r="AM191" s="469">
        <f t="shared" si="326"/>
        <v>350</v>
      </c>
      <c r="AO191">
        <f t="shared" si="327"/>
        <v>81.000000000000014</v>
      </c>
      <c r="AP191">
        <f t="shared" si="328"/>
        <v>350</v>
      </c>
      <c r="AR191" s="5">
        <f t="shared" si="249"/>
        <v>2.8571428571428572</v>
      </c>
      <c r="AS191" s="5">
        <f t="shared" si="335"/>
        <v>1.3817690524417292</v>
      </c>
      <c r="AT191" s="5">
        <f t="shared" si="336"/>
        <v>1.475373804701128</v>
      </c>
      <c r="AU191" s="177">
        <f t="shared" si="337"/>
        <v>0.48361916835460522</v>
      </c>
      <c r="AW191" s="5">
        <f t="shared" si="275"/>
        <v>0.74615528831853395</v>
      </c>
      <c r="AX191" s="5"/>
      <c r="AY191" s="5">
        <f t="shared" si="276"/>
        <v>6.995205827986255</v>
      </c>
      <c r="AZ191" s="5"/>
      <c r="BA191" s="5">
        <f t="shared" si="277"/>
        <v>8.2989776514438451E-2</v>
      </c>
      <c r="BB191" s="5"/>
      <c r="BC191" s="5"/>
      <c r="BD191" s="177">
        <f t="shared" si="278"/>
        <v>0.36985826500394875</v>
      </c>
      <c r="BE191" s="177">
        <f t="shared" si="279"/>
        <v>4762.2134109070885</v>
      </c>
      <c r="BF191" s="177">
        <f t="shared" si="280"/>
        <v>23513.670109977586</v>
      </c>
      <c r="BG191" s="177"/>
      <c r="BH191" s="538">
        <f t="shared" si="281"/>
        <v>4.7878297667105905E-2</v>
      </c>
      <c r="BI191" s="538">
        <f t="shared" si="282"/>
        <v>1121.0398396264009</v>
      </c>
      <c r="BJ191" s="538">
        <f t="shared" si="283"/>
        <v>4.3749999999999995E-3</v>
      </c>
      <c r="BK191" s="538">
        <f t="shared" si="284"/>
        <v>8462830.4513776898</v>
      </c>
      <c r="BL191">
        <f t="shared" si="285"/>
        <v>5.7999999999999996E-3</v>
      </c>
      <c r="BM191">
        <f t="shared" si="329"/>
        <v>1.3124999999999999E-5</v>
      </c>
      <c r="BN191">
        <f t="shared" si="330"/>
        <v>8539384.6017518472</v>
      </c>
      <c r="BO191" s="469">
        <f t="shared" si="286"/>
        <v>8463951549.2706127</v>
      </c>
      <c r="BP191" s="177">
        <f t="shared" si="287"/>
        <v>2.4300000000000006E-2</v>
      </c>
      <c r="BQ191" s="177">
        <f t="shared" si="288"/>
        <v>0.1215</v>
      </c>
      <c r="BR191" s="538"/>
      <c r="BT191" s="469">
        <f t="shared" si="289"/>
        <v>145.80000000000001</v>
      </c>
      <c r="BU191" s="538">
        <f t="shared" si="290"/>
        <v>1.3679513619173118E-2</v>
      </c>
      <c r="BV191" s="538">
        <f t="shared" si="291"/>
        <v>680360.29713069974</v>
      </c>
      <c r="BW191" s="538">
        <f t="shared" si="292"/>
        <v>27644634.102042664</v>
      </c>
      <c r="BX191" s="538">
        <f t="shared" si="293"/>
        <v>0</v>
      </c>
      <c r="BY191" s="538">
        <f t="shared" si="274"/>
        <v>-14.000006178291677</v>
      </c>
      <c r="BZ191" s="538">
        <f t="shared" si="250"/>
        <v>28324994.412852876</v>
      </c>
      <c r="CA191" s="641">
        <f t="shared" si="331"/>
        <v>1.4849999999999999E-2</v>
      </c>
      <c r="CB191" s="469">
        <f t="shared" si="294"/>
        <v>56649974840.549576</v>
      </c>
      <c r="CC191" s="177">
        <f t="shared" si="251"/>
        <v>8539370.7623956688</v>
      </c>
      <c r="CD191" s="5">
        <f t="shared" si="295"/>
        <v>4.4550000000000001</v>
      </c>
      <c r="CE191" s="177">
        <f t="shared" si="296"/>
        <v>5.2170093087427088E-7</v>
      </c>
      <c r="CF191" s="5">
        <f t="shared" si="297"/>
        <v>5.2170093087427086E-5</v>
      </c>
      <c r="CG191">
        <f t="shared" si="298"/>
        <v>81.000000000000014</v>
      </c>
      <c r="CI191" s="571">
        <f t="shared" si="332"/>
        <v>-50</v>
      </c>
      <c r="CJ191">
        <f t="shared" si="333"/>
        <v>-50</v>
      </c>
    </row>
    <row r="192" spans="5:88" x14ac:dyDescent="0.25">
      <c r="E192" s="174">
        <v>82</v>
      </c>
      <c r="F192" s="221">
        <f t="shared" si="334"/>
        <v>8.2000000000000003E-2</v>
      </c>
      <c r="G192" s="221">
        <f t="shared" si="299"/>
        <v>0.41</v>
      </c>
      <c r="H192" s="221">
        <f t="shared" si="300"/>
        <v>1.23</v>
      </c>
      <c r="I192" s="221">
        <f t="shared" si="301"/>
        <v>3.28</v>
      </c>
      <c r="J192" s="551">
        <f t="shared" si="302"/>
        <v>20</v>
      </c>
      <c r="K192" s="451">
        <f t="shared" si="303"/>
        <v>695386.58000000007</v>
      </c>
      <c r="L192" s="451">
        <f t="shared" si="304"/>
        <v>695406.58000000007</v>
      </c>
      <c r="M192" s="451"/>
      <c r="N192" s="221">
        <f t="shared" si="305"/>
        <v>0.9999712398464794</v>
      </c>
      <c r="O192" s="176">
        <f t="shared" si="306"/>
        <v>1.8408561460810189</v>
      </c>
      <c r="P192" s="176">
        <f t="shared" si="307"/>
        <v>4.908949722882717</v>
      </c>
      <c r="Q192" s="221">
        <f t="shared" si="308"/>
        <v>0.12272374307206793</v>
      </c>
      <c r="R192" s="221">
        <f t="shared" si="309"/>
        <v>0.23010701826012736</v>
      </c>
      <c r="S192" s="221">
        <f t="shared" si="310"/>
        <v>15</v>
      </c>
      <c r="T192" s="221">
        <f t="shared" si="311"/>
        <v>0.50112552355810169</v>
      </c>
      <c r="U192" s="221">
        <f t="shared" si="312"/>
        <v>0.7516882853371526</v>
      </c>
      <c r="V192" s="221">
        <f t="shared" si="313"/>
        <v>2.161929226005922E-5</v>
      </c>
      <c r="W192" s="201">
        <f t="shared" si="314"/>
        <v>350</v>
      </c>
      <c r="X192" s="451">
        <f t="shared" si="315"/>
        <v>350</v>
      </c>
      <c r="Z192" s="221">
        <f t="shared" si="316"/>
        <v>1.9047071235171036</v>
      </c>
      <c r="AA192" s="177">
        <f t="shared" si="317"/>
        <v>8.2171867201568798E-5</v>
      </c>
      <c r="AB192" s="177">
        <f t="shared" si="318"/>
        <v>0.34129476953431226</v>
      </c>
      <c r="AC192" s="177"/>
      <c r="AD192" s="177">
        <f t="shared" si="319"/>
        <v>6.4712206554230591E-6</v>
      </c>
      <c r="AE192" s="555">
        <f t="shared" si="320"/>
        <v>13558.953086419757</v>
      </c>
      <c r="AF192" s="538">
        <f t="shared" si="321"/>
        <v>2.1166825946720815E-3</v>
      </c>
      <c r="AH192" s="177">
        <f t="shared" si="322"/>
        <v>0.9268482179125227</v>
      </c>
      <c r="AI192" s="177">
        <f t="shared" si="323"/>
        <v>0.9268482179125227</v>
      </c>
      <c r="AJ192" s="177">
        <f t="shared" si="324"/>
        <v>1.7754431243796462</v>
      </c>
      <c r="AL192" s="555">
        <f t="shared" si="325"/>
        <v>82</v>
      </c>
      <c r="AM192" s="469">
        <f t="shared" si="326"/>
        <v>350</v>
      </c>
      <c r="AO192">
        <f t="shared" si="327"/>
        <v>82</v>
      </c>
      <c r="AP192">
        <f t="shared" si="328"/>
        <v>350</v>
      </c>
      <c r="AR192" s="5">
        <f t="shared" si="249"/>
        <v>2.8571428571428572</v>
      </c>
      <c r="AS192" s="5">
        <f t="shared" si="335"/>
        <v>1.3902723268687842</v>
      </c>
      <c r="AT192" s="5">
        <f t="shared" si="336"/>
        <v>1.466870530274073</v>
      </c>
      <c r="AU192" s="177">
        <f t="shared" si="337"/>
        <v>0.48659531440407444</v>
      </c>
      <c r="AW192" s="5">
        <f t="shared" si="275"/>
        <v>0.76001553868826877</v>
      </c>
      <c r="AX192" s="5"/>
      <c r="AY192" s="5">
        <f t="shared" si="276"/>
        <v>7.1251456752025186</v>
      </c>
      <c r="AZ192" s="5"/>
      <c r="BA192" s="5">
        <f t="shared" si="277"/>
        <v>8.3530127418384684E-2</v>
      </c>
      <c r="BB192" s="5"/>
      <c r="BC192" s="5"/>
      <c r="BD192" s="177">
        <f t="shared" si="278"/>
        <v>0.37327762066972253</v>
      </c>
      <c r="BE192" s="177">
        <f t="shared" si="279"/>
        <v>4777.6917706608847</v>
      </c>
      <c r="BF192" s="177">
        <f t="shared" si="280"/>
        <v>23590.095295850348</v>
      </c>
      <c r="BG192" s="177"/>
      <c r="BH192" s="538">
        <f t="shared" si="281"/>
        <v>4.8767663732497239E-2</v>
      </c>
      <c r="BI192" s="538">
        <f t="shared" si="282"/>
        <v>1127.9386114458739</v>
      </c>
      <c r="BJ192" s="538">
        <f t="shared" si="283"/>
        <v>4.3749999999999995E-3</v>
      </c>
      <c r="BK192" s="538">
        <f t="shared" si="284"/>
        <v>8462830.4513776898</v>
      </c>
      <c r="BL192">
        <f t="shared" si="285"/>
        <v>5.7999999999999996E-3</v>
      </c>
      <c r="BM192">
        <f t="shared" si="329"/>
        <v>1.3124999999999999E-5</v>
      </c>
      <c r="BN192">
        <f t="shared" si="330"/>
        <v>8540805.4971034843</v>
      </c>
      <c r="BO192" s="469">
        <f t="shared" si="286"/>
        <v>8463958448.931798</v>
      </c>
      <c r="BP192" s="177">
        <f t="shared" si="287"/>
        <v>2.46E-2</v>
      </c>
      <c r="BQ192" s="177">
        <f t="shared" si="288"/>
        <v>0.12299999999999998</v>
      </c>
      <c r="BR192" s="538"/>
      <c r="BT192" s="469">
        <f t="shared" si="289"/>
        <v>147.6</v>
      </c>
      <c r="BU192" s="538">
        <f t="shared" si="290"/>
        <v>1.3933618209284926E-2</v>
      </c>
      <c r="BV192" s="538">
        <f t="shared" si="291"/>
        <v>684790.15966322215</v>
      </c>
      <c r="BW192" s="538">
        <f t="shared" si="292"/>
        <v>27824629.803365037</v>
      </c>
      <c r="BX192" s="538">
        <f t="shared" si="293"/>
        <v>0</v>
      </c>
      <c r="BY192" s="538">
        <f t="shared" si="274"/>
        <v>-14.000006138324697</v>
      </c>
      <c r="BZ192" s="538">
        <f t="shared" si="250"/>
        <v>28509419.976961877</v>
      </c>
      <c r="CA192" s="641">
        <f t="shared" si="331"/>
        <v>1.5033333333333338E-2</v>
      </c>
      <c r="CB192" s="469">
        <f t="shared" si="294"/>
        <v>57018825968.950951</v>
      </c>
      <c r="CC192" s="177">
        <f t="shared" si="251"/>
        <v>8540791.6597306784</v>
      </c>
      <c r="CD192" s="5">
        <f t="shared" si="295"/>
        <v>4.51</v>
      </c>
      <c r="CE192" s="177">
        <f t="shared" si="296"/>
        <v>5.2805381493400241E-7</v>
      </c>
      <c r="CF192" s="5">
        <f t="shared" si="297"/>
        <v>5.2805381493400238E-5</v>
      </c>
      <c r="CG192">
        <f t="shared" si="298"/>
        <v>82</v>
      </c>
      <c r="CI192" s="571">
        <f t="shared" si="332"/>
        <v>-50</v>
      </c>
      <c r="CJ192">
        <f t="shared" si="333"/>
        <v>-50</v>
      </c>
    </row>
    <row r="193" spans="5:88" x14ac:dyDescent="0.25">
      <c r="E193" s="174">
        <v>83</v>
      </c>
      <c r="F193" s="221">
        <f t="shared" si="334"/>
        <v>8.3000000000000004E-2</v>
      </c>
      <c r="G193" s="221">
        <f t="shared" si="299"/>
        <v>0.41499999999999998</v>
      </c>
      <c r="H193" s="221">
        <f t="shared" si="300"/>
        <v>1.2450000000000001</v>
      </c>
      <c r="I193" s="221">
        <f t="shared" si="301"/>
        <v>3.32</v>
      </c>
      <c r="J193" s="551">
        <f t="shared" si="302"/>
        <v>20</v>
      </c>
      <c r="K193" s="451">
        <f t="shared" si="303"/>
        <v>695386.58000000007</v>
      </c>
      <c r="L193" s="451">
        <f t="shared" si="304"/>
        <v>695406.58000000007</v>
      </c>
      <c r="M193" s="451"/>
      <c r="N193" s="221">
        <f t="shared" si="305"/>
        <v>0.9999712398464794</v>
      </c>
      <c r="O193" s="176">
        <f t="shared" si="306"/>
        <v>1.8408561460810189</v>
      </c>
      <c r="P193" s="176">
        <f t="shared" si="307"/>
        <v>4.908949722882717</v>
      </c>
      <c r="Q193" s="221">
        <f t="shared" si="308"/>
        <v>0.12272374307206793</v>
      </c>
      <c r="R193" s="221">
        <f t="shared" si="309"/>
        <v>0.23010701826012736</v>
      </c>
      <c r="S193" s="221">
        <f t="shared" si="310"/>
        <v>15</v>
      </c>
      <c r="T193" s="221">
        <f t="shared" si="311"/>
        <v>0.50723681043076141</v>
      </c>
      <c r="U193" s="221">
        <f t="shared" si="312"/>
        <v>0.76085521564614211</v>
      </c>
      <c r="V193" s="221">
        <f t="shared" si="313"/>
        <v>2.1882942165669692E-5</v>
      </c>
      <c r="W193" s="201">
        <f t="shared" si="314"/>
        <v>350</v>
      </c>
      <c r="X193" s="451">
        <f t="shared" si="315"/>
        <v>350</v>
      </c>
      <c r="Z193" s="221">
        <f t="shared" si="316"/>
        <v>1.9047071235171036</v>
      </c>
      <c r="AA193" s="177">
        <f t="shared" si="317"/>
        <v>8.2171867201568798E-5</v>
      </c>
      <c r="AB193" s="177">
        <f t="shared" si="318"/>
        <v>0.34129476953431226</v>
      </c>
      <c r="AC193" s="177"/>
      <c r="AD193" s="177">
        <f t="shared" si="319"/>
        <v>6.4712206554230591E-6</v>
      </c>
      <c r="AE193" s="555">
        <f t="shared" si="320"/>
        <v>13724.30617283951</v>
      </c>
      <c r="AF193" s="538">
        <f t="shared" si="321"/>
        <v>2.1166825946720815E-3</v>
      </c>
      <c r="AH193" s="177">
        <f t="shared" si="322"/>
        <v>0.93248260548055772</v>
      </c>
      <c r="AI193" s="177">
        <f t="shared" si="323"/>
        <v>0.93248260548055772</v>
      </c>
      <c r="AJ193" s="177">
        <f t="shared" si="324"/>
        <v>1.779616744800413</v>
      </c>
      <c r="AL193" s="555">
        <f t="shared" si="325"/>
        <v>83</v>
      </c>
      <c r="AM193" s="469">
        <f t="shared" si="326"/>
        <v>350</v>
      </c>
      <c r="AO193">
        <f t="shared" si="327"/>
        <v>83</v>
      </c>
      <c r="AP193">
        <f t="shared" si="328"/>
        <v>350</v>
      </c>
      <c r="AR193" s="5">
        <f t="shared" si="249"/>
        <v>2.8571428571428572</v>
      </c>
      <c r="AS193" s="5">
        <f t="shared" si="335"/>
        <v>1.3987239082208367</v>
      </c>
      <c r="AT193" s="5">
        <f t="shared" si="336"/>
        <v>1.4584189489220205</v>
      </c>
      <c r="AU193" s="177">
        <f t="shared" si="337"/>
        <v>0.48955336787729281</v>
      </c>
      <c r="AW193" s="5">
        <f t="shared" si="275"/>
        <v>0.77396056254886292</v>
      </c>
      <c r="AX193" s="5"/>
      <c r="AY193" s="5">
        <f t="shared" si="276"/>
        <v>7.2558802738955901</v>
      </c>
      <c r="AZ193" s="5"/>
      <c r="BA193" s="5">
        <f t="shared" si="277"/>
        <v>8.4061647750366467E-2</v>
      </c>
      <c r="BB193" s="5"/>
      <c r="BC193" s="5"/>
      <c r="BD193" s="177">
        <f t="shared" si="278"/>
        <v>0.37668656705625286</v>
      </c>
      <c r="BE193" s="177">
        <f t="shared" si="279"/>
        <v>4792.8684107783092</v>
      </c>
      <c r="BF193" s="177">
        <f t="shared" si="280"/>
        <v>23665.030725724533</v>
      </c>
      <c r="BG193" s="177"/>
      <c r="BH193" s="538">
        <f t="shared" si="281"/>
        <v>4.9662469430218702E-2</v>
      </c>
      <c r="BI193" s="538">
        <f t="shared" si="282"/>
        <v>1134.7954442767671</v>
      </c>
      <c r="BJ193" s="538">
        <f t="shared" si="283"/>
        <v>4.3749999999999995E-3</v>
      </c>
      <c r="BK193" s="538">
        <f t="shared" si="284"/>
        <v>8462830.4513776898</v>
      </c>
      <c r="BL193">
        <f t="shared" si="285"/>
        <v>5.7999999999999996E-3</v>
      </c>
      <c r="BM193">
        <f t="shared" si="329"/>
        <v>1.3124999999999999E-5</v>
      </c>
      <c r="BN193">
        <f t="shared" si="330"/>
        <v>8542235.4731120635</v>
      </c>
      <c r="BO193" s="469">
        <f t="shared" si="286"/>
        <v>8463965306.6594362</v>
      </c>
      <c r="BP193" s="177">
        <f t="shared" si="287"/>
        <v>2.4900000000000002E-2</v>
      </c>
      <c r="BQ193" s="177">
        <f t="shared" si="288"/>
        <v>0.12449999999999999</v>
      </c>
      <c r="BR193" s="538"/>
      <c r="BT193" s="469">
        <f t="shared" si="289"/>
        <v>149.39999999999998</v>
      </c>
      <c r="BU193" s="538">
        <f t="shared" si="290"/>
        <v>1.4189276980062488E-2</v>
      </c>
      <c r="BV193" s="538">
        <f t="shared" si="291"/>
        <v>689147.62809109781</v>
      </c>
      <c r="BW193" s="538">
        <f t="shared" si="292"/>
        <v>28001683.962474313</v>
      </c>
      <c r="BX193" s="538">
        <f t="shared" si="293"/>
        <v>0</v>
      </c>
      <c r="BY193" s="538">
        <f t="shared" si="274"/>
        <v>-14.000006099512161</v>
      </c>
      <c r="BZ193" s="538">
        <f t="shared" si="250"/>
        <v>28690831.604754686</v>
      </c>
      <c r="CA193" s="641">
        <f t="shared" si="331"/>
        <v>1.5216666666666668E-2</v>
      </c>
      <c r="CB193" s="469">
        <f t="shared" ref="CB193:CB210" si="338">SUM(BU193:CA193)*1000</f>
        <v>57381649224.71994</v>
      </c>
      <c r="CC193" s="177">
        <f t="shared" si="251"/>
        <v>8542221.6377226319</v>
      </c>
      <c r="CD193" s="5">
        <f t="shared" ref="CD193:CD210" si="339">MIN(H193+I193,O193+P193)</f>
        <v>4.5649999999999995</v>
      </c>
      <c r="CE193" s="177">
        <f t="shared" ref="CE193:CE210" si="340">CD193/(CD193+CC193)</f>
        <v>5.34404017367863E-7</v>
      </c>
      <c r="CF193" s="5">
        <f t="shared" ref="CF193:CF210" si="341">CE193*100</f>
        <v>5.3440401736786297E-5</v>
      </c>
      <c r="CG193">
        <f t="shared" ref="CG193:CG210" si="342">F193/Iout*100</f>
        <v>83</v>
      </c>
      <c r="CI193" s="571">
        <f t="shared" si="332"/>
        <v>-50</v>
      </c>
      <c r="CJ193">
        <f t="shared" si="333"/>
        <v>-50</v>
      </c>
    </row>
    <row r="194" spans="5:88" x14ac:dyDescent="0.25">
      <c r="E194" s="174">
        <v>84</v>
      </c>
      <c r="F194" s="221">
        <f t="shared" si="334"/>
        <v>8.4000000000000005E-2</v>
      </c>
      <c r="G194" s="221">
        <f t="shared" si="299"/>
        <v>0.42</v>
      </c>
      <c r="H194" s="221">
        <f t="shared" si="300"/>
        <v>1.26</v>
      </c>
      <c r="I194" s="221">
        <f t="shared" si="301"/>
        <v>3.36</v>
      </c>
      <c r="J194" s="551">
        <f t="shared" si="302"/>
        <v>20</v>
      </c>
      <c r="K194" s="451">
        <f t="shared" si="303"/>
        <v>695386.58000000007</v>
      </c>
      <c r="L194" s="451">
        <f t="shared" si="304"/>
        <v>695406.58000000007</v>
      </c>
      <c r="M194" s="451"/>
      <c r="N194" s="221">
        <f t="shared" si="305"/>
        <v>0.9999712398464794</v>
      </c>
      <c r="O194" s="176">
        <f t="shared" si="306"/>
        <v>1.8408561460810189</v>
      </c>
      <c r="P194" s="176">
        <f t="shared" si="307"/>
        <v>4.908949722882717</v>
      </c>
      <c r="Q194" s="221">
        <f t="shared" si="308"/>
        <v>0.12272374307206793</v>
      </c>
      <c r="R194" s="221">
        <f t="shared" si="309"/>
        <v>0.23010701826012736</v>
      </c>
      <c r="S194" s="221">
        <f t="shared" si="310"/>
        <v>15</v>
      </c>
      <c r="T194" s="221">
        <f t="shared" si="311"/>
        <v>0.51334809730342124</v>
      </c>
      <c r="U194" s="221">
        <f t="shared" si="312"/>
        <v>0.77002214595513196</v>
      </c>
      <c r="V194" s="221">
        <f t="shared" si="313"/>
        <v>2.2146592071280171E-5</v>
      </c>
      <c r="W194" s="201">
        <f t="shared" si="314"/>
        <v>350</v>
      </c>
      <c r="X194" s="451">
        <f t="shared" si="315"/>
        <v>350</v>
      </c>
      <c r="Z194" s="221">
        <f t="shared" si="316"/>
        <v>1.9047071235171036</v>
      </c>
      <c r="AA194" s="177">
        <f t="shared" si="317"/>
        <v>8.2171867201568798E-5</v>
      </c>
      <c r="AB194" s="177">
        <f t="shared" si="318"/>
        <v>0.34129476953431226</v>
      </c>
      <c r="AC194" s="177"/>
      <c r="AD194" s="177">
        <f t="shared" si="319"/>
        <v>6.4712206554230591E-6</v>
      </c>
      <c r="AE194" s="555">
        <f t="shared" si="320"/>
        <v>13889.659259259262</v>
      </c>
      <c r="AF194" s="538">
        <f t="shared" si="321"/>
        <v>2.1166825946720815E-3</v>
      </c>
      <c r="AH194" s="177">
        <f t="shared" si="322"/>
        <v>0.93808315196468595</v>
      </c>
      <c r="AI194" s="177">
        <f t="shared" si="323"/>
        <v>0.93808315196468595</v>
      </c>
      <c r="AJ194" s="177">
        <f t="shared" si="324"/>
        <v>1.7837652977516192</v>
      </c>
      <c r="AL194" s="555">
        <f t="shared" si="325"/>
        <v>84</v>
      </c>
      <c r="AM194" s="469">
        <f t="shared" si="326"/>
        <v>350</v>
      </c>
      <c r="AO194">
        <f t="shared" si="327"/>
        <v>84</v>
      </c>
      <c r="AP194">
        <f t="shared" si="328"/>
        <v>350</v>
      </c>
      <c r="AR194" s="5">
        <f t="shared" si="249"/>
        <v>2.8571428571428572</v>
      </c>
      <c r="AS194" s="5">
        <f t="shared" si="335"/>
        <v>1.4071247279470291</v>
      </c>
      <c r="AT194" s="5">
        <f t="shared" si="336"/>
        <v>1.4500181291958281</v>
      </c>
      <c r="AU194" s="177">
        <f t="shared" si="337"/>
        <v>0.49249365478146018</v>
      </c>
      <c r="AW194" s="5">
        <f t="shared" si="275"/>
        <v>0.78798984765033631</v>
      </c>
      <c r="AX194" s="5"/>
      <c r="AY194" s="5">
        <f t="shared" si="276"/>
        <v>7.387404821721903</v>
      </c>
      <c r="AZ194" s="5"/>
      <c r="BA194" s="5">
        <f t="shared" si="277"/>
        <v>8.4584390869756623E-2</v>
      </c>
      <c r="BB194" s="5"/>
      <c r="BC194" s="5"/>
      <c r="BD194" s="177">
        <f t="shared" si="278"/>
        <v>0.3800852607015453</v>
      </c>
      <c r="BE194" s="177">
        <f t="shared" si="279"/>
        <v>4807.7477050450061</v>
      </c>
      <c r="BF194" s="177">
        <f t="shared" si="280"/>
        <v>23738.497995388483</v>
      </c>
      <c r="BG194" s="177"/>
      <c r="BH194" s="538">
        <f t="shared" si="281"/>
        <v>5.0562681890896577E-2</v>
      </c>
      <c r="BI194" s="538">
        <f t="shared" si="282"/>
        <v>1141.6110938109196</v>
      </c>
      <c r="BJ194" s="538">
        <f t="shared" si="283"/>
        <v>4.3749999999999995E-3</v>
      </c>
      <c r="BK194" s="538">
        <f t="shared" si="284"/>
        <v>8462830.4513776898</v>
      </c>
      <c r="BL194">
        <f t="shared" si="285"/>
        <v>5.7999999999999996E-3</v>
      </c>
      <c r="BM194">
        <f t="shared" si="329"/>
        <v>1.3124999999999999E-5</v>
      </c>
      <c r="BN194">
        <f t="shared" si="330"/>
        <v>8543674.4871259388</v>
      </c>
      <c r="BO194" s="469">
        <f t="shared" si="286"/>
        <v>8463972123.2091818</v>
      </c>
      <c r="BP194" s="177">
        <f t="shared" si="287"/>
        <v>2.52E-2</v>
      </c>
      <c r="BQ194" s="177">
        <f t="shared" si="288"/>
        <v>0.126</v>
      </c>
      <c r="BR194" s="538"/>
      <c r="BT194" s="469">
        <f t="shared" si="289"/>
        <v>151.19999999999999</v>
      </c>
      <c r="BU194" s="538">
        <f t="shared" si="290"/>
        <v>1.4446480540256166E-2</v>
      </c>
      <c r="BV194" s="538">
        <f t="shared" si="291"/>
        <v>693433.13986096566</v>
      </c>
      <c r="BW194" s="538">
        <f t="shared" si="292"/>
        <v>28175814.353853155</v>
      </c>
      <c r="BX194" s="538">
        <f t="shared" si="293"/>
        <v>0</v>
      </c>
      <c r="BY194" s="538">
        <f t="shared" si="274"/>
        <v>-14.000006061816324</v>
      </c>
      <c r="BZ194" s="538">
        <f t="shared" si="250"/>
        <v>28869247.508160602</v>
      </c>
      <c r="CA194" s="641">
        <f t="shared" si="331"/>
        <v>1.5400000000000006E-2</v>
      </c>
      <c r="CB194" s="469">
        <f t="shared" si="338"/>
        <v>57738481031.715149</v>
      </c>
      <c r="CC194" s="177">
        <f t="shared" si="251"/>
        <v>8543660.6537198778</v>
      </c>
      <c r="CD194" s="5">
        <f t="shared" si="339"/>
        <v>4.62</v>
      </c>
      <c r="CE194" s="177">
        <f t="shared" si="340"/>
        <v>5.4075152197394917E-7</v>
      </c>
      <c r="CF194" s="5">
        <f t="shared" si="341"/>
        <v>5.4075152197394918E-5</v>
      </c>
      <c r="CG194">
        <f t="shared" si="342"/>
        <v>84</v>
      </c>
      <c r="CI194" s="571">
        <f t="shared" si="332"/>
        <v>-50</v>
      </c>
      <c r="CJ194">
        <f t="shared" si="333"/>
        <v>-50</v>
      </c>
    </row>
    <row r="195" spans="5:88" x14ac:dyDescent="0.25">
      <c r="E195" s="174">
        <v>85</v>
      </c>
      <c r="F195" s="221">
        <f t="shared" si="334"/>
        <v>8.5000000000000006E-2</v>
      </c>
      <c r="G195" s="221">
        <f t="shared" si="299"/>
        <v>0.42499999999999999</v>
      </c>
      <c r="H195" s="221">
        <f t="shared" si="300"/>
        <v>1.2750000000000001</v>
      </c>
      <c r="I195" s="221">
        <f t="shared" si="301"/>
        <v>3.4</v>
      </c>
      <c r="J195" s="551">
        <f t="shared" si="302"/>
        <v>20</v>
      </c>
      <c r="K195" s="451">
        <f t="shared" si="303"/>
        <v>695386.58000000007</v>
      </c>
      <c r="L195" s="451">
        <f t="shared" si="304"/>
        <v>695406.58000000007</v>
      </c>
      <c r="M195" s="451"/>
      <c r="N195" s="221">
        <f t="shared" si="305"/>
        <v>0.9999712398464794</v>
      </c>
      <c r="O195" s="176">
        <f t="shared" si="306"/>
        <v>1.8408561460810189</v>
      </c>
      <c r="P195" s="176">
        <f t="shared" si="307"/>
        <v>4.908949722882717</v>
      </c>
      <c r="Q195" s="221">
        <f t="shared" si="308"/>
        <v>0.12272374307206793</v>
      </c>
      <c r="R195" s="221">
        <f t="shared" si="309"/>
        <v>0.23010701826012736</v>
      </c>
      <c r="S195" s="221">
        <f t="shared" si="310"/>
        <v>15</v>
      </c>
      <c r="T195" s="221">
        <f t="shared" si="311"/>
        <v>0.51945938417608106</v>
      </c>
      <c r="U195" s="221">
        <f t="shared" si="312"/>
        <v>0.7791890762641217</v>
      </c>
      <c r="V195" s="221">
        <f t="shared" si="313"/>
        <v>2.2410241976890657E-5</v>
      </c>
      <c r="W195" s="201">
        <f t="shared" si="314"/>
        <v>350</v>
      </c>
      <c r="X195" s="451">
        <f t="shared" si="315"/>
        <v>350</v>
      </c>
      <c r="Z195" s="221">
        <f t="shared" si="316"/>
        <v>1.9047071235171036</v>
      </c>
      <c r="AA195" s="177">
        <f t="shared" si="317"/>
        <v>8.2171867201568798E-5</v>
      </c>
      <c r="AB195" s="177">
        <f t="shared" si="318"/>
        <v>0.34129476953431226</v>
      </c>
      <c r="AC195" s="177"/>
      <c r="AD195" s="177">
        <f t="shared" si="319"/>
        <v>6.4712206554230591E-6</v>
      </c>
      <c r="AE195" s="555">
        <f t="shared" si="320"/>
        <v>14055.012345679017</v>
      </c>
      <c r="AF195" s="538">
        <f t="shared" si="321"/>
        <v>2.1166825946720815E-3</v>
      </c>
      <c r="AH195" s="177">
        <f t="shared" si="322"/>
        <v>0.94365045990355478</v>
      </c>
      <c r="AI195" s="177">
        <f t="shared" si="323"/>
        <v>0.94365045990355478</v>
      </c>
      <c r="AJ195" s="177">
        <f t="shared" si="324"/>
        <v>1.7878892295581887</v>
      </c>
      <c r="AL195" s="555">
        <f t="shared" si="325"/>
        <v>85</v>
      </c>
      <c r="AM195" s="469">
        <f t="shared" si="326"/>
        <v>350</v>
      </c>
      <c r="AO195">
        <f t="shared" si="327"/>
        <v>85</v>
      </c>
      <c r="AP195">
        <f t="shared" si="328"/>
        <v>350</v>
      </c>
      <c r="AR195" s="5">
        <f t="shared" si="249"/>
        <v>2.8571428571428572</v>
      </c>
      <c r="AS195" s="5">
        <f t="shared" si="335"/>
        <v>1.4154756898553322</v>
      </c>
      <c r="AT195" s="5">
        <f t="shared" si="336"/>
        <v>1.441667167287525</v>
      </c>
      <c r="AU195" s="177">
        <f t="shared" si="337"/>
        <v>0.49541649144936628</v>
      </c>
      <c r="AW195" s="5">
        <f t="shared" si="275"/>
        <v>0.80210289091802167</v>
      </c>
      <c r="AX195" s="5"/>
      <c r="AY195" s="5">
        <f t="shared" si="276"/>
        <v>7.5197146023564514</v>
      </c>
      <c r="AZ195" s="5"/>
      <c r="BA195" s="5">
        <f t="shared" si="277"/>
        <v>8.5098409180166396E-2</v>
      </c>
      <c r="BB195" s="5"/>
      <c r="BC195" s="5"/>
      <c r="BD195" s="177">
        <f t="shared" si="278"/>
        <v>0.38347385395656891</v>
      </c>
      <c r="BE195" s="177">
        <f t="shared" si="279"/>
        <v>4822.3338906384806</v>
      </c>
      <c r="BF195" s="177">
        <f t="shared" si="280"/>
        <v>23810.518026120899</v>
      </c>
      <c r="BG195" s="177"/>
      <c r="BH195" s="538">
        <f t="shared" si="281"/>
        <v>5.1468268833906372E-2</v>
      </c>
      <c r="BI195" s="538">
        <f t="shared" si="282"/>
        <v>1148.3862933146768</v>
      </c>
      <c r="BJ195" s="538">
        <f t="shared" si="283"/>
        <v>4.3749999999999995E-3</v>
      </c>
      <c r="BK195" s="538">
        <f t="shared" si="284"/>
        <v>8462830.4513776898</v>
      </c>
      <c r="BL195">
        <f t="shared" si="285"/>
        <v>5.7999999999999996E-3</v>
      </c>
      <c r="BM195">
        <f t="shared" si="329"/>
        <v>1.3124999999999999E-5</v>
      </c>
      <c r="BN195">
        <f t="shared" si="330"/>
        <v>8545122.4973988924</v>
      </c>
      <c r="BO195" s="469">
        <f t="shared" si="286"/>
        <v>8463978899.3142729</v>
      </c>
      <c r="BP195" s="177">
        <f t="shared" si="287"/>
        <v>2.5500000000000002E-2</v>
      </c>
      <c r="BQ195" s="177">
        <f t="shared" si="288"/>
        <v>0.1275</v>
      </c>
      <c r="BR195" s="538"/>
      <c r="BT195" s="469">
        <f t="shared" si="289"/>
        <v>153</v>
      </c>
      <c r="BU195" s="538">
        <f t="shared" si="290"/>
        <v>1.4705219666830395E-2</v>
      </c>
      <c r="BV195" s="538">
        <f t="shared" si="291"/>
        <v>697647.12458401395</v>
      </c>
      <c r="BW195" s="538">
        <f t="shared" si="292"/>
        <v>28347038.433611412</v>
      </c>
      <c r="BX195" s="538">
        <f t="shared" si="293"/>
        <v>0</v>
      </c>
      <c r="BY195" s="538">
        <f t="shared" si="274"/>
        <v>-14.000006025201234</v>
      </c>
      <c r="BZ195" s="538">
        <f t="shared" si="250"/>
        <v>29044685.572900645</v>
      </c>
      <c r="CA195" s="641">
        <f t="shared" si="331"/>
        <v>1.5583333333333334E-2</v>
      </c>
      <c r="CB195" s="469">
        <f t="shared" si="338"/>
        <v>58089357161.378609</v>
      </c>
      <c r="CC195" s="177">
        <f t="shared" si="251"/>
        <v>8545108.6659761984</v>
      </c>
      <c r="CD195" s="5">
        <f t="shared" si="339"/>
        <v>4.6749999999999998</v>
      </c>
      <c r="CE195" s="177">
        <f t="shared" si="340"/>
        <v>5.4709631264714449E-7</v>
      </c>
      <c r="CF195" s="5">
        <f t="shared" si="341"/>
        <v>5.4709631264714446E-5</v>
      </c>
      <c r="CG195">
        <f t="shared" si="342"/>
        <v>85</v>
      </c>
      <c r="CI195" s="571">
        <f t="shared" si="332"/>
        <v>-50</v>
      </c>
      <c r="CJ195">
        <f t="shared" si="333"/>
        <v>-50</v>
      </c>
    </row>
    <row r="196" spans="5:88" x14ac:dyDescent="0.25">
      <c r="E196" s="174">
        <v>86</v>
      </c>
      <c r="F196" s="221">
        <f t="shared" si="334"/>
        <v>8.6000000000000007E-2</v>
      </c>
      <c r="G196" s="221">
        <f t="shared" si="299"/>
        <v>0.43</v>
      </c>
      <c r="H196" s="221">
        <f t="shared" si="300"/>
        <v>1.29</v>
      </c>
      <c r="I196" s="221">
        <f t="shared" si="301"/>
        <v>3.44</v>
      </c>
      <c r="J196" s="551">
        <f t="shared" si="302"/>
        <v>20</v>
      </c>
      <c r="K196" s="451">
        <f t="shared" si="303"/>
        <v>695386.58000000007</v>
      </c>
      <c r="L196" s="451">
        <f t="shared" si="304"/>
        <v>695406.58000000007</v>
      </c>
      <c r="M196" s="451"/>
      <c r="N196" s="221">
        <f t="shared" si="305"/>
        <v>0.9999712398464794</v>
      </c>
      <c r="O196" s="176">
        <f t="shared" si="306"/>
        <v>1.8408561460810189</v>
      </c>
      <c r="P196" s="176">
        <f t="shared" si="307"/>
        <v>4.908949722882717</v>
      </c>
      <c r="Q196" s="221">
        <f t="shared" si="308"/>
        <v>0.12272374307206793</v>
      </c>
      <c r="R196" s="221">
        <f t="shared" si="309"/>
        <v>0.23010701826012736</v>
      </c>
      <c r="S196" s="221">
        <f t="shared" si="310"/>
        <v>15</v>
      </c>
      <c r="T196" s="221">
        <f t="shared" si="311"/>
        <v>0.52557067104874089</v>
      </c>
      <c r="U196" s="221">
        <f t="shared" si="312"/>
        <v>0.78835600657311133</v>
      </c>
      <c r="V196" s="221">
        <f t="shared" si="313"/>
        <v>2.2673891882501133E-5</v>
      </c>
      <c r="W196" s="201">
        <f t="shared" si="314"/>
        <v>350</v>
      </c>
      <c r="X196" s="451">
        <f t="shared" si="315"/>
        <v>350</v>
      </c>
      <c r="Z196" s="221">
        <f t="shared" si="316"/>
        <v>1.9047071235171036</v>
      </c>
      <c r="AA196" s="177">
        <f t="shared" si="317"/>
        <v>8.2171867201568798E-5</v>
      </c>
      <c r="AB196" s="177">
        <f t="shared" si="318"/>
        <v>0.34129476953431226</v>
      </c>
      <c r="AC196" s="177"/>
      <c r="AD196" s="177">
        <f t="shared" si="319"/>
        <v>6.4712206554230591E-6</v>
      </c>
      <c r="AE196" s="555">
        <f t="shared" si="320"/>
        <v>14220.36543209877</v>
      </c>
      <c r="AF196" s="538">
        <f t="shared" si="321"/>
        <v>2.1166825946720815E-3</v>
      </c>
      <c r="AH196" s="177">
        <f t="shared" si="322"/>
        <v>0.94918511416497731</v>
      </c>
      <c r="AI196" s="177">
        <f t="shared" si="323"/>
        <v>0.94918511416497731</v>
      </c>
      <c r="AJ196" s="177">
        <f t="shared" si="324"/>
        <v>1.7919889734555388</v>
      </c>
      <c r="AL196" s="555">
        <f t="shared" si="325"/>
        <v>86</v>
      </c>
      <c r="AM196" s="469">
        <f t="shared" si="326"/>
        <v>350</v>
      </c>
      <c r="AO196">
        <f t="shared" si="327"/>
        <v>86</v>
      </c>
      <c r="AP196">
        <f t="shared" si="328"/>
        <v>350</v>
      </c>
      <c r="AR196" s="5">
        <f t="shared" si="249"/>
        <v>2.8571428571428572</v>
      </c>
      <c r="AS196" s="5">
        <f t="shared" si="335"/>
        <v>1.4237776712474659</v>
      </c>
      <c r="AT196" s="5">
        <f t="shared" si="336"/>
        <v>1.4333651858953913</v>
      </c>
      <c r="AU196" s="177">
        <f t="shared" si="337"/>
        <v>0.49832218493661307</v>
      </c>
      <c r="AW196" s="5">
        <f t="shared" si="275"/>
        <v>0.81629919818188046</v>
      </c>
      <c r="AX196" s="5"/>
      <c r="AY196" s="5">
        <f t="shared" si="276"/>
        <v>7.6528049829551286</v>
      </c>
      <c r="AZ196" s="5"/>
      <c r="BA196" s="5">
        <f t="shared" si="277"/>
        <v>8.5603754157641418E-2</v>
      </c>
      <c r="BB196" s="5"/>
      <c r="BC196" s="5"/>
      <c r="BD196" s="177">
        <f t="shared" si="278"/>
        <v>0.38685249514512821</v>
      </c>
      <c r="BE196" s="177">
        <f t="shared" si="279"/>
        <v>4836.6310736128944</v>
      </c>
      <c r="BF196" s="177">
        <f t="shared" si="280"/>
        <v>23881.111091772349</v>
      </c>
      <c r="BG196" s="177"/>
      <c r="BH196" s="538">
        <f t="shared" si="281"/>
        <v>5.2379198550004002E-2</v>
      </c>
      <c r="BI196" s="538">
        <f t="shared" si="282"/>
        <v>1155.121754549659</v>
      </c>
      <c r="BJ196" s="538">
        <f t="shared" si="283"/>
        <v>4.3749999999999995E-3</v>
      </c>
      <c r="BK196" s="538">
        <f t="shared" si="284"/>
        <v>8462830.4513776898</v>
      </c>
      <c r="BL196">
        <f t="shared" si="285"/>
        <v>5.7999999999999996E-3</v>
      </c>
      <c r="BM196">
        <f t="shared" si="329"/>
        <v>1.3124999999999999E-5</v>
      </c>
      <c r="BN196">
        <f t="shared" si="330"/>
        <v>8546579.4630639981</v>
      </c>
      <c r="BO196" s="469">
        <f t="shared" si="286"/>
        <v>8463985635.6864367</v>
      </c>
      <c r="BP196" s="177">
        <f t="shared" si="287"/>
        <v>2.58E-2</v>
      </c>
      <c r="BQ196" s="177">
        <f t="shared" si="288"/>
        <v>0.129</v>
      </c>
      <c r="BR196" s="538"/>
      <c r="BT196" s="469">
        <f t="shared" si="289"/>
        <v>154.79999999999998</v>
      </c>
      <c r="BU196" s="538">
        <f t="shared" si="290"/>
        <v>1.4965485300001144E-2</v>
      </c>
      <c r="BV196" s="538">
        <f t="shared" si="291"/>
        <v>701790.00426713459</v>
      </c>
      <c r="BW196" s="538">
        <f t="shared" si="292"/>
        <v>28515373.348878618</v>
      </c>
      <c r="BX196" s="538">
        <f t="shared" si="293"/>
        <v>0</v>
      </c>
      <c r="BY196" s="538">
        <f t="shared" si="274"/>
        <v>-14.000005989632625</v>
      </c>
      <c r="BZ196" s="538">
        <f t="shared" si="250"/>
        <v>29217163.368111238</v>
      </c>
      <c r="CA196" s="641">
        <f t="shared" si="331"/>
        <v>1.5766666666666665E-2</v>
      </c>
      <c r="CB196" s="469">
        <f t="shared" si="338"/>
        <v>58434312751.983154</v>
      </c>
      <c r="CC196" s="177">
        <f t="shared" si="251"/>
        <v>8546565.6336246766</v>
      </c>
      <c r="CD196" s="5">
        <f t="shared" si="339"/>
        <v>4.7300000000000004</v>
      </c>
      <c r="CE196" s="177">
        <f t="shared" si="340"/>
        <v>5.5343837337740764E-7</v>
      </c>
      <c r="CF196" s="5">
        <f t="shared" si="341"/>
        <v>5.5343837337740766E-5</v>
      </c>
      <c r="CG196">
        <f t="shared" si="342"/>
        <v>86</v>
      </c>
      <c r="CI196" s="571">
        <f t="shared" si="332"/>
        <v>-50</v>
      </c>
      <c r="CJ196">
        <f t="shared" si="333"/>
        <v>-50</v>
      </c>
    </row>
    <row r="197" spans="5:88" x14ac:dyDescent="0.25">
      <c r="E197" s="174">
        <v>87</v>
      </c>
      <c r="F197" s="221">
        <f t="shared" si="334"/>
        <v>8.7000000000000008E-2</v>
      </c>
      <c r="G197" s="221">
        <f t="shared" si="299"/>
        <v>0.435</v>
      </c>
      <c r="H197" s="221">
        <f t="shared" si="300"/>
        <v>1.3050000000000002</v>
      </c>
      <c r="I197" s="221">
        <f t="shared" si="301"/>
        <v>3.48</v>
      </c>
      <c r="J197" s="551">
        <f t="shared" si="302"/>
        <v>20</v>
      </c>
      <c r="K197" s="451">
        <f t="shared" si="303"/>
        <v>695386.58000000007</v>
      </c>
      <c r="L197" s="451">
        <f t="shared" si="304"/>
        <v>695406.58000000007</v>
      </c>
      <c r="M197" s="451"/>
      <c r="N197" s="221">
        <f t="shared" si="305"/>
        <v>0.9999712398464794</v>
      </c>
      <c r="O197" s="176">
        <f t="shared" si="306"/>
        <v>1.8408561460810189</v>
      </c>
      <c r="P197" s="176">
        <f t="shared" si="307"/>
        <v>4.908949722882717</v>
      </c>
      <c r="Q197" s="221">
        <f t="shared" si="308"/>
        <v>0.12272374307206793</v>
      </c>
      <c r="R197" s="221">
        <f t="shared" si="309"/>
        <v>0.23010701826012736</v>
      </c>
      <c r="S197" s="221">
        <f t="shared" si="310"/>
        <v>15</v>
      </c>
      <c r="T197" s="221">
        <f t="shared" si="311"/>
        <v>0.53168195792140061</v>
      </c>
      <c r="U197" s="221">
        <f t="shared" si="312"/>
        <v>0.79752293688210096</v>
      </c>
      <c r="V197" s="221">
        <f t="shared" si="313"/>
        <v>2.2937541788111608E-5</v>
      </c>
      <c r="W197" s="201">
        <f t="shared" si="314"/>
        <v>350</v>
      </c>
      <c r="X197" s="451">
        <f t="shared" si="315"/>
        <v>350</v>
      </c>
      <c r="Z197" s="221">
        <f t="shared" si="316"/>
        <v>1.9047071235171036</v>
      </c>
      <c r="AA197" s="177">
        <f t="shared" si="317"/>
        <v>8.2171867201568798E-5</v>
      </c>
      <c r="AB197" s="177">
        <f t="shared" si="318"/>
        <v>0.34129476953431226</v>
      </c>
      <c r="AC197" s="177"/>
      <c r="AD197" s="177">
        <f t="shared" si="319"/>
        <v>6.4712206554230591E-6</v>
      </c>
      <c r="AE197" s="555">
        <f t="shared" si="320"/>
        <v>14385.718518518523</v>
      </c>
      <c r="AF197" s="538">
        <f t="shared" si="321"/>
        <v>2.1166825946720815E-3</v>
      </c>
      <c r="AH197" s="177">
        <f t="shared" si="322"/>
        <v>0.95468768266306414</v>
      </c>
      <c r="AI197" s="177">
        <f t="shared" si="323"/>
        <v>0.95468768266306414</v>
      </c>
      <c r="AJ197" s="177">
        <f t="shared" si="324"/>
        <v>1.7960649501207882</v>
      </c>
      <c r="AL197" s="555">
        <f t="shared" si="325"/>
        <v>87.000000000000014</v>
      </c>
      <c r="AM197" s="469">
        <f t="shared" si="326"/>
        <v>350</v>
      </c>
      <c r="AO197">
        <f t="shared" si="327"/>
        <v>87.000000000000014</v>
      </c>
      <c r="AP197">
        <f t="shared" si="328"/>
        <v>350</v>
      </c>
      <c r="AR197" s="5">
        <f t="shared" si="249"/>
        <v>2.8571428571428572</v>
      </c>
      <c r="AS197" s="5">
        <f t="shared" si="335"/>
        <v>1.4320315239945962</v>
      </c>
      <c r="AT197" s="5">
        <f t="shared" si="336"/>
        <v>1.425111333148261</v>
      </c>
      <c r="AU197" s="177">
        <f t="shared" si="337"/>
        <v>0.50121103339810869</v>
      </c>
      <c r="AW197" s="5">
        <f t="shared" si="275"/>
        <v>0.83057828391686594</v>
      </c>
      <c r="AX197" s="5"/>
      <c r="AY197" s="5">
        <f t="shared" si="276"/>
        <v>7.7866714117206159</v>
      </c>
      <c r="AZ197" s="5"/>
      <c r="BA197" s="5">
        <f t="shared" si="277"/>
        <v>8.6100476377707444E-2</v>
      </c>
      <c r="BB197" s="5"/>
      <c r="BC197" s="5"/>
      <c r="BD197" s="177">
        <f t="shared" si="278"/>
        <v>0.39022132871584397</v>
      </c>
      <c r="BE197" s="177">
        <f t="shared" si="279"/>
        <v>4850.6432340967212</v>
      </c>
      <c r="BF197" s="177">
        <f t="shared" si="280"/>
        <v>23950.296844428907</v>
      </c>
      <c r="BG197" s="177"/>
      <c r="BH197" s="538">
        <f t="shared" si="281"/>
        <v>5.3295439884665556E-2</v>
      </c>
      <c r="BI197" s="538">
        <f t="shared" si="282"/>
        <v>1161.8181686454818</v>
      </c>
      <c r="BJ197" s="538">
        <f t="shared" si="283"/>
        <v>4.3749999999999995E-3</v>
      </c>
      <c r="BK197" s="538">
        <f t="shared" si="284"/>
        <v>8462830.4513776898</v>
      </c>
      <c r="BL197">
        <f t="shared" si="285"/>
        <v>5.7999999999999996E-3</v>
      </c>
      <c r="BM197">
        <f t="shared" si="329"/>
        <v>1.3124999999999999E-5</v>
      </c>
      <c r="BN197">
        <f t="shared" si="330"/>
        <v>8548045.3441085406</v>
      </c>
      <c r="BO197" s="469">
        <f t="shared" si="286"/>
        <v>8463992333.0167751</v>
      </c>
      <c r="BP197" s="177">
        <f t="shared" si="287"/>
        <v>2.6100000000000002E-2</v>
      </c>
      <c r="BQ197" s="177">
        <f t="shared" si="288"/>
        <v>0.1305</v>
      </c>
      <c r="BR197" s="538"/>
      <c r="BT197" s="469">
        <f t="shared" si="289"/>
        <v>156.60000000000002</v>
      </c>
      <c r="BU197" s="538">
        <f t="shared" si="290"/>
        <v>1.5227268538475875E-2</v>
      </c>
      <c r="BV197" s="538">
        <f t="shared" si="291"/>
        <v>705862.19353464886</v>
      </c>
      <c r="BW197" s="538">
        <f t="shared" si="292"/>
        <v>28680835.946813066</v>
      </c>
      <c r="BX197" s="538">
        <f t="shared" si="293"/>
        <v>0</v>
      </c>
      <c r="BY197" s="538">
        <f t="shared" si="274"/>
        <v>-14.000005955077823</v>
      </c>
      <c r="BZ197" s="538">
        <f t="shared" si="250"/>
        <v>29386698.155574985</v>
      </c>
      <c r="CA197" s="641">
        <f t="shared" si="331"/>
        <v>1.5950000000000002E-2</v>
      </c>
      <c r="CB197" s="469">
        <f t="shared" si="338"/>
        <v>58773382327.094009</v>
      </c>
      <c r="CC197" s="177">
        <f t="shared" si="251"/>
        <v>8548031.5166525859</v>
      </c>
      <c r="CD197" s="5">
        <f t="shared" si="339"/>
        <v>4.7850000000000001</v>
      </c>
      <c r="CE197" s="177">
        <f t="shared" si="340"/>
        <v>5.5977768824810906E-7</v>
      </c>
      <c r="CF197" s="5">
        <f t="shared" si="341"/>
        <v>5.5977768824810906E-5</v>
      </c>
      <c r="CG197">
        <f t="shared" si="342"/>
        <v>87</v>
      </c>
      <c r="CI197" s="571">
        <f t="shared" si="332"/>
        <v>-50</v>
      </c>
      <c r="CJ197">
        <f t="shared" si="333"/>
        <v>-50</v>
      </c>
    </row>
    <row r="198" spans="5:88" x14ac:dyDescent="0.25">
      <c r="E198" s="174">
        <v>88</v>
      </c>
      <c r="F198" s="221">
        <f t="shared" si="334"/>
        <v>8.8000000000000009E-2</v>
      </c>
      <c r="G198" s="221">
        <f t="shared" si="299"/>
        <v>0.44</v>
      </c>
      <c r="H198" s="221">
        <f t="shared" si="300"/>
        <v>1.32</v>
      </c>
      <c r="I198" s="221">
        <f t="shared" si="301"/>
        <v>3.52</v>
      </c>
      <c r="J198" s="551">
        <f t="shared" si="302"/>
        <v>20</v>
      </c>
      <c r="K198" s="451">
        <f t="shared" si="303"/>
        <v>695386.58000000007</v>
      </c>
      <c r="L198" s="451">
        <f t="shared" si="304"/>
        <v>695406.58000000007</v>
      </c>
      <c r="M198" s="451"/>
      <c r="N198" s="221">
        <f t="shared" si="305"/>
        <v>0.9999712398464794</v>
      </c>
      <c r="O198" s="176">
        <f t="shared" si="306"/>
        <v>1.8408561460810189</v>
      </c>
      <c r="P198" s="176">
        <f t="shared" si="307"/>
        <v>4.908949722882717</v>
      </c>
      <c r="Q198" s="221">
        <f t="shared" si="308"/>
        <v>0.12272374307206793</v>
      </c>
      <c r="R198" s="221">
        <f t="shared" si="309"/>
        <v>0.23010701826012736</v>
      </c>
      <c r="S198" s="221">
        <f t="shared" si="310"/>
        <v>15</v>
      </c>
      <c r="T198" s="221">
        <f t="shared" si="311"/>
        <v>0.53779324479406032</v>
      </c>
      <c r="U198" s="221">
        <f t="shared" si="312"/>
        <v>0.80668986719109048</v>
      </c>
      <c r="V198" s="221">
        <f t="shared" si="313"/>
        <v>2.3201191693722084E-5</v>
      </c>
      <c r="W198" s="201">
        <f t="shared" si="314"/>
        <v>350</v>
      </c>
      <c r="X198" s="451">
        <f t="shared" si="315"/>
        <v>350</v>
      </c>
      <c r="Z198" s="221">
        <f t="shared" si="316"/>
        <v>1.9047071235171036</v>
      </c>
      <c r="AA198" s="177">
        <f t="shared" si="317"/>
        <v>8.2171867201568798E-5</v>
      </c>
      <c r="AB198" s="177">
        <f t="shared" si="318"/>
        <v>0.34129476953431226</v>
      </c>
      <c r="AC198" s="177"/>
      <c r="AD198" s="177">
        <f t="shared" si="319"/>
        <v>6.4712206554230591E-6</v>
      </c>
      <c r="AE198" s="555">
        <f t="shared" si="320"/>
        <v>14551.071604938275</v>
      </c>
      <c r="AF198" s="538">
        <f t="shared" si="321"/>
        <v>2.1166825946720815E-3</v>
      </c>
      <c r="AH198" s="177">
        <f t="shared" si="322"/>
        <v>0.96015871703836653</v>
      </c>
      <c r="AI198" s="177">
        <f t="shared" si="323"/>
        <v>0.96015871703836653</v>
      </c>
      <c r="AJ198" s="177">
        <f t="shared" si="324"/>
        <v>1.8001175681765678</v>
      </c>
      <c r="AL198" s="555">
        <f t="shared" si="325"/>
        <v>88.000000000000014</v>
      </c>
      <c r="AM198" s="469">
        <f t="shared" si="326"/>
        <v>350</v>
      </c>
      <c r="AO198">
        <f t="shared" si="327"/>
        <v>88.000000000000014</v>
      </c>
      <c r="AP198">
        <f t="shared" si="328"/>
        <v>350</v>
      </c>
      <c r="AR198" s="5">
        <f t="shared" ref="AR198:AR262" si="343">1/AM198*1000</f>
        <v>2.8571428571428572</v>
      </c>
      <c r="AS198" s="5">
        <f t="shared" si="335"/>
        <v>1.4402380755575499</v>
      </c>
      <c r="AT198" s="5">
        <f t="shared" si="336"/>
        <v>1.4169047815853073</v>
      </c>
      <c r="AU198" s="177">
        <f t="shared" si="337"/>
        <v>0.50408332644514242</v>
      </c>
      <c r="AW198" s="5">
        <f t="shared" si="275"/>
        <v>0.84493967099376266</v>
      </c>
      <c r="AX198" s="5"/>
      <c r="AY198" s="5">
        <f t="shared" si="276"/>
        <v>7.9213094155665233</v>
      </c>
      <c r="AZ198" s="5"/>
      <c r="BA198" s="5">
        <f t="shared" si="277"/>
        <v>8.6588625541324321E-2</v>
      </c>
      <c r="BB198" s="5"/>
      <c r="BC198" s="5"/>
      <c r="BD198" s="177">
        <f t="shared" si="278"/>
        <v>0.39358049538672069</v>
      </c>
      <c r="BE198" s="177">
        <f t="shared" si="279"/>
        <v>4864.3742312212553</v>
      </c>
      <c r="BF198" s="177">
        <f t="shared" si="280"/>
        <v>24018.09433874696</v>
      </c>
      <c r="BG198" s="177"/>
      <c r="BH198" s="538">
        <f t="shared" si="281"/>
        <v>5.4216962222099763E-2</v>
      </c>
      <c r="BI198" s="538">
        <f t="shared" si="282"/>
        <v>1168.476206927467</v>
      </c>
      <c r="BJ198" s="538">
        <f t="shared" si="283"/>
        <v>4.3749999999999995E-3</v>
      </c>
      <c r="BK198" s="538">
        <f t="shared" si="284"/>
        <v>8462830.4513776898</v>
      </c>
      <c r="BL198">
        <f t="shared" si="285"/>
        <v>5.7999999999999996E-3</v>
      </c>
      <c r="BM198">
        <f t="shared" si="329"/>
        <v>1.3124999999999999E-5</v>
      </c>
      <c r="BN198">
        <f t="shared" si="330"/>
        <v>8549520.1013499331</v>
      </c>
      <c r="BO198" s="469">
        <f t="shared" si="286"/>
        <v>8463998991.9765797</v>
      </c>
      <c r="BP198" s="177">
        <f t="shared" si="287"/>
        <v>2.6400000000000003E-2</v>
      </c>
      <c r="BQ198" s="177">
        <f t="shared" si="288"/>
        <v>0.13200000000000001</v>
      </c>
      <c r="BR198" s="538"/>
      <c r="BT198" s="469">
        <f t="shared" si="289"/>
        <v>158.4</v>
      </c>
      <c r="BU198" s="538">
        <f t="shared" si="290"/>
        <v>1.5490560634885648E-2</v>
      </c>
      <c r="BV198" s="538">
        <f t="shared" si="291"/>
        <v>709864.0998410813</v>
      </c>
      <c r="BW198" s="538">
        <f t="shared" si="292"/>
        <v>28843442.783247437</v>
      </c>
      <c r="BX198" s="538">
        <f t="shared" si="293"/>
        <v>0</v>
      </c>
      <c r="BY198" s="538">
        <f t="shared" si="274"/>
        <v>-14.000005921505657</v>
      </c>
      <c r="BZ198" s="538">
        <f t="shared" ref="BZ198:BZ210" si="344">SUM(BU198:BX198)</f>
        <v>29553306.89857908</v>
      </c>
      <c r="CA198" s="641">
        <f t="shared" si="331"/>
        <v>1.6133333333333336E-2</v>
      </c>
      <c r="CB198" s="469">
        <f t="shared" si="338"/>
        <v>59106599813.285568</v>
      </c>
      <c r="CC198" s="177">
        <f t="shared" ref="CC198:CC210" si="345">SUM(BN198,BP198:BS198,BY198, CA198)</f>
        <v>8549506.2758773435</v>
      </c>
      <c r="CD198" s="5">
        <f t="shared" si="339"/>
        <v>4.84</v>
      </c>
      <c r="CE198" s="177">
        <f t="shared" si="340"/>
        <v>5.6611424143441489E-7</v>
      </c>
      <c r="CF198" s="5">
        <f t="shared" si="341"/>
        <v>5.6611424143441489E-5</v>
      </c>
      <c r="CG198">
        <f t="shared" si="342"/>
        <v>88</v>
      </c>
      <c r="CI198" s="571">
        <f t="shared" si="332"/>
        <v>-50</v>
      </c>
      <c r="CJ198">
        <f t="shared" si="333"/>
        <v>-50</v>
      </c>
    </row>
    <row r="199" spans="5:88" x14ac:dyDescent="0.25">
      <c r="E199" s="174">
        <v>89</v>
      </c>
      <c r="F199" s="221">
        <f t="shared" si="334"/>
        <v>8.900000000000001E-2</v>
      </c>
      <c r="G199" s="221">
        <f t="shared" si="299"/>
        <v>0.44500000000000001</v>
      </c>
      <c r="H199" s="221">
        <f t="shared" si="300"/>
        <v>1.3350000000000002</v>
      </c>
      <c r="I199" s="221">
        <f t="shared" si="301"/>
        <v>3.56</v>
      </c>
      <c r="J199" s="551">
        <f t="shared" si="302"/>
        <v>20</v>
      </c>
      <c r="K199" s="451">
        <f t="shared" si="303"/>
        <v>695386.58000000007</v>
      </c>
      <c r="L199" s="451">
        <f t="shared" si="304"/>
        <v>695406.58000000007</v>
      </c>
      <c r="M199" s="451"/>
      <c r="N199" s="221">
        <f t="shared" si="305"/>
        <v>0.9999712398464794</v>
      </c>
      <c r="O199" s="176">
        <f t="shared" si="306"/>
        <v>1.8408561460810189</v>
      </c>
      <c r="P199" s="176">
        <f t="shared" si="307"/>
        <v>4.908949722882717</v>
      </c>
      <c r="Q199" s="221">
        <f t="shared" si="308"/>
        <v>0.12272374307206793</v>
      </c>
      <c r="R199" s="221">
        <f t="shared" si="309"/>
        <v>0.23010701826012736</v>
      </c>
      <c r="S199" s="221">
        <f t="shared" si="310"/>
        <v>15</v>
      </c>
      <c r="T199" s="221">
        <f t="shared" si="311"/>
        <v>0.54390453166672015</v>
      </c>
      <c r="U199" s="221">
        <f t="shared" si="312"/>
        <v>0.81585679750008033</v>
      </c>
      <c r="V199" s="221">
        <f t="shared" si="313"/>
        <v>2.3464841599332566E-5</v>
      </c>
      <c r="W199" s="201">
        <f t="shared" si="314"/>
        <v>350</v>
      </c>
      <c r="X199" s="451">
        <f t="shared" si="315"/>
        <v>350</v>
      </c>
      <c r="Z199" s="221">
        <f t="shared" si="316"/>
        <v>1.9047071235171036</v>
      </c>
      <c r="AA199" s="177">
        <f t="shared" si="317"/>
        <v>8.2171867201568798E-5</v>
      </c>
      <c r="AB199" s="177">
        <f t="shared" si="318"/>
        <v>0.34129476953431226</v>
      </c>
      <c r="AC199" s="177"/>
      <c r="AD199" s="177">
        <f t="shared" si="319"/>
        <v>6.4712206554230591E-6</v>
      </c>
      <c r="AE199" s="555">
        <f t="shared" si="320"/>
        <v>14716.424691358028</v>
      </c>
      <c r="AF199" s="538">
        <f t="shared" si="321"/>
        <v>2.1166825946720815E-3</v>
      </c>
      <c r="AH199" s="177">
        <f t="shared" si="322"/>
        <v>0.96559875330333378</v>
      </c>
      <c r="AI199" s="177">
        <f t="shared" si="323"/>
        <v>0.96559875330333378</v>
      </c>
      <c r="AJ199" s="177">
        <f t="shared" si="324"/>
        <v>1.8041472246691361</v>
      </c>
      <c r="AL199" s="555">
        <f t="shared" si="325"/>
        <v>89.000000000000014</v>
      </c>
      <c r="AM199" s="469">
        <f t="shared" si="326"/>
        <v>350</v>
      </c>
      <c r="AO199">
        <f t="shared" si="327"/>
        <v>89.000000000000014</v>
      </c>
      <c r="AP199">
        <f t="shared" si="328"/>
        <v>350</v>
      </c>
      <c r="AR199" s="5">
        <f t="shared" si="343"/>
        <v>2.8571428571428572</v>
      </c>
      <c r="AS199" s="5">
        <f t="shared" si="335"/>
        <v>1.4483981299550006</v>
      </c>
      <c r="AT199" s="5">
        <f t="shared" si="336"/>
        <v>1.4087447271878566</v>
      </c>
      <c r="AU199" s="177">
        <f t="shared" si="337"/>
        <v>0.50693934548425024</v>
      </c>
      <c r="AW199" s="5">
        <f t="shared" si="275"/>
        <v>0.85938289043996707</v>
      </c>
      <c r="AX199" s="5"/>
      <c r="AY199" s="5">
        <f t="shared" si="276"/>
        <v>8.0567145978746897</v>
      </c>
      <c r="AZ199" s="5"/>
      <c r="BA199" s="5">
        <f t="shared" si="277"/>
        <v>8.7068250499805031E-2</v>
      </c>
      <c r="BB199" s="5"/>
      <c r="BC199" s="5"/>
      <c r="BD199" s="177">
        <f t="shared" si="278"/>
        <v>0.39693013228274066</v>
      </c>
      <c r="BE199" s="177">
        <f t="shared" si="279"/>
        <v>4877.8278077967034</v>
      </c>
      <c r="BF199" s="177">
        <f t="shared" si="280"/>
        <v>24084.522055041638</v>
      </c>
      <c r="BG199" s="177"/>
      <c r="BH199" s="538">
        <f t="shared" si="281"/>
        <v>5.5143735469897891E-2</v>
      </c>
      <c r="BI199" s="538">
        <f t="shared" si="282"/>
        <v>1175.0965217021367</v>
      </c>
      <c r="BJ199" s="538">
        <f t="shared" si="283"/>
        <v>4.3749999999999995E-3</v>
      </c>
      <c r="BK199" s="538">
        <f t="shared" si="284"/>
        <v>8462830.4513776898</v>
      </c>
      <c r="BL199">
        <f t="shared" si="285"/>
        <v>5.7999999999999996E-3</v>
      </c>
      <c r="BM199">
        <f t="shared" si="329"/>
        <v>1.3124999999999999E-5</v>
      </c>
      <c r="BN199">
        <f t="shared" si="330"/>
        <v>8551003.6964125987</v>
      </c>
      <c r="BO199" s="469">
        <f t="shared" si="286"/>
        <v>8464005613.2181273</v>
      </c>
      <c r="BP199" s="177">
        <f t="shared" si="287"/>
        <v>2.6700000000000002E-2</v>
      </c>
      <c r="BQ199" s="177">
        <f t="shared" si="288"/>
        <v>0.13350000000000001</v>
      </c>
      <c r="BR199" s="538"/>
      <c r="BT199" s="469">
        <f t="shared" si="289"/>
        <v>160.20000000000002</v>
      </c>
      <c r="BU199" s="538">
        <f t="shared" si="290"/>
        <v>1.57553529913994E-2</v>
      </c>
      <c r="BV199" s="538">
        <f t="shared" si="291"/>
        <v>713796.1236754437</v>
      </c>
      <c r="BW199" s="538">
        <f t="shared" si="292"/>
        <v>29003210.130989358</v>
      </c>
      <c r="BX199" s="538">
        <f t="shared" si="293"/>
        <v>0</v>
      </c>
      <c r="BY199" s="538">
        <f t="shared" si="274"/>
        <v>-14.000005888886387</v>
      </c>
      <c r="BZ199" s="538">
        <f t="shared" si="344"/>
        <v>29717006.270420156</v>
      </c>
      <c r="CA199" s="641">
        <f t="shared" si="331"/>
        <v>1.631666666666667E-2</v>
      </c>
      <c r="CB199" s="469">
        <f t="shared" si="338"/>
        <v>59433998557.151093</v>
      </c>
      <c r="CC199" s="177">
        <f t="shared" si="345"/>
        <v>8550989.872923376</v>
      </c>
      <c r="CD199" s="5">
        <f t="shared" si="339"/>
        <v>4.8950000000000005</v>
      </c>
      <c r="CE199" s="177">
        <f t="shared" si="340"/>
        <v>5.7244801720171796E-7</v>
      </c>
      <c r="CF199" s="5">
        <f t="shared" si="341"/>
        <v>5.7244801720171793E-5</v>
      </c>
      <c r="CG199">
        <f t="shared" si="342"/>
        <v>89</v>
      </c>
      <c r="CI199" s="571">
        <f t="shared" si="332"/>
        <v>-50</v>
      </c>
      <c r="CJ199">
        <f t="shared" si="333"/>
        <v>-50</v>
      </c>
    </row>
    <row r="200" spans="5:88" x14ac:dyDescent="0.25">
      <c r="E200" s="174">
        <v>90</v>
      </c>
      <c r="F200" s="221">
        <f t="shared" si="334"/>
        <v>9.0000000000000011E-2</v>
      </c>
      <c r="G200" s="221">
        <f t="shared" si="299"/>
        <v>0.45</v>
      </c>
      <c r="H200" s="221">
        <f t="shared" si="300"/>
        <v>1.35</v>
      </c>
      <c r="I200" s="221">
        <f t="shared" si="301"/>
        <v>3.6</v>
      </c>
      <c r="J200" s="551">
        <f t="shared" si="302"/>
        <v>20</v>
      </c>
      <c r="K200" s="451">
        <f t="shared" si="303"/>
        <v>695386.58000000007</v>
      </c>
      <c r="L200" s="451">
        <f t="shared" si="304"/>
        <v>695406.58000000007</v>
      </c>
      <c r="M200" s="451"/>
      <c r="N200" s="221">
        <f t="shared" si="305"/>
        <v>0.9999712398464794</v>
      </c>
      <c r="O200" s="176">
        <f t="shared" si="306"/>
        <v>1.8408561460810189</v>
      </c>
      <c r="P200" s="176">
        <f t="shared" si="307"/>
        <v>4.908949722882717</v>
      </c>
      <c r="Q200" s="221">
        <f t="shared" si="308"/>
        <v>0.12272374307206793</v>
      </c>
      <c r="R200" s="221">
        <f t="shared" si="309"/>
        <v>0.23010701826012736</v>
      </c>
      <c r="S200" s="221">
        <f t="shared" si="310"/>
        <v>15</v>
      </c>
      <c r="T200" s="221">
        <f t="shared" si="311"/>
        <v>0.55001581853937997</v>
      </c>
      <c r="U200" s="221">
        <f t="shared" si="312"/>
        <v>0.82502372780907007</v>
      </c>
      <c r="V200" s="221">
        <f t="shared" si="313"/>
        <v>2.3728491504943049E-5</v>
      </c>
      <c r="W200" s="201">
        <f t="shared" si="314"/>
        <v>350</v>
      </c>
      <c r="X200" s="451">
        <f t="shared" si="315"/>
        <v>350</v>
      </c>
      <c r="Z200" s="221">
        <f t="shared" si="316"/>
        <v>1.9047071235171036</v>
      </c>
      <c r="AA200" s="177">
        <f t="shared" si="317"/>
        <v>8.2171867201568798E-5</v>
      </c>
      <c r="AB200" s="177">
        <f t="shared" si="318"/>
        <v>0.34129476953431226</v>
      </c>
      <c r="AC200" s="177"/>
      <c r="AD200" s="177">
        <f t="shared" si="319"/>
        <v>6.4712206554230591E-6</v>
      </c>
      <c r="AE200" s="555">
        <f t="shared" si="320"/>
        <v>14881.777777777783</v>
      </c>
      <c r="AF200" s="538">
        <f t="shared" si="321"/>
        <v>2.1166825946720815E-3</v>
      </c>
      <c r="AH200" s="177">
        <f t="shared" si="322"/>
        <v>0.97100831245522445</v>
      </c>
      <c r="AI200" s="177">
        <f t="shared" si="323"/>
        <v>0.97100831245522445</v>
      </c>
      <c r="AJ200" s="177">
        <f t="shared" si="324"/>
        <v>1.8081543055223883</v>
      </c>
      <c r="AL200" s="555">
        <f t="shared" si="325"/>
        <v>90.000000000000014</v>
      </c>
      <c r="AM200" s="469">
        <f t="shared" si="326"/>
        <v>350</v>
      </c>
      <c r="AO200">
        <f t="shared" si="327"/>
        <v>90.000000000000014</v>
      </c>
      <c r="AP200">
        <f t="shared" si="328"/>
        <v>350</v>
      </c>
      <c r="AR200" s="5">
        <f t="shared" si="343"/>
        <v>2.8571428571428572</v>
      </c>
      <c r="AS200" s="5">
        <f t="shared" si="335"/>
        <v>1.4565124686828368</v>
      </c>
      <c r="AT200" s="5">
        <f t="shared" si="336"/>
        <v>1.4006303884600204</v>
      </c>
      <c r="AU200" s="177">
        <f t="shared" si="337"/>
        <v>0.50977936403899282</v>
      </c>
      <c r="AW200" s="5">
        <f t="shared" si="275"/>
        <v>0.87390748120970208</v>
      </c>
      <c r="AX200" s="5"/>
      <c r="AY200" s="5">
        <f t="shared" si="276"/>
        <v>8.1928826363409577</v>
      </c>
      <c r="AZ200" s="5"/>
      <c r="BA200" s="5">
        <f t="shared" si="277"/>
        <v>8.7539399278751262E-2</v>
      </c>
      <c r="BB200" s="5"/>
      <c r="BC200" s="5"/>
      <c r="BD200" s="177">
        <f t="shared" si="278"/>
        <v>0.40027037306689589</v>
      </c>
      <c r="BE200" s="177">
        <f t="shared" si="279"/>
        <v>4891.0075947513833</v>
      </c>
      <c r="BF200" s="177">
        <f t="shared" si="280"/>
        <v>24149.597921205535</v>
      </c>
      <c r="BG200" s="177"/>
      <c r="BH200" s="538">
        <f t="shared" si="281"/>
        <v>5.6075730044289201E-2</v>
      </c>
      <c r="BI200" s="538">
        <f t="shared" si="282"/>
        <v>1181.6797470031036</v>
      </c>
      <c r="BJ200" s="538">
        <f t="shared" si="283"/>
        <v>4.3749999999999995E-3</v>
      </c>
      <c r="BK200" s="538">
        <f t="shared" si="284"/>
        <v>8462830.4513776898</v>
      </c>
      <c r="BL200">
        <f t="shared" si="285"/>
        <v>5.7999999999999996E-3</v>
      </c>
      <c r="BM200">
        <f t="shared" si="329"/>
        <v>1.3124999999999999E-5</v>
      </c>
      <c r="BN200">
        <f t="shared" si="330"/>
        <v>8552496.0917057656</v>
      </c>
      <c r="BO200" s="469">
        <f t="shared" si="286"/>
        <v>8464012197.3754225</v>
      </c>
      <c r="BP200" s="177">
        <f t="shared" si="287"/>
        <v>2.7000000000000003E-2</v>
      </c>
      <c r="BQ200" s="177">
        <f t="shared" si="288"/>
        <v>0.13500000000000001</v>
      </c>
      <c r="BR200" s="538"/>
      <c r="BT200" s="469">
        <f t="shared" si="289"/>
        <v>162</v>
      </c>
      <c r="BU200" s="538">
        <f t="shared" si="290"/>
        <v>1.6021637155511203E-2</v>
      </c>
      <c r="BV200" s="538">
        <f t="shared" si="291"/>
        <v>717658.65875747125</v>
      </c>
      <c r="BW200" s="538">
        <f t="shared" si="292"/>
        <v>29160153.987794735</v>
      </c>
      <c r="BX200" s="538">
        <f t="shared" si="293"/>
        <v>0</v>
      </c>
      <c r="BY200" s="538">
        <f t="shared" si="274"/>
        <v>-14.000005857191596</v>
      </c>
      <c r="BZ200" s="538">
        <f t="shared" si="344"/>
        <v>29877812.662573844</v>
      </c>
      <c r="CA200" s="641">
        <f t="shared" si="331"/>
        <v>1.6500000000000001E-2</v>
      </c>
      <c r="CB200" s="469">
        <f t="shared" si="338"/>
        <v>59755611341.641838</v>
      </c>
      <c r="CC200" s="177">
        <f t="shared" si="345"/>
        <v>8552482.2701999079</v>
      </c>
      <c r="CD200" s="5">
        <f t="shared" si="339"/>
        <v>4.95</v>
      </c>
      <c r="CE200" s="177">
        <f t="shared" si="340"/>
        <v>5.7877899990411187E-7</v>
      </c>
      <c r="CF200" s="5">
        <f t="shared" si="341"/>
        <v>5.7877899990411184E-5</v>
      </c>
      <c r="CG200">
        <f t="shared" si="342"/>
        <v>90</v>
      </c>
      <c r="CI200" s="571">
        <f t="shared" si="332"/>
        <v>-50</v>
      </c>
      <c r="CJ200">
        <f t="shared" si="333"/>
        <v>-50</v>
      </c>
    </row>
    <row r="201" spans="5:88" x14ac:dyDescent="0.25">
      <c r="E201" s="174">
        <v>91</v>
      </c>
      <c r="F201" s="221">
        <f t="shared" si="334"/>
        <v>9.1000000000000011E-2</v>
      </c>
      <c r="G201" s="221">
        <f t="shared" si="299"/>
        <v>0.45500000000000002</v>
      </c>
      <c r="H201" s="221">
        <f t="shared" si="300"/>
        <v>1.3650000000000002</v>
      </c>
      <c r="I201" s="221">
        <f t="shared" si="301"/>
        <v>3.64</v>
      </c>
      <c r="J201" s="551">
        <f t="shared" si="302"/>
        <v>20</v>
      </c>
      <c r="K201" s="451">
        <f t="shared" si="303"/>
        <v>695386.58000000007</v>
      </c>
      <c r="L201" s="451">
        <f t="shared" si="304"/>
        <v>695406.58000000007</v>
      </c>
      <c r="M201" s="451"/>
      <c r="N201" s="221">
        <f t="shared" si="305"/>
        <v>0.9999712398464794</v>
      </c>
      <c r="O201" s="176">
        <f t="shared" si="306"/>
        <v>1.8408561460810189</v>
      </c>
      <c r="P201" s="176">
        <f t="shared" si="307"/>
        <v>4.908949722882717</v>
      </c>
      <c r="Q201" s="221">
        <f t="shared" si="308"/>
        <v>0.12272374307206793</v>
      </c>
      <c r="R201" s="221">
        <f t="shared" si="309"/>
        <v>0.23010701826012736</v>
      </c>
      <c r="S201" s="221">
        <f t="shared" si="310"/>
        <v>15</v>
      </c>
      <c r="T201" s="221">
        <f t="shared" si="311"/>
        <v>0.5561271054120398</v>
      </c>
      <c r="U201" s="221">
        <f t="shared" si="312"/>
        <v>0.8341906581180597</v>
      </c>
      <c r="V201" s="221">
        <f t="shared" si="313"/>
        <v>2.3992141410553524E-5</v>
      </c>
      <c r="W201" s="201">
        <f t="shared" si="314"/>
        <v>350</v>
      </c>
      <c r="X201" s="451">
        <f t="shared" si="315"/>
        <v>350</v>
      </c>
      <c r="Z201" s="221">
        <f t="shared" si="316"/>
        <v>1.9047071235171036</v>
      </c>
      <c r="AA201" s="177">
        <f t="shared" si="317"/>
        <v>8.2171867201568798E-5</v>
      </c>
      <c r="AB201" s="177">
        <f t="shared" si="318"/>
        <v>0.34129476953431226</v>
      </c>
      <c r="AC201" s="177"/>
      <c r="AD201" s="177">
        <f t="shared" si="319"/>
        <v>6.4712206554230591E-6</v>
      </c>
      <c r="AE201" s="555">
        <f t="shared" si="320"/>
        <v>15047.130864197536</v>
      </c>
      <c r="AF201" s="538">
        <f t="shared" si="321"/>
        <v>2.1166825946720815E-3</v>
      </c>
      <c r="AH201" s="177">
        <f t="shared" si="322"/>
        <v>0.97638790105845408</v>
      </c>
      <c r="AI201" s="177">
        <f t="shared" si="323"/>
        <v>0.97638790105845408</v>
      </c>
      <c r="AJ201" s="177">
        <f t="shared" si="324"/>
        <v>1.8121391859692251</v>
      </c>
      <c r="AL201" s="555">
        <f t="shared" si="325"/>
        <v>91.000000000000014</v>
      </c>
      <c r="AM201" s="469">
        <f t="shared" si="326"/>
        <v>350</v>
      </c>
      <c r="AO201">
        <f t="shared" si="327"/>
        <v>91.000000000000014</v>
      </c>
      <c r="AP201">
        <f t="shared" si="328"/>
        <v>350</v>
      </c>
      <c r="AR201" s="5">
        <f t="shared" si="343"/>
        <v>2.8571428571428572</v>
      </c>
      <c r="AS201" s="5">
        <f t="shared" si="335"/>
        <v>1.4645818515876809</v>
      </c>
      <c r="AT201" s="5">
        <f t="shared" si="336"/>
        <v>1.3925610055551763</v>
      </c>
      <c r="AU201" s="177">
        <f t="shared" si="337"/>
        <v>0.51260364805568837</v>
      </c>
      <c r="AW201" s="5">
        <f t="shared" si="275"/>
        <v>0.88851298996319328</v>
      </c>
      <c r="AX201" s="5"/>
      <c r="AY201" s="5">
        <f t="shared" si="276"/>
        <v>8.3298092809049358</v>
      </c>
      <c r="AZ201" s="5"/>
      <c r="BA201" s="5">
        <f t="shared" si="277"/>
        <v>8.8002119101056278E-2</v>
      </c>
      <c r="BB201" s="5"/>
      <c r="BC201" s="5"/>
      <c r="BD201" s="177">
        <f t="shared" si="278"/>
        <v>0.4036013480650415</v>
      </c>
      <c r="BE201" s="177">
        <f t="shared" si="279"/>
        <v>4903.9171153483494</v>
      </c>
      <c r="BF201" s="177">
        <f t="shared" si="280"/>
        <v>24213.339333528591</v>
      </c>
      <c r="BG201" s="177"/>
      <c r="BH201" s="538">
        <f t="shared" si="281"/>
        <v>5.7012916855971568E-2</v>
      </c>
      <c r="BI201" s="538">
        <f t="shared" si="282"/>
        <v>1188.2264992997666</v>
      </c>
      <c r="BJ201" s="538">
        <f t="shared" si="283"/>
        <v>4.3749999999999995E-3</v>
      </c>
      <c r="BK201" s="538">
        <f t="shared" si="284"/>
        <v>8462830.4513776898</v>
      </c>
      <c r="BL201">
        <f t="shared" si="285"/>
        <v>5.7999999999999996E-3</v>
      </c>
      <c r="BM201">
        <f t="shared" si="329"/>
        <v>1.3124999999999999E-5</v>
      </c>
      <c r="BN201">
        <f t="shared" si="330"/>
        <v>8553997.2504020892</v>
      </c>
      <c r="BO201" s="469">
        <f t="shared" si="286"/>
        <v>8464018745.0649071</v>
      </c>
      <c r="BP201" s="177">
        <f t="shared" si="287"/>
        <v>2.7300000000000001E-2</v>
      </c>
      <c r="BQ201" s="177">
        <f t="shared" si="288"/>
        <v>0.13650000000000001</v>
      </c>
      <c r="BR201" s="538"/>
      <c r="BT201" s="469">
        <f t="shared" si="289"/>
        <v>163.80000000000001</v>
      </c>
      <c r="BU201" s="538">
        <f t="shared" si="290"/>
        <v>1.6289404815991879E-2</v>
      </c>
      <c r="BV201" s="538">
        <f t="shared" si="291"/>
        <v>721452.09222619422</v>
      </c>
      <c r="BW201" s="538">
        <f t="shared" si="292"/>
        <v>29314290.08403014</v>
      </c>
      <c r="BX201" s="538">
        <f t="shared" si="293"/>
        <v>0</v>
      </c>
      <c r="BY201" s="538">
        <f t="shared" si="274"/>
        <v>-14.000005826394158</v>
      </c>
      <c r="BZ201" s="538">
        <f t="shared" si="344"/>
        <v>30035742.192545738</v>
      </c>
      <c r="CA201" s="641">
        <f t="shared" si="331"/>
        <v>1.6683333333333338E-2</v>
      </c>
      <c r="CB201" s="469">
        <f t="shared" si="338"/>
        <v>60071470401.768982</v>
      </c>
      <c r="CC201" s="177">
        <f t="shared" si="345"/>
        <v>8553983.4308795948</v>
      </c>
      <c r="CD201" s="5">
        <f t="shared" si="339"/>
        <v>5.0050000000000008</v>
      </c>
      <c r="CE201" s="177">
        <f t="shared" si="340"/>
        <v>5.8510717398290973E-7</v>
      </c>
      <c r="CF201" s="5">
        <f t="shared" si="341"/>
        <v>5.8510717398290974E-5</v>
      </c>
      <c r="CG201">
        <f t="shared" si="342"/>
        <v>91</v>
      </c>
      <c r="CI201" s="571">
        <f t="shared" si="332"/>
        <v>-50</v>
      </c>
      <c r="CJ201">
        <f t="shared" si="333"/>
        <v>-50</v>
      </c>
    </row>
    <row r="202" spans="5:88" x14ac:dyDescent="0.25">
      <c r="E202" s="174">
        <v>92</v>
      </c>
      <c r="F202" s="221">
        <f t="shared" si="334"/>
        <v>9.2000000000000012E-2</v>
      </c>
      <c r="G202" s="221">
        <f t="shared" si="299"/>
        <v>0.46</v>
      </c>
      <c r="H202" s="221">
        <f t="shared" si="300"/>
        <v>1.3800000000000001</v>
      </c>
      <c r="I202" s="221">
        <f t="shared" si="301"/>
        <v>3.68</v>
      </c>
      <c r="J202" s="551">
        <f t="shared" si="302"/>
        <v>20</v>
      </c>
      <c r="K202" s="451">
        <f t="shared" si="303"/>
        <v>695386.58000000007</v>
      </c>
      <c r="L202" s="451">
        <f t="shared" si="304"/>
        <v>695406.58000000007</v>
      </c>
      <c r="M202" s="451"/>
      <c r="N202" s="221">
        <f t="shared" si="305"/>
        <v>0.9999712398464794</v>
      </c>
      <c r="O202" s="176">
        <f t="shared" si="306"/>
        <v>1.8408561460810189</v>
      </c>
      <c r="P202" s="176">
        <f t="shared" si="307"/>
        <v>4.908949722882717</v>
      </c>
      <c r="Q202" s="221">
        <f t="shared" si="308"/>
        <v>0.12272374307206793</v>
      </c>
      <c r="R202" s="221">
        <f t="shared" si="309"/>
        <v>0.23010701826012736</v>
      </c>
      <c r="S202" s="221">
        <f t="shared" si="310"/>
        <v>15</v>
      </c>
      <c r="T202" s="221">
        <f t="shared" si="311"/>
        <v>0.56223839228469952</v>
      </c>
      <c r="U202" s="221">
        <f t="shared" si="312"/>
        <v>0.84335758842704933</v>
      </c>
      <c r="V202" s="221">
        <f t="shared" si="313"/>
        <v>2.4255791316164E-5</v>
      </c>
      <c r="W202" s="201">
        <f t="shared" si="314"/>
        <v>350</v>
      </c>
      <c r="X202" s="451">
        <f t="shared" si="315"/>
        <v>350</v>
      </c>
      <c r="Z202" s="221">
        <f t="shared" si="316"/>
        <v>1.9047071235171036</v>
      </c>
      <c r="AA202" s="177">
        <f t="shared" si="317"/>
        <v>8.2171867201568798E-5</v>
      </c>
      <c r="AB202" s="177">
        <f t="shared" si="318"/>
        <v>0.34129476953431226</v>
      </c>
      <c r="AC202" s="177"/>
      <c r="AD202" s="177">
        <f t="shared" si="319"/>
        <v>6.4712206554230591E-6</v>
      </c>
      <c r="AE202" s="555">
        <f t="shared" si="320"/>
        <v>15212.483950617288</v>
      </c>
      <c r="AF202" s="538">
        <f t="shared" si="321"/>
        <v>2.1166825946720815E-3</v>
      </c>
      <c r="AH202" s="177">
        <f t="shared" si="322"/>
        <v>0.98173801179822096</v>
      </c>
      <c r="AI202" s="177">
        <f t="shared" si="323"/>
        <v>0.98173801179822096</v>
      </c>
      <c r="AJ202" s="177">
        <f t="shared" si="324"/>
        <v>1.816102230961645</v>
      </c>
      <c r="AL202" s="555">
        <f t="shared" si="325"/>
        <v>92.000000000000014</v>
      </c>
      <c r="AM202" s="469">
        <f t="shared" si="326"/>
        <v>350</v>
      </c>
      <c r="AO202">
        <f t="shared" si="327"/>
        <v>92.000000000000014</v>
      </c>
      <c r="AP202">
        <f t="shared" si="328"/>
        <v>350</v>
      </c>
      <c r="AR202" s="5">
        <f t="shared" si="343"/>
        <v>2.8571428571428572</v>
      </c>
      <c r="AS202" s="5">
        <f t="shared" si="335"/>
        <v>1.4726070176973316</v>
      </c>
      <c r="AT202" s="5">
        <f t="shared" si="336"/>
        <v>1.3845358394455256</v>
      </c>
      <c r="AU202" s="177">
        <f t="shared" si="337"/>
        <v>0.51541245619406606</v>
      </c>
      <c r="AW202" s="5">
        <f t="shared" si="275"/>
        <v>0.9031989708543634</v>
      </c>
      <c r="AX202" s="5"/>
      <c r="AY202" s="5">
        <f t="shared" si="276"/>
        <v>8.4674903517596576</v>
      </c>
      <c r="AZ202" s="5"/>
      <c r="BA202" s="5">
        <f t="shared" si="277"/>
        <v>8.8456456409019682E-2</v>
      </c>
      <c r="BB202" s="5"/>
      <c r="BC202" s="5"/>
      <c r="BD202" s="177">
        <f t="shared" si="278"/>
        <v>0.4069231843849237</v>
      </c>
      <c r="BE202" s="177">
        <f t="shared" si="279"/>
        <v>4916.5597891928537</v>
      </c>
      <c r="BF202" s="177">
        <f t="shared" si="280"/>
        <v>24275.76317648507</v>
      </c>
      <c r="BG202" s="177"/>
      <c r="BH202" s="538">
        <f t="shared" si="281"/>
        <v>5.7955267296488311E-2</v>
      </c>
      <c r="BI202" s="538">
        <f t="shared" si="282"/>
        <v>1194.737378171051</v>
      </c>
      <c r="BJ202" s="538">
        <f t="shared" si="283"/>
        <v>4.3749999999999995E-3</v>
      </c>
      <c r="BK202" s="538">
        <f t="shared" si="284"/>
        <v>8462830.4513776898</v>
      </c>
      <c r="BL202">
        <f t="shared" si="285"/>
        <v>5.7999999999999996E-3</v>
      </c>
      <c r="BM202">
        <f t="shared" si="329"/>
        <v>1.3124999999999999E-5</v>
      </c>
      <c r="BN202">
        <f t="shared" si="330"/>
        <v>8555507.13641713</v>
      </c>
      <c r="BO202" s="469">
        <f t="shared" si="286"/>
        <v>8464025256.8861284</v>
      </c>
      <c r="BP202" s="177">
        <f t="shared" si="287"/>
        <v>2.7600000000000003E-2</v>
      </c>
      <c r="BQ202" s="177">
        <f t="shared" si="288"/>
        <v>0.13800000000000001</v>
      </c>
      <c r="BR202" s="538"/>
      <c r="BT202" s="469">
        <f t="shared" si="289"/>
        <v>165.60000000000002</v>
      </c>
      <c r="BU202" s="538">
        <f t="shared" si="290"/>
        <v>1.6558647798996663E-2</v>
      </c>
      <c r="BV202" s="538">
        <f t="shared" si="291"/>
        <v>725176.80482124235</v>
      </c>
      <c r="BW202" s="538">
        <f t="shared" si="292"/>
        <v>29465633.890039429</v>
      </c>
      <c r="BX202" s="538">
        <f t="shared" si="293"/>
        <v>0</v>
      </c>
      <c r="BY202" s="538">
        <f t="shared" si="274"/>
        <v>-14.000005796468143</v>
      </c>
      <c r="BZ202" s="538">
        <f t="shared" si="344"/>
        <v>30190810.711419318</v>
      </c>
      <c r="CA202" s="641">
        <f t="shared" si="331"/>
        <v>1.6866666666666669E-2</v>
      </c>
      <c r="CB202" s="469">
        <f t="shared" si="338"/>
        <v>60381607439.699509</v>
      </c>
      <c r="CC202" s="177">
        <f t="shared" si="345"/>
        <v>8555493.3188780006</v>
      </c>
      <c r="CD202" s="5">
        <f t="shared" si="339"/>
        <v>5.0600000000000005</v>
      </c>
      <c r="CE202" s="177">
        <f t="shared" si="340"/>
        <v>5.9143252396520081E-7</v>
      </c>
      <c r="CF202" s="5">
        <f t="shared" si="341"/>
        <v>5.9143252396520079E-5</v>
      </c>
      <c r="CG202">
        <f t="shared" si="342"/>
        <v>92</v>
      </c>
      <c r="CI202" s="571">
        <f t="shared" si="332"/>
        <v>-50</v>
      </c>
      <c r="CJ202">
        <f t="shared" si="333"/>
        <v>-50</v>
      </c>
    </row>
    <row r="203" spans="5:88" x14ac:dyDescent="0.25">
      <c r="E203" s="174">
        <v>93</v>
      </c>
      <c r="F203" s="221">
        <f t="shared" si="334"/>
        <v>9.3000000000000013E-2</v>
      </c>
      <c r="G203" s="221">
        <f t="shared" si="299"/>
        <v>0.46500000000000002</v>
      </c>
      <c r="H203" s="221">
        <f t="shared" si="300"/>
        <v>1.3950000000000002</v>
      </c>
      <c r="I203" s="221">
        <f t="shared" si="301"/>
        <v>3.72</v>
      </c>
      <c r="J203" s="551">
        <f t="shared" si="302"/>
        <v>20</v>
      </c>
      <c r="K203" s="451">
        <f t="shared" si="303"/>
        <v>695386.58000000007</v>
      </c>
      <c r="L203" s="451">
        <f t="shared" si="304"/>
        <v>695406.58000000007</v>
      </c>
      <c r="M203" s="451"/>
      <c r="N203" s="221">
        <f t="shared" si="305"/>
        <v>0.9999712398464794</v>
      </c>
      <c r="O203" s="176">
        <f t="shared" si="306"/>
        <v>1.8408561460810189</v>
      </c>
      <c r="P203" s="176">
        <f t="shared" si="307"/>
        <v>4.908949722882717</v>
      </c>
      <c r="Q203" s="221">
        <f t="shared" si="308"/>
        <v>0.12272374307206793</v>
      </c>
      <c r="R203" s="221">
        <f t="shared" si="309"/>
        <v>0.23010701826012736</v>
      </c>
      <c r="S203" s="221">
        <f t="shared" si="310"/>
        <v>15</v>
      </c>
      <c r="T203" s="221">
        <f t="shared" si="311"/>
        <v>0.56834967915735923</v>
      </c>
      <c r="U203" s="221">
        <f t="shared" si="312"/>
        <v>0.85252451873603896</v>
      </c>
      <c r="V203" s="221">
        <f t="shared" si="313"/>
        <v>2.4519441221774476E-5</v>
      </c>
      <c r="W203" s="201">
        <f t="shared" si="314"/>
        <v>350</v>
      </c>
      <c r="X203" s="451">
        <f t="shared" si="315"/>
        <v>350</v>
      </c>
      <c r="Z203" s="221">
        <f t="shared" si="316"/>
        <v>1.9047071235171036</v>
      </c>
      <c r="AA203" s="177">
        <f t="shared" si="317"/>
        <v>8.2171867201568798E-5</v>
      </c>
      <c r="AB203" s="177">
        <f t="shared" si="318"/>
        <v>0.34129476953431226</v>
      </c>
      <c r="AC203" s="177"/>
      <c r="AD203" s="177">
        <f t="shared" si="319"/>
        <v>6.4712206554230591E-6</v>
      </c>
      <c r="AE203" s="555">
        <f t="shared" si="320"/>
        <v>15377.837037037041</v>
      </c>
      <c r="AF203" s="538">
        <f t="shared" si="321"/>
        <v>2.1166825946720815E-3</v>
      </c>
      <c r="AH203" s="177">
        <f t="shared" si="322"/>
        <v>0.9870591240071257</v>
      </c>
      <c r="AI203" s="177">
        <f t="shared" si="323"/>
        <v>0.9870591240071257</v>
      </c>
      <c r="AJ203" s="177">
        <f t="shared" si="324"/>
        <v>1.8200437955608337</v>
      </c>
      <c r="AL203" s="555">
        <f t="shared" si="325"/>
        <v>93.000000000000014</v>
      </c>
      <c r="AM203" s="469">
        <f t="shared" si="326"/>
        <v>350</v>
      </c>
      <c r="AO203">
        <f t="shared" si="327"/>
        <v>93.000000000000014</v>
      </c>
      <c r="AP203">
        <f t="shared" si="328"/>
        <v>350</v>
      </c>
      <c r="AR203" s="5">
        <f t="shared" si="343"/>
        <v>2.8571428571428572</v>
      </c>
      <c r="AS203" s="5">
        <f t="shared" si="335"/>
        <v>1.4805886860106885</v>
      </c>
      <c r="AT203" s="5">
        <f t="shared" si="336"/>
        <v>1.3765541711321687</v>
      </c>
      <c r="AU203" s="177">
        <f t="shared" si="337"/>
        <v>0.51820604010374094</v>
      </c>
      <c r="AW203" s="5">
        <f t="shared" si="275"/>
        <v>0.91796498532662696</v>
      </c>
      <c r="AX203" s="5"/>
      <c r="AY203" s="5">
        <f t="shared" si="276"/>
        <v>8.6059217374371286</v>
      </c>
      <c r="AZ203" s="5"/>
      <c r="BA203" s="5">
        <f t="shared" si="277"/>
        <v>8.8902456885619235E-2</v>
      </c>
      <c r="BB203" s="5"/>
      <c r="BC203" s="5"/>
      <c r="BD203" s="177">
        <f t="shared" si="278"/>
        <v>0.4102360060297181</v>
      </c>
      <c r="BE203" s="177">
        <f t="shared" si="279"/>
        <v>4928.938936043035</v>
      </c>
      <c r="BF203" s="177">
        <f t="shared" si="280"/>
        <v>24336.885841549069</v>
      </c>
      <c r="BG203" s="177"/>
      <c r="BH203" s="538">
        <f t="shared" si="281"/>
        <v>5.8902753225125212E-2</v>
      </c>
      <c r="BI203" s="538">
        <f t="shared" si="282"/>
        <v>1201.2129669462847</v>
      </c>
      <c r="BJ203" s="538">
        <f t="shared" si="283"/>
        <v>4.3749999999999995E-3</v>
      </c>
      <c r="BK203" s="538">
        <f t="shared" si="284"/>
        <v>8462830.4513776898</v>
      </c>
      <c r="BL203">
        <f t="shared" si="285"/>
        <v>5.7999999999999996E-3</v>
      </c>
      <c r="BM203">
        <f t="shared" si="329"/>
        <v>1.3124999999999999E-5</v>
      </c>
      <c r="BN203">
        <f t="shared" si="330"/>
        <v>8557025.714389598</v>
      </c>
      <c r="BO203" s="469">
        <f t="shared" si="286"/>
        <v>8464031733.422389</v>
      </c>
      <c r="BP203" s="177">
        <f t="shared" si="287"/>
        <v>2.7900000000000005E-2</v>
      </c>
      <c r="BQ203" s="177">
        <f t="shared" si="288"/>
        <v>0.13950000000000001</v>
      </c>
      <c r="BR203" s="538"/>
      <c r="BT203" s="469">
        <f t="shared" si="289"/>
        <v>167.40000000000003</v>
      </c>
      <c r="BU203" s="538">
        <f t="shared" si="290"/>
        <v>1.6829358064321492E-2</v>
      </c>
      <c r="BV203" s="538">
        <f t="shared" si="291"/>
        <v>728833.17105723138</v>
      </c>
      <c r="BW203" s="538">
        <f t="shared" si="292"/>
        <v>29614200.623229578</v>
      </c>
      <c r="BX203" s="538">
        <f t="shared" si="293"/>
        <v>0</v>
      </c>
      <c r="BY203" s="538">
        <f t="shared" si="274"/>
        <v>-14.00000576738876</v>
      </c>
      <c r="BZ203" s="538">
        <f t="shared" si="344"/>
        <v>30343033.811116166</v>
      </c>
      <c r="CA203" s="641">
        <f t="shared" si="331"/>
        <v>1.7050000000000006E-2</v>
      </c>
      <c r="CB203" s="469">
        <f t="shared" si="338"/>
        <v>60686053639.276566</v>
      </c>
      <c r="CC203" s="177">
        <f t="shared" si="345"/>
        <v>8557011.8988338299</v>
      </c>
      <c r="CD203" s="5">
        <f t="shared" si="339"/>
        <v>5.1150000000000002</v>
      </c>
      <c r="CE203" s="177">
        <f t="shared" si="340"/>
        <v>5.9775503446244861E-7</v>
      </c>
      <c r="CF203" s="5">
        <f t="shared" si="341"/>
        <v>5.977550344624486E-5</v>
      </c>
      <c r="CG203">
        <f t="shared" si="342"/>
        <v>93</v>
      </c>
      <c r="CI203" s="571">
        <f t="shared" si="332"/>
        <v>-50</v>
      </c>
      <c r="CJ203">
        <f t="shared" si="333"/>
        <v>-50</v>
      </c>
    </row>
    <row r="204" spans="5:88" x14ac:dyDescent="0.25">
      <c r="E204" s="174">
        <v>94</v>
      </c>
      <c r="F204" s="221">
        <f t="shared" si="334"/>
        <v>9.4E-2</v>
      </c>
      <c r="G204" s="221">
        <f t="shared" si="299"/>
        <v>0.47</v>
      </c>
      <c r="H204" s="221">
        <f t="shared" si="300"/>
        <v>1.41</v>
      </c>
      <c r="I204" s="221">
        <f t="shared" si="301"/>
        <v>3.76</v>
      </c>
      <c r="J204" s="551">
        <f t="shared" si="302"/>
        <v>20</v>
      </c>
      <c r="K204" s="451">
        <f t="shared" si="303"/>
        <v>695386.58000000007</v>
      </c>
      <c r="L204" s="451">
        <f t="shared" si="304"/>
        <v>695406.58000000007</v>
      </c>
      <c r="M204" s="451"/>
      <c r="N204" s="221">
        <f t="shared" si="305"/>
        <v>0.9999712398464794</v>
      </c>
      <c r="O204" s="176">
        <f t="shared" si="306"/>
        <v>1.8408561460810189</v>
      </c>
      <c r="P204" s="176">
        <f t="shared" si="307"/>
        <v>4.908949722882717</v>
      </c>
      <c r="Q204" s="221">
        <f t="shared" si="308"/>
        <v>0.12272374307206793</v>
      </c>
      <c r="R204" s="221">
        <f t="shared" si="309"/>
        <v>0.23010701826012736</v>
      </c>
      <c r="S204" s="221">
        <f t="shared" si="310"/>
        <v>15</v>
      </c>
      <c r="T204" s="221">
        <f t="shared" si="311"/>
        <v>0.57446096603001906</v>
      </c>
      <c r="U204" s="221">
        <f t="shared" si="312"/>
        <v>0.86169144904502859</v>
      </c>
      <c r="V204" s="221">
        <f t="shared" si="313"/>
        <v>2.4783091127384958E-5</v>
      </c>
      <c r="W204" s="201">
        <f t="shared" si="314"/>
        <v>350</v>
      </c>
      <c r="X204" s="451">
        <f t="shared" si="315"/>
        <v>350</v>
      </c>
      <c r="Z204" s="221">
        <f t="shared" si="316"/>
        <v>1.9047071235171036</v>
      </c>
      <c r="AA204" s="177">
        <f t="shared" si="317"/>
        <v>8.2171867201568798E-5</v>
      </c>
      <c r="AB204" s="177">
        <f t="shared" si="318"/>
        <v>0.34129476953431226</v>
      </c>
      <c r="AC204" s="177"/>
      <c r="AD204" s="177">
        <f t="shared" si="319"/>
        <v>6.4712206554230591E-6</v>
      </c>
      <c r="AE204" s="555">
        <f t="shared" si="320"/>
        <v>15543.190123456794</v>
      </c>
      <c r="AF204" s="538">
        <f t="shared" si="321"/>
        <v>2.1166825946720815E-3</v>
      </c>
      <c r="AH204" s="177">
        <f t="shared" si="322"/>
        <v>0.99235170416637297</v>
      </c>
      <c r="AI204" s="177">
        <f t="shared" si="323"/>
        <v>0.99235170416637297</v>
      </c>
      <c r="AJ204" s="177">
        <f t="shared" si="324"/>
        <v>1.8239642253084243</v>
      </c>
      <c r="AL204" s="555">
        <f t="shared" si="325"/>
        <v>94</v>
      </c>
      <c r="AM204" s="469">
        <f t="shared" si="326"/>
        <v>350</v>
      </c>
      <c r="AO204">
        <f t="shared" si="327"/>
        <v>94</v>
      </c>
      <c r="AP204">
        <f t="shared" si="328"/>
        <v>350</v>
      </c>
      <c r="AR204" s="5">
        <f t="shared" si="343"/>
        <v>2.8571428571428572</v>
      </c>
      <c r="AS204" s="5">
        <f t="shared" si="335"/>
        <v>1.4885275562495595</v>
      </c>
      <c r="AT204" s="5">
        <f t="shared" si="336"/>
        <v>1.3686153008932977</v>
      </c>
      <c r="AU204" s="177">
        <f t="shared" si="337"/>
        <v>0.52098464468734584</v>
      </c>
      <c r="AW204" s="5">
        <f t="shared" si="275"/>
        <v>0.93281060191639065</v>
      </c>
      <c r="AX204" s="5"/>
      <c r="AY204" s="5">
        <f t="shared" si="276"/>
        <v>8.7450993929661625</v>
      </c>
      <c r="AZ204" s="5"/>
      <c r="BA204" s="5">
        <f t="shared" si="277"/>
        <v>8.9340165474979139E-2</v>
      </c>
      <c r="BB204" s="5"/>
      <c r="BC204" s="5"/>
      <c r="BD204" s="177">
        <f t="shared" si="278"/>
        <v>0.41353993400638461</v>
      </c>
      <c r="BE204" s="177">
        <f t="shared" si="279"/>
        <v>4941.057779435384</v>
      </c>
      <c r="BF204" s="177">
        <f t="shared" si="280"/>
        <v>24396.723245095389</v>
      </c>
      <c r="BG204" s="177"/>
      <c r="BH204" s="538">
        <f t="shared" si="281"/>
        <v>5.9855346956301729E-2</v>
      </c>
      <c r="BI204" s="538">
        <f t="shared" si="282"/>
        <v>1207.6538333151414</v>
      </c>
      <c r="BJ204" s="538">
        <f t="shared" si="283"/>
        <v>4.3749999999999995E-3</v>
      </c>
      <c r="BK204" s="538">
        <f t="shared" si="284"/>
        <v>8462830.4513776898</v>
      </c>
      <c r="BL204">
        <f t="shared" si="285"/>
        <v>5.7999999999999996E-3</v>
      </c>
      <c r="BM204">
        <f t="shared" si="329"/>
        <v>1.3124999999999999E-5</v>
      </c>
      <c r="BN204">
        <f t="shared" si="330"/>
        <v>8558552.9496623185</v>
      </c>
      <c r="BO204" s="469">
        <f t="shared" si="286"/>
        <v>8464038175.2413511</v>
      </c>
      <c r="BP204" s="177">
        <f t="shared" si="287"/>
        <v>2.8199999999999999E-2</v>
      </c>
      <c r="BQ204" s="177">
        <f t="shared" si="288"/>
        <v>0.14099999999999999</v>
      </c>
      <c r="BR204" s="538"/>
      <c r="BT204" s="469">
        <f t="shared" si="289"/>
        <v>169.2</v>
      </c>
      <c r="BU204" s="538">
        <f t="shared" si="290"/>
        <v>1.7101527701800495E-2</v>
      </c>
      <c r="BV204" s="538">
        <f t="shared" si="291"/>
        <v>732421.55939156783</v>
      </c>
      <c r="BW204" s="538">
        <f t="shared" si="292"/>
        <v>29760005.254888888</v>
      </c>
      <c r="BX204" s="538">
        <f t="shared" si="293"/>
        <v>0</v>
      </c>
      <c r="BY204" s="538">
        <f t="shared" si="274"/>
        <v>-14.000005739132302</v>
      </c>
      <c r="BZ204" s="538">
        <f t="shared" si="344"/>
        <v>30492426.831381984</v>
      </c>
      <c r="CA204" s="641">
        <f t="shared" si="331"/>
        <v>1.723333333333333E-2</v>
      </c>
      <c r="CB204" s="469">
        <f t="shared" si="338"/>
        <v>60984839679.991562</v>
      </c>
      <c r="CC204" s="177">
        <f t="shared" si="345"/>
        <v>8558539.1360899135</v>
      </c>
      <c r="CD204" s="5">
        <f t="shared" si="339"/>
        <v>5.17</v>
      </c>
      <c r="CE204" s="177">
        <f t="shared" si="340"/>
        <v>6.0407469016912575E-7</v>
      </c>
      <c r="CF204" s="5">
        <f t="shared" si="341"/>
        <v>6.0407469016912574E-5</v>
      </c>
      <c r="CG204">
        <f t="shared" si="342"/>
        <v>94</v>
      </c>
      <c r="CI204" s="571">
        <f t="shared" si="332"/>
        <v>-50</v>
      </c>
      <c r="CJ204">
        <f t="shared" si="333"/>
        <v>-50</v>
      </c>
    </row>
    <row r="205" spans="5:88" x14ac:dyDescent="0.25">
      <c r="E205" s="174">
        <v>95</v>
      </c>
      <c r="F205" s="221">
        <f t="shared" si="334"/>
        <v>9.5000000000000001E-2</v>
      </c>
      <c r="G205" s="221">
        <f t="shared" si="299"/>
        <v>0.47499999999999998</v>
      </c>
      <c r="H205" s="221">
        <f t="shared" si="300"/>
        <v>1.425</v>
      </c>
      <c r="I205" s="221">
        <f t="shared" si="301"/>
        <v>3.8</v>
      </c>
      <c r="J205" s="551">
        <f t="shared" si="302"/>
        <v>20</v>
      </c>
      <c r="K205" s="451">
        <f t="shared" si="303"/>
        <v>695386.58000000007</v>
      </c>
      <c r="L205" s="451">
        <f t="shared" si="304"/>
        <v>695406.58000000007</v>
      </c>
      <c r="M205" s="451"/>
      <c r="N205" s="221">
        <f t="shared" si="305"/>
        <v>0.9999712398464794</v>
      </c>
      <c r="O205" s="176">
        <f t="shared" si="306"/>
        <v>1.8408561460810189</v>
      </c>
      <c r="P205" s="176">
        <f t="shared" si="307"/>
        <v>4.908949722882717</v>
      </c>
      <c r="Q205" s="221">
        <f t="shared" si="308"/>
        <v>0.12272374307206793</v>
      </c>
      <c r="R205" s="221">
        <f t="shared" si="309"/>
        <v>0.23010701826012736</v>
      </c>
      <c r="S205" s="221">
        <f t="shared" si="310"/>
        <v>15</v>
      </c>
      <c r="T205" s="221">
        <f t="shared" si="311"/>
        <v>0.58057225290267878</v>
      </c>
      <c r="U205" s="221">
        <f t="shared" si="312"/>
        <v>0.87085837935401822</v>
      </c>
      <c r="V205" s="221">
        <f t="shared" si="313"/>
        <v>2.5046741032995437E-5</v>
      </c>
      <c r="W205" s="201">
        <f t="shared" si="314"/>
        <v>350</v>
      </c>
      <c r="X205" s="451">
        <f t="shared" si="315"/>
        <v>350</v>
      </c>
      <c r="Z205" s="221">
        <f t="shared" si="316"/>
        <v>1.9047071235171036</v>
      </c>
      <c r="AA205" s="177">
        <f t="shared" si="317"/>
        <v>8.2171867201568798E-5</v>
      </c>
      <c r="AB205" s="177">
        <f t="shared" si="318"/>
        <v>0.34129476953431226</v>
      </c>
      <c r="AC205" s="177"/>
      <c r="AD205" s="177">
        <f t="shared" si="319"/>
        <v>6.4712206554230591E-6</v>
      </c>
      <c r="AE205" s="555">
        <f t="shared" si="320"/>
        <v>15708.54320987655</v>
      </c>
      <c r="AF205" s="538">
        <f t="shared" si="321"/>
        <v>2.1166825946720815E-3</v>
      </c>
      <c r="AH205" s="177">
        <f t="shared" si="322"/>
        <v>0.99761620638304349</v>
      </c>
      <c r="AI205" s="177">
        <f t="shared" si="323"/>
        <v>0.99761620638304349</v>
      </c>
      <c r="AJ205" s="177">
        <f t="shared" si="324"/>
        <v>1.827863856580032</v>
      </c>
      <c r="AL205" s="555">
        <f t="shared" si="325"/>
        <v>95</v>
      </c>
      <c r="AM205" s="469">
        <f t="shared" si="326"/>
        <v>350</v>
      </c>
      <c r="AO205">
        <f t="shared" si="327"/>
        <v>95</v>
      </c>
      <c r="AP205">
        <f t="shared" si="328"/>
        <v>350</v>
      </c>
      <c r="AR205" s="5">
        <f t="shared" si="343"/>
        <v>2.8571428571428572</v>
      </c>
      <c r="AS205" s="5">
        <f t="shared" si="335"/>
        <v>1.4964243095745653</v>
      </c>
      <c r="AT205" s="5">
        <f t="shared" si="336"/>
        <v>1.3607185475682919</v>
      </c>
      <c r="AU205" s="177">
        <f t="shared" si="337"/>
        <v>0.52374850835109787</v>
      </c>
      <c r="AW205" s="5">
        <f t="shared" si="275"/>
        <v>0.94773539606389146</v>
      </c>
      <c r="AX205" s="5"/>
      <c r="AY205" s="5">
        <f t="shared" si="276"/>
        <v>8.8850193380989815</v>
      </c>
      <c r="AZ205" s="5"/>
      <c r="BA205" s="5">
        <f t="shared" si="277"/>
        <v>8.9769626402074795E-2</v>
      </c>
      <c r="BB205" s="5"/>
      <c r="BC205" s="5"/>
      <c r="BD205" s="177">
        <f t="shared" si="278"/>
        <v>0.41683508642912975</v>
      </c>
      <c r="BE205" s="177">
        <f t="shared" si="279"/>
        <v>4952.9194501357342</v>
      </c>
      <c r="BF205" s="177">
        <f t="shared" si="280"/>
        <v>24455.290845439056</v>
      </c>
      <c r="BG205" s="177"/>
      <c r="BH205" s="538">
        <f t="shared" si="281"/>
        <v>6.081302124743302E-2</v>
      </c>
      <c r="BI205" s="538">
        <f t="shared" si="282"/>
        <v>1214.0605299084614</v>
      </c>
      <c r="BJ205" s="538">
        <f t="shared" si="283"/>
        <v>4.3749999999999995E-3</v>
      </c>
      <c r="BK205" s="538">
        <f t="shared" si="284"/>
        <v>8462830.4513776898</v>
      </c>
      <c r="BL205">
        <f t="shared" si="285"/>
        <v>5.7999999999999996E-3</v>
      </c>
      <c r="BM205">
        <f t="shared" si="329"/>
        <v>1.3124999999999999E-5</v>
      </c>
      <c r="BN205">
        <f t="shared" si="330"/>
        <v>8560088.8082639314</v>
      </c>
      <c r="BO205" s="469">
        <f t="shared" si="286"/>
        <v>8464044582.8956194</v>
      </c>
      <c r="BP205" s="177">
        <f t="shared" si="287"/>
        <v>2.8499999999999998E-2</v>
      </c>
      <c r="BQ205" s="177">
        <f t="shared" si="288"/>
        <v>0.14249999999999999</v>
      </c>
      <c r="BR205" s="538"/>
      <c r="BT205" s="469">
        <f t="shared" si="289"/>
        <v>170.99999999999997</v>
      </c>
      <c r="BU205" s="538">
        <f t="shared" si="290"/>
        <v>1.7375148927838008E-2</v>
      </c>
      <c r="BV205" s="538">
        <f t="shared" si="291"/>
        <v>735942.33238598588</v>
      </c>
      <c r="BW205" s="538">
        <f t="shared" si="292"/>
        <v>29903062.516750768</v>
      </c>
      <c r="BX205" s="538">
        <f t="shared" si="293"/>
        <v>0</v>
      </c>
      <c r="BY205" s="538">
        <f t="shared" si="274"/>
        <v>-14.000005711676087</v>
      </c>
      <c r="BZ205" s="538">
        <f t="shared" si="344"/>
        <v>30639004.866511904</v>
      </c>
      <c r="CA205" s="641">
        <f t="shared" si="331"/>
        <v>1.7416666666666667E-2</v>
      </c>
      <c r="CB205" s="469">
        <f t="shared" si="338"/>
        <v>61277995750.434761</v>
      </c>
      <c r="CC205" s="177">
        <f t="shared" si="345"/>
        <v>8560074.9966748878</v>
      </c>
      <c r="CD205" s="5">
        <f t="shared" si="339"/>
        <v>5.2249999999999996</v>
      </c>
      <c r="CE205" s="177">
        <f t="shared" si="340"/>
        <v>6.1039147586138656E-7</v>
      </c>
      <c r="CF205" s="5">
        <f t="shared" si="341"/>
        <v>6.103914758613866E-5</v>
      </c>
      <c r="CG205">
        <f t="shared" si="342"/>
        <v>95</v>
      </c>
      <c r="CI205" s="571">
        <f t="shared" si="332"/>
        <v>-50</v>
      </c>
      <c r="CJ205">
        <f t="shared" si="333"/>
        <v>-50</v>
      </c>
    </row>
    <row r="206" spans="5:88" x14ac:dyDescent="0.25">
      <c r="E206" s="174">
        <v>96</v>
      </c>
      <c r="F206" s="221">
        <f t="shared" si="334"/>
        <v>9.6000000000000002E-2</v>
      </c>
      <c r="G206" s="221">
        <f t="shared" si="299"/>
        <v>0.48</v>
      </c>
      <c r="H206" s="221">
        <f t="shared" si="300"/>
        <v>1.44</v>
      </c>
      <c r="I206" s="221">
        <f t="shared" si="301"/>
        <v>3.84</v>
      </c>
      <c r="J206" s="551">
        <f t="shared" si="302"/>
        <v>20</v>
      </c>
      <c r="K206" s="451">
        <f t="shared" si="303"/>
        <v>695386.58000000007</v>
      </c>
      <c r="L206" s="451">
        <f t="shared" si="304"/>
        <v>695406.58000000007</v>
      </c>
      <c r="M206" s="451"/>
      <c r="N206" s="221">
        <f t="shared" si="305"/>
        <v>0.9999712398464794</v>
      </c>
      <c r="O206" s="176">
        <f t="shared" ref="O206:O210" si="346">N206*J206*Isw_max*0.5*Efficiency*Pout/(Pout+Pout2)</f>
        <v>1.8408561460810189</v>
      </c>
      <c r="P206" s="176">
        <f t="shared" si="307"/>
        <v>4.908949722882717</v>
      </c>
      <c r="Q206" s="221">
        <f t="shared" si="308"/>
        <v>0.12272374307206793</v>
      </c>
      <c r="R206" s="221">
        <f t="shared" si="309"/>
        <v>0.23010701826012736</v>
      </c>
      <c r="S206" s="221">
        <f t="shared" si="310"/>
        <v>15</v>
      </c>
      <c r="T206" s="221">
        <f t="shared" si="311"/>
        <v>0.58668353977533849</v>
      </c>
      <c r="U206" s="221">
        <f t="shared" si="312"/>
        <v>0.88002530966300774</v>
      </c>
      <c r="V206" s="221">
        <f t="shared" si="313"/>
        <v>2.5310390938605906E-5</v>
      </c>
      <c r="W206" s="201">
        <f t="shared" si="314"/>
        <v>350</v>
      </c>
      <c r="X206" s="451">
        <f t="shared" si="315"/>
        <v>350</v>
      </c>
      <c r="Z206" s="221">
        <f t="shared" si="316"/>
        <v>1.9047071235171036</v>
      </c>
      <c r="AA206" s="177">
        <f t="shared" si="317"/>
        <v>8.2171867201568798E-5</v>
      </c>
      <c r="AB206" s="177">
        <f t="shared" ref="AB206:AB210" si="347">0.5*AA206*Z206*Nps*W206/1000*(Pout/(Pout+Pout2))</f>
        <v>0.34129476953431226</v>
      </c>
      <c r="AC206" s="177"/>
      <c r="AD206" s="177">
        <f t="shared" si="319"/>
        <v>6.4712206554230591E-6</v>
      </c>
      <c r="AE206" s="555">
        <f t="shared" ref="AE206:AE210" si="348">MAX(10, F206/(0.5*AD206/1000000*Isw_min*Nps)/1000*Pout_total/Pout)</f>
        <v>15873.896296296303</v>
      </c>
      <c r="AF206" s="538">
        <f t="shared" si="321"/>
        <v>2.1166825946720815E-3</v>
      </c>
      <c r="AH206" s="177">
        <f t="shared" si="322"/>
        <v>1.002853072844814</v>
      </c>
      <c r="AI206" s="177">
        <f t="shared" ref="AI206:AI210" si="349">MAX(IF(F206&gt;AB206,T206,AH206),Isw_min)</f>
        <v>1.002853072844814</v>
      </c>
      <c r="AJ206" s="177">
        <f t="shared" ref="AJ206:AJ210" si="350">IF(F206&gt;AF206, (AI206-Isw_min)/1.08*0.8+1.2, AE206*0.2/350+1)</f>
        <v>1.8317430169220843</v>
      </c>
      <c r="AL206" s="555">
        <f t="shared" si="325"/>
        <v>96</v>
      </c>
      <c r="AM206" s="469">
        <f t="shared" si="326"/>
        <v>350</v>
      </c>
      <c r="AO206">
        <f t="shared" si="327"/>
        <v>96</v>
      </c>
      <c r="AP206">
        <f t="shared" si="328"/>
        <v>350</v>
      </c>
      <c r="AR206" s="5">
        <f t="shared" si="343"/>
        <v>2.8571428571428572</v>
      </c>
      <c r="AS206" s="5">
        <f t="shared" si="335"/>
        <v>1.5042796092672208</v>
      </c>
      <c r="AT206" s="5">
        <f t="shared" si="336"/>
        <v>1.3528632478756364</v>
      </c>
      <c r="AU206" s="177">
        <f t="shared" si="337"/>
        <v>0.52649786324352732</v>
      </c>
      <c r="AW206" s="5">
        <f t="shared" si="275"/>
        <v>0.96273894993102127</v>
      </c>
      <c r="AX206" s="5"/>
      <c r="AY206" s="5">
        <f t="shared" si="276"/>
        <v>9.0256776556033245</v>
      </c>
      <c r="AZ206" s="5"/>
      <c r="BA206" s="5">
        <f t="shared" si="277"/>
        <v>9.0190883191709065E-2</v>
      </c>
      <c r="BB206" s="5"/>
      <c r="BC206" s="5"/>
      <c r="BD206" s="177">
        <f t="shared" si="278"/>
        <v>0.42012157861824623</v>
      </c>
      <c r="BE206" s="177">
        <f t="shared" si="279"/>
        <v>4964.526989425819</v>
      </c>
      <c r="BF206" s="177">
        <f t="shared" si="280"/>
        <v>24512.60365906277</v>
      </c>
      <c r="BG206" s="177"/>
      <c r="BH206" s="538">
        <f t="shared" si="281"/>
        <v>6.1775749287240528E-2</v>
      </c>
      <c r="BI206" s="538">
        <f t="shared" si="282"/>
        <v>1220.4335948516305</v>
      </c>
      <c r="BJ206" s="538">
        <f t="shared" si="283"/>
        <v>4.3749999999999995E-3</v>
      </c>
      <c r="BK206" s="538">
        <f t="shared" si="284"/>
        <v>8462830.4513776898</v>
      </c>
      <c r="BL206">
        <f t="shared" si="285"/>
        <v>5.7999999999999996E-3</v>
      </c>
      <c r="BM206">
        <f t="shared" si="329"/>
        <v>1.3124999999999999E-5</v>
      </c>
      <c r="BN206">
        <f t="shared" ref="BN206:BN210" si="351">(BI206+BJ206+BK206+BL206+BM206+BH206*(1+RdsonTC*(Ta-25)))/(1-BH206*RdsonTC*ThetaJA)</f>
        <v>8561633.2568912543</v>
      </c>
      <c r="BO206" s="469">
        <f t="shared" si="286"/>
        <v>8464050956.9232912</v>
      </c>
      <c r="BP206" s="177">
        <f t="shared" si="287"/>
        <v>2.8799999999999999E-2</v>
      </c>
      <c r="BQ206" s="177">
        <f t="shared" si="288"/>
        <v>0.14399999999999999</v>
      </c>
      <c r="BR206" s="538"/>
      <c r="BT206" s="469">
        <f t="shared" si="289"/>
        <v>172.79999999999998</v>
      </c>
      <c r="BU206" s="538">
        <f t="shared" si="290"/>
        <v>1.7650214082068724E-2</v>
      </c>
      <c r="BV206" s="538">
        <f t="shared" si="291"/>
        <v>739395.8468621216</v>
      </c>
      <c r="BW206" s="538">
        <f t="shared" si="292"/>
        <v>30043386.907314874</v>
      </c>
      <c r="BX206" s="538">
        <f t="shared" si="293"/>
        <v>0</v>
      </c>
      <c r="BY206" s="538">
        <f t="shared" si="274"/>
        <v>-14.00000568499841</v>
      </c>
      <c r="BZ206" s="538">
        <f t="shared" si="344"/>
        <v>30782782.77182721</v>
      </c>
      <c r="CA206" s="641">
        <f t="shared" si="331"/>
        <v>1.7600000000000001E-2</v>
      </c>
      <c r="CB206" s="469">
        <f t="shared" si="338"/>
        <v>61565551561.248734</v>
      </c>
      <c r="CC206" s="177">
        <f t="shared" si="345"/>
        <v>8561619.4472855683</v>
      </c>
      <c r="CD206" s="5">
        <f t="shared" si="339"/>
        <v>5.2799999999999994</v>
      </c>
      <c r="CE206" s="177">
        <f t="shared" si="340"/>
        <v>6.1670537639577252E-7</v>
      </c>
      <c r="CF206" s="5">
        <f t="shared" si="341"/>
        <v>6.1670537639577251E-5</v>
      </c>
      <c r="CG206">
        <f t="shared" si="342"/>
        <v>96</v>
      </c>
      <c r="CI206" s="571">
        <f t="shared" si="332"/>
        <v>-50</v>
      </c>
      <c r="CJ206">
        <f t="shared" si="333"/>
        <v>-50</v>
      </c>
    </row>
    <row r="207" spans="5:88" x14ac:dyDescent="0.25">
      <c r="E207" s="174">
        <v>97</v>
      </c>
      <c r="F207" s="221">
        <f t="shared" ref="F207:F210" si="352">IF(PLOT_TYPE=1, E207/100*Iout_max, min_I*EXP(O207*rr/100))</f>
        <v>9.7000000000000003E-2</v>
      </c>
      <c r="G207" s="221">
        <f t="shared" si="299"/>
        <v>0.48499999999999999</v>
      </c>
      <c r="H207" s="221">
        <f t="shared" si="300"/>
        <v>1.4550000000000001</v>
      </c>
      <c r="I207" s="221">
        <f t="shared" si="301"/>
        <v>3.88</v>
      </c>
      <c r="J207" s="551">
        <f t="shared" si="302"/>
        <v>20</v>
      </c>
      <c r="K207" s="451">
        <f t="shared" si="303"/>
        <v>695386.58000000007</v>
      </c>
      <c r="L207" s="451">
        <f t="shared" si="304"/>
        <v>695406.58000000007</v>
      </c>
      <c r="M207" s="451"/>
      <c r="N207" s="221">
        <f t="shared" si="305"/>
        <v>0.9999712398464794</v>
      </c>
      <c r="O207" s="176">
        <f t="shared" si="346"/>
        <v>1.8408561460810189</v>
      </c>
      <c r="P207" s="176">
        <f t="shared" si="307"/>
        <v>4.908949722882717</v>
      </c>
      <c r="Q207" s="221">
        <f t="shared" si="308"/>
        <v>0.12272374307206793</v>
      </c>
      <c r="R207" s="221">
        <f t="shared" si="309"/>
        <v>0.23010701826012736</v>
      </c>
      <c r="S207" s="221">
        <f t="shared" si="310"/>
        <v>15</v>
      </c>
      <c r="T207" s="221">
        <f t="shared" si="311"/>
        <v>0.59279482664799832</v>
      </c>
      <c r="U207" s="221">
        <f t="shared" si="312"/>
        <v>0.88919223997199737</v>
      </c>
      <c r="V207" s="221">
        <f t="shared" si="313"/>
        <v>2.5574040844216389E-5</v>
      </c>
      <c r="W207" s="201">
        <f t="shared" si="314"/>
        <v>350</v>
      </c>
      <c r="X207" s="451">
        <f t="shared" si="315"/>
        <v>350</v>
      </c>
      <c r="Z207" s="221">
        <f t="shared" si="316"/>
        <v>1.9047071235171036</v>
      </c>
      <c r="AA207" s="177">
        <f t="shared" si="317"/>
        <v>8.2171867201568798E-5</v>
      </c>
      <c r="AB207" s="177">
        <f t="shared" si="347"/>
        <v>0.34129476953431226</v>
      </c>
      <c r="AC207" s="177"/>
      <c r="AD207" s="177">
        <f t="shared" si="319"/>
        <v>6.4712206554230591E-6</v>
      </c>
      <c r="AE207" s="555">
        <f t="shared" si="348"/>
        <v>16039.249382716051</v>
      </c>
      <c r="AF207" s="538">
        <f t="shared" si="321"/>
        <v>2.1166825946720815E-3</v>
      </c>
      <c r="AH207" s="177">
        <f t="shared" si="322"/>
        <v>1.0080627342534174</v>
      </c>
      <c r="AI207" s="177">
        <f t="shared" si="349"/>
        <v>1.0080627342534174</v>
      </c>
      <c r="AJ207" s="177">
        <f t="shared" si="350"/>
        <v>1.8356020253729017</v>
      </c>
      <c r="AL207" s="555">
        <f t="shared" si="325"/>
        <v>97</v>
      </c>
      <c r="AM207" s="469">
        <f t="shared" si="326"/>
        <v>350</v>
      </c>
      <c r="AO207">
        <f t="shared" si="327"/>
        <v>97</v>
      </c>
      <c r="AP207">
        <f t="shared" si="328"/>
        <v>350</v>
      </c>
      <c r="AR207" s="5">
        <f t="shared" si="343"/>
        <v>2.8571428571428572</v>
      </c>
      <c r="AS207" s="5">
        <f t="shared" si="335"/>
        <v>1.5120941013801261</v>
      </c>
      <c r="AT207" s="5">
        <f t="shared" si="336"/>
        <v>1.3450487557627311</v>
      </c>
      <c r="AU207" s="177">
        <f t="shared" si="337"/>
        <v>0.52923293548304418</v>
      </c>
      <c r="AW207" s="5">
        <f t="shared" si="275"/>
        <v>0.97782085222581494</v>
      </c>
      <c r="AX207" s="5"/>
      <c r="AY207" s="5">
        <f t="shared" si="276"/>
        <v>9.1670704896170143</v>
      </c>
      <c r="AZ207" s="5"/>
      <c r="BA207" s="5">
        <f t="shared" si="277"/>
        <v>9.0603978686795081E-2</v>
      </c>
      <c r="BB207" s="5"/>
      <c r="BC207" s="5"/>
      <c r="BD207" s="177">
        <f t="shared" si="278"/>
        <v>0.42339952319458202</v>
      </c>
      <c r="BE207" s="177">
        <f t="shared" si="279"/>
        <v>4975.8833522347095</v>
      </c>
      <c r="BF207" s="177">
        <f t="shared" si="280"/>
        <v>24568.6762760786</v>
      </c>
      <c r="BG207" s="177"/>
      <c r="BH207" s="538">
        <f t="shared" si="281"/>
        <v>6.2743504684489776E-2</v>
      </c>
      <c r="BI207" s="538">
        <f t="shared" si="282"/>
        <v>1226.7735522920814</v>
      </c>
      <c r="BJ207" s="538">
        <f t="shared" si="283"/>
        <v>4.3749999999999995E-3</v>
      </c>
      <c r="BK207" s="538">
        <f t="shared" si="284"/>
        <v>8462830.4513776898</v>
      </c>
      <c r="BL207">
        <f t="shared" si="285"/>
        <v>5.7999999999999996E-3</v>
      </c>
      <c r="BM207">
        <f t="shared" si="329"/>
        <v>1.3124999999999999E-5</v>
      </c>
      <c r="BN207">
        <f t="shared" si="351"/>
        <v>8563186.2628922742</v>
      </c>
      <c r="BO207" s="469">
        <f t="shared" si="286"/>
        <v>8464057297.848485</v>
      </c>
      <c r="BP207" s="177">
        <f t="shared" si="287"/>
        <v>2.9100000000000001E-2</v>
      </c>
      <c r="BQ207" s="177">
        <f t="shared" si="288"/>
        <v>0.14549999999999999</v>
      </c>
      <c r="BR207" s="538"/>
      <c r="BT207" s="469">
        <f t="shared" si="289"/>
        <v>174.59999999999997</v>
      </c>
      <c r="BU207" s="538">
        <f t="shared" si="290"/>
        <v>1.792671562413994E-2</v>
      </c>
      <c r="BV207" s="538">
        <f t="shared" si="291"/>
        <v>742782.45405139588</v>
      </c>
      <c r="BW207" s="538">
        <f t="shared" si="292"/>
        <v>30180992.697937377</v>
      </c>
      <c r="BX207" s="538">
        <f t="shared" si="293"/>
        <v>0</v>
      </c>
      <c r="BY207" s="538">
        <f t="shared" si="274"/>
        <v>-14.000005659078486</v>
      </c>
      <c r="BZ207" s="538">
        <f t="shared" si="344"/>
        <v>30923775.16991549</v>
      </c>
      <c r="CA207" s="641">
        <f t="shared" si="331"/>
        <v>1.7783333333333332E-2</v>
      </c>
      <c r="CB207" s="469">
        <f t="shared" si="338"/>
        <v>61847536357.60865</v>
      </c>
      <c r="CC207" s="177">
        <f t="shared" si="345"/>
        <v>8563172.4552699495</v>
      </c>
      <c r="CD207" s="5">
        <f t="shared" si="339"/>
        <v>5.335</v>
      </c>
      <c r="CE207" s="177">
        <f t="shared" si="340"/>
        <v>6.2301637670795301E-7</v>
      </c>
      <c r="CF207" s="5">
        <f t="shared" si="341"/>
        <v>6.2301637670795303E-5</v>
      </c>
      <c r="CG207">
        <f t="shared" si="342"/>
        <v>97</v>
      </c>
      <c r="CI207" s="571">
        <f t="shared" si="332"/>
        <v>-50</v>
      </c>
      <c r="CJ207">
        <f t="shared" si="333"/>
        <v>-50</v>
      </c>
    </row>
    <row r="208" spans="5:88" x14ac:dyDescent="0.25">
      <c r="E208" s="174">
        <v>98</v>
      </c>
      <c r="F208" s="221">
        <f t="shared" si="352"/>
        <v>9.8000000000000004E-2</v>
      </c>
      <c r="G208" s="221">
        <f t="shared" si="299"/>
        <v>0.49</v>
      </c>
      <c r="H208" s="221">
        <f t="shared" si="300"/>
        <v>1.47</v>
      </c>
      <c r="I208" s="221">
        <f t="shared" si="301"/>
        <v>3.92</v>
      </c>
      <c r="J208" s="551">
        <f t="shared" si="302"/>
        <v>20</v>
      </c>
      <c r="K208" s="451">
        <f t="shared" si="303"/>
        <v>695386.58000000007</v>
      </c>
      <c r="L208" s="451">
        <f t="shared" si="304"/>
        <v>695406.58000000007</v>
      </c>
      <c r="M208" s="451"/>
      <c r="N208" s="221">
        <f t="shared" si="305"/>
        <v>0.9999712398464794</v>
      </c>
      <c r="O208" s="176">
        <f t="shared" si="346"/>
        <v>1.8408561460810189</v>
      </c>
      <c r="P208" s="176">
        <f t="shared" si="307"/>
        <v>4.908949722882717</v>
      </c>
      <c r="Q208" s="221">
        <f t="shared" si="308"/>
        <v>0.12272374307206793</v>
      </c>
      <c r="R208" s="221">
        <f t="shared" si="309"/>
        <v>0.23010701826012736</v>
      </c>
      <c r="S208" s="221">
        <f t="shared" si="310"/>
        <v>15</v>
      </c>
      <c r="T208" s="221">
        <f t="shared" si="311"/>
        <v>0.59890611352065815</v>
      </c>
      <c r="U208" s="221">
        <f t="shared" si="312"/>
        <v>0.89835917028098722</v>
      </c>
      <c r="V208" s="221">
        <f t="shared" si="313"/>
        <v>2.5837690749826871E-5</v>
      </c>
      <c r="W208" s="201">
        <f t="shared" si="314"/>
        <v>350</v>
      </c>
      <c r="X208" s="451">
        <f t="shared" si="315"/>
        <v>350</v>
      </c>
      <c r="Z208" s="221">
        <f t="shared" si="316"/>
        <v>1.9047071235171036</v>
      </c>
      <c r="AA208" s="177">
        <f t="shared" si="317"/>
        <v>8.2171867201568798E-5</v>
      </c>
      <c r="AB208" s="177">
        <f t="shared" si="347"/>
        <v>0.34129476953431226</v>
      </c>
      <c r="AC208" s="177"/>
      <c r="AD208" s="177">
        <f t="shared" si="319"/>
        <v>6.4712206554230591E-6</v>
      </c>
      <c r="AE208" s="555">
        <f t="shared" si="348"/>
        <v>16204.602469135805</v>
      </c>
      <c r="AF208" s="538">
        <f t="shared" si="321"/>
        <v>2.1166825946720815E-3</v>
      </c>
      <c r="AH208" s="177">
        <f t="shared" si="322"/>
        <v>1.0132456102380443</v>
      </c>
      <c r="AI208" s="177">
        <f t="shared" si="349"/>
        <v>1.0132456102380443</v>
      </c>
      <c r="AJ208" s="177">
        <f t="shared" si="350"/>
        <v>1.8394411927689216</v>
      </c>
      <c r="AL208" s="555">
        <f t="shared" si="325"/>
        <v>98</v>
      </c>
      <c r="AM208" s="469">
        <f t="shared" si="326"/>
        <v>350</v>
      </c>
      <c r="AO208">
        <f t="shared" si="327"/>
        <v>98</v>
      </c>
      <c r="AP208">
        <f t="shared" si="328"/>
        <v>350</v>
      </c>
      <c r="AR208" s="5">
        <f t="shared" si="343"/>
        <v>2.8571428571428572</v>
      </c>
      <c r="AS208" s="5">
        <f t="shared" si="335"/>
        <v>1.5198684153570665</v>
      </c>
      <c r="AT208" s="5">
        <f t="shared" si="336"/>
        <v>1.3372744417857907</v>
      </c>
      <c r="AU208" s="177">
        <f t="shared" si="337"/>
        <v>0.53195394537497331</v>
      </c>
      <c r="AW208" s="5">
        <f t="shared" si="275"/>
        <v>0.99298069803328359</v>
      </c>
      <c r="AX208" s="5"/>
      <c r="AY208" s="5">
        <f t="shared" si="276"/>
        <v>9.309194044062032</v>
      </c>
      <c r="AZ208" s="5"/>
      <c r="BA208" s="5">
        <f t="shared" si="277"/>
        <v>9.1008955065977407E-2</v>
      </c>
      <c r="BB208" s="5"/>
      <c r="BC208" s="5"/>
      <c r="BD208" s="177">
        <f t="shared" si="278"/>
        <v>0.42666903016987534</v>
      </c>
      <c r="BE208" s="177">
        <f t="shared" si="279"/>
        <v>4986.991410123861</v>
      </c>
      <c r="BF208" s="177">
        <f t="shared" si="280"/>
        <v>24623.522874966806</v>
      </c>
      <c r="BG208" s="177"/>
      <c r="BH208" s="538">
        <f t="shared" si="281"/>
        <v>6.3716261457135701E-2</v>
      </c>
      <c r="BI208" s="538">
        <f t="shared" si="282"/>
        <v>1233.0809129023901</v>
      </c>
      <c r="BJ208" s="538">
        <f t="shared" si="283"/>
        <v>4.3749999999999995E-3</v>
      </c>
      <c r="BK208" s="538">
        <f t="shared" si="284"/>
        <v>8462830.4513776898</v>
      </c>
      <c r="BL208">
        <f t="shared" si="285"/>
        <v>5.7999999999999996E-3</v>
      </c>
      <c r="BM208">
        <f t="shared" si="329"/>
        <v>1.3124999999999999E-5</v>
      </c>
      <c r="BN208">
        <f t="shared" si="351"/>
        <v>8564747.7942497618</v>
      </c>
      <c r="BO208" s="469">
        <f t="shared" si="286"/>
        <v>8464063606.1818523</v>
      </c>
      <c r="BP208" s="177">
        <f t="shared" si="287"/>
        <v>2.9399999999999999E-2</v>
      </c>
      <c r="BQ208" s="177">
        <f t="shared" si="288"/>
        <v>0.14699999999999999</v>
      </c>
      <c r="BR208" s="538"/>
      <c r="BT208" s="469">
        <f t="shared" si="289"/>
        <v>176.4</v>
      </c>
      <c r="BU208" s="538">
        <f t="shared" si="290"/>
        <v>1.8204646130610201E-2</v>
      </c>
      <c r="BV208" s="538">
        <f t="shared" si="291"/>
        <v>746102.4997394752</v>
      </c>
      <c r="BW208" s="538">
        <f t="shared" si="292"/>
        <v>30315893.938700676</v>
      </c>
      <c r="BX208" s="538">
        <f t="shared" si="293"/>
        <v>0</v>
      </c>
      <c r="BY208" s="538">
        <f t="shared" si="274"/>
        <v>-14.000005633896414</v>
      </c>
      <c r="BZ208" s="538">
        <f t="shared" si="344"/>
        <v>31061996.456644796</v>
      </c>
      <c r="CA208" s="641">
        <f t="shared" si="331"/>
        <v>1.7966666666666669E-2</v>
      </c>
      <c r="CB208" s="469">
        <f t="shared" si="338"/>
        <v>62123978931.250626</v>
      </c>
      <c r="CC208" s="177">
        <f t="shared" si="345"/>
        <v>8564733.9886107948</v>
      </c>
      <c r="CD208" s="5">
        <f t="shared" si="339"/>
        <v>5.39</v>
      </c>
      <c r="CE208" s="177">
        <f t="shared" si="340"/>
        <v>6.2932446181149998E-7</v>
      </c>
      <c r="CF208" s="5">
        <f t="shared" si="341"/>
        <v>6.2932446181149996E-5</v>
      </c>
      <c r="CG208">
        <f t="shared" si="342"/>
        <v>98</v>
      </c>
      <c r="CI208" s="571">
        <f t="shared" si="332"/>
        <v>-50</v>
      </c>
      <c r="CJ208">
        <f t="shared" si="333"/>
        <v>-50</v>
      </c>
    </row>
    <row r="209" spans="5:88" x14ac:dyDescent="0.25">
      <c r="E209" s="174">
        <v>99</v>
      </c>
      <c r="F209" s="221">
        <f t="shared" si="352"/>
        <v>9.9000000000000005E-2</v>
      </c>
      <c r="G209" s="221">
        <f t="shared" si="299"/>
        <v>0.495</v>
      </c>
      <c r="H209" s="221">
        <f t="shared" si="300"/>
        <v>1.4850000000000001</v>
      </c>
      <c r="I209" s="221">
        <f t="shared" si="301"/>
        <v>3.96</v>
      </c>
      <c r="J209" s="551">
        <f t="shared" si="302"/>
        <v>20</v>
      </c>
      <c r="K209" s="451">
        <f t="shared" si="303"/>
        <v>695386.58000000007</v>
      </c>
      <c r="L209" s="451">
        <f t="shared" si="304"/>
        <v>695406.58000000007</v>
      </c>
      <c r="M209" s="451"/>
      <c r="N209" s="221">
        <f t="shared" si="305"/>
        <v>0.9999712398464794</v>
      </c>
      <c r="O209" s="176">
        <f t="shared" si="346"/>
        <v>1.8408561460810189</v>
      </c>
      <c r="P209" s="176">
        <f t="shared" si="307"/>
        <v>4.908949722882717</v>
      </c>
      <c r="Q209" s="221">
        <f t="shared" si="308"/>
        <v>0.12272374307206793</v>
      </c>
      <c r="R209" s="221">
        <f t="shared" si="309"/>
        <v>0.23010701826012736</v>
      </c>
      <c r="S209" s="221">
        <f t="shared" si="310"/>
        <v>15</v>
      </c>
      <c r="T209" s="221">
        <f t="shared" si="311"/>
        <v>0.60501740039331797</v>
      </c>
      <c r="U209" s="221">
        <f t="shared" si="312"/>
        <v>0.90752610058997696</v>
      </c>
      <c r="V209" s="221">
        <f t="shared" si="313"/>
        <v>2.610134065543735E-5</v>
      </c>
      <c r="W209" s="201">
        <f t="shared" si="314"/>
        <v>350</v>
      </c>
      <c r="X209" s="451">
        <f t="shared" si="315"/>
        <v>350</v>
      </c>
      <c r="Z209" s="221">
        <f t="shared" si="316"/>
        <v>1.9047071235171036</v>
      </c>
      <c r="AA209" s="177">
        <f t="shared" si="317"/>
        <v>8.2171867201568798E-5</v>
      </c>
      <c r="AB209" s="177">
        <f t="shared" si="347"/>
        <v>0.34129476953431226</v>
      </c>
      <c r="AC209" s="177"/>
      <c r="AD209" s="177">
        <f t="shared" si="319"/>
        <v>6.4712206554230591E-6</v>
      </c>
      <c r="AE209" s="555">
        <f t="shared" si="348"/>
        <v>16369.955555555562</v>
      </c>
      <c r="AF209" s="538">
        <f t="shared" si="321"/>
        <v>2.1166825946720815E-3</v>
      </c>
      <c r="AH209" s="177">
        <f t="shared" si="322"/>
        <v>1.0184021097498066</v>
      </c>
      <c r="AI209" s="177">
        <f t="shared" si="349"/>
        <v>1.0184021097498066</v>
      </c>
      <c r="AJ209" s="177">
        <f t="shared" si="350"/>
        <v>1.8432608220368938</v>
      </c>
      <c r="AL209" s="555">
        <f t="shared" si="325"/>
        <v>99</v>
      </c>
      <c r="AM209" s="469">
        <f t="shared" si="326"/>
        <v>350</v>
      </c>
      <c r="AO209">
        <f t="shared" si="327"/>
        <v>99</v>
      </c>
      <c r="AP209">
        <f t="shared" si="328"/>
        <v>350</v>
      </c>
      <c r="AR209" s="5">
        <f t="shared" si="343"/>
        <v>2.8571428571428572</v>
      </c>
      <c r="AS209" s="5">
        <f t="shared" si="335"/>
        <v>1.5276031646247099</v>
      </c>
      <c r="AT209" s="5">
        <f t="shared" si="336"/>
        <v>1.3295396925181473</v>
      </c>
      <c r="AU209" s="177">
        <f t="shared" si="337"/>
        <v>0.53466110761864849</v>
      </c>
      <c r="AW209" s="5">
        <f t="shared" si="275"/>
        <v>1.0082180886523084</v>
      </c>
      <c r="AX209" s="5"/>
      <c r="AY209" s="5">
        <f t="shared" si="276"/>
        <v>9.452044581115393</v>
      </c>
      <c r="AZ209" s="5"/>
      <c r="BA209" s="5">
        <f t="shared" si="277"/>
        <v>9.140585386062261E-2</v>
      </c>
      <c r="BB209" s="5"/>
      <c r="BC209" s="5"/>
      <c r="BD209" s="177">
        <f t="shared" si="278"/>
        <v>0.42993020703317636</v>
      </c>
      <c r="BE209" s="177">
        <f t="shared" si="279"/>
        <v>4997.853954133916</v>
      </c>
      <c r="BF209" s="177">
        <f t="shared" si="280"/>
        <v>24677.157236632025</v>
      </c>
      <c r="BG209" s="177"/>
      <c r="BH209" s="538">
        <f t="shared" si="281"/>
        <v>6.4693994021856452E-2</v>
      </c>
      <c r="BI209" s="538">
        <f t="shared" si="282"/>
        <v>1239.3561743603211</v>
      </c>
      <c r="BJ209" s="538">
        <f t="shared" si="283"/>
        <v>4.3749999999999995E-3</v>
      </c>
      <c r="BK209" s="538">
        <f t="shared" si="284"/>
        <v>8462830.4513776898</v>
      </c>
      <c r="BL209">
        <f t="shared" si="285"/>
        <v>5.7999999999999996E-3</v>
      </c>
      <c r="BM209">
        <f t="shared" si="329"/>
        <v>1.3124999999999999E-5</v>
      </c>
      <c r="BN209">
        <f t="shared" si="351"/>
        <v>8566317.8195654862</v>
      </c>
      <c r="BO209" s="469">
        <f t="shared" si="286"/>
        <v>8464069882.4210424</v>
      </c>
      <c r="BP209" s="177">
        <f t="shared" si="287"/>
        <v>2.9700000000000001E-2</v>
      </c>
      <c r="BQ209" s="177">
        <f t="shared" si="288"/>
        <v>0.14849999999999999</v>
      </c>
      <c r="BR209" s="538"/>
      <c r="BT209" s="469">
        <f t="shared" si="289"/>
        <v>178.2</v>
      </c>
      <c r="BU209" s="538">
        <f t="shared" si="290"/>
        <v>1.848399829195899E-2</v>
      </c>
      <c r="BV209" s="538">
        <f t="shared" si="291"/>
        <v>749356.32440556062</v>
      </c>
      <c r="BW209" s="538">
        <f t="shared" si="292"/>
        <v>30448104.464073017</v>
      </c>
      <c r="BX209" s="538">
        <f t="shared" si="293"/>
        <v>0</v>
      </c>
      <c r="BY209" s="538">
        <f t="shared" si="274"/>
        <v>-14.00000560943313</v>
      </c>
      <c r="BZ209" s="538">
        <f t="shared" si="344"/>
        <v>31197460.806962576</v>
      </c>
      <c r="CA209" s="641">
        <f t="shared" si="331"/>
        <v>1.8149999999999999E-2</v>
      </c>
      <c r="CB209" s="469">
        <f t="shared" si="338"/>
        <v>62394907632.069542</v>
      </c>
      <c r="CC209" s="177">
        <f t="shared" si="345"/>
        <v>8566304.0159098748</v>
      </c>
      <c r="CD209" s="5">
        <f t="shared" si="339"/>
        <v>5.4450000000000003</v>
      </c>
      <c r="CE209" s="177">
        <f t="shared" si="340"/>
        <v>6.3562961679668961E-7</v>
      </c>
      <c r="CF209" s="5">
        <f t="shared" si="341"/>
        <v>6.3562961679668962E-5</v>
      </c>
      <c r="CG209">
        <f t="shared" si="342"/>
        <v>99</v>
      </c>
      <c r="CI209" s="571">
        <f t="shared" si="332"/>
        <v>-50</v>
      </c>
      <c r="CJ209">
        <f t="shared" si="333"/>
        <v>-50</v>
      </c>
    </row>
    <row r="210" spans="5:88" x14ac:dyDescent="0.25">
      <c r="E210" s="174">
        <v>100</v>
      </c>
      <c r="F210" s="221">
        <f t="shared" si="352"/>
        <v>0.1</v>
      </c>
      <c r="G210" s="221">
        <f t="shared" si="299"/>
        <v>0.5</v>
      </c>
      <c r="H210" s="221">
        <f t="shared" si="300"/>
        <v>1.5</v>
      </c>
      <c r="I210" s="221">
        <f t="shared" si="301"/>
        <v>4</v>
      </c>
      <c r="J210" s="551">
        <f t="shared" si="302"/>
        <v>20</v>
      </c>
      <c r="K210" s="451">
        <f t="shared" si="303"/>
        <v>695386.58000000007</v>
      </c>
      <c r="L210" s="451">
        <f t="shared" si="304"/>
        <v>695406.58000000007</v>
      </c>
      <c r="M210" s="451"/>
      <c r="N210" s="221">
        <f t="shared" si="305"/>
        <v>0.9999712398464794</v>
      </c>
      <c r="O210" s="176">
        <f t="shared" si="346"/>
        <v>1.8408561460810189</v>
      </c>
      <c r="P210" s="176">
        <f t="shared" si="307"/>
        <v>4.908949722882717</v>
      </c>
      <c r="Q210" s="221">
        <f t="shared" si="308"/>
        <v>0.12272374307206793</v>
      </c>
      <c r="R210" s="221">
        <f t="shared" si="309"/>
        <v>0.23010701826012736</v>
      </c>
      <c r="S210" s="221">
        <f t="shared" si="310"/>
        <v>15</v>
      </c>
      <c r="T210" s="221">
        <f t="shared" si="311"/>
        <v>0.61112868726597769</v>
      </c>
      <c r="U210" s="221">
        <f t="shared" si="312"/>
        <v>0.91669303089896659</v>
      </c>
      <c r="V210" s="221">
        <f t="shared" si="313"/>
        <v>2.6364990561047829E-5</v>
      </c>
      <c r="W210" s="201">
        <f t="shared" si="314"/>
        <v>350</v>
      </c>
      <c r="X210" s="451">
        <f t="shared" si="315"/>
        <v>350</v>
      </c>
      <c r="Z210" s="221">
        <f t="shared" si="316"/>
        <v>1.9047071235171036</v>
      </c>
      <c r="AA210" s="177">
        <f t="shared" si="317"/>
        <v>8.2171867201568798E-5</v>
      </c>
      <c r="AB210" s="177">
        <f t="shared" si="347"/>
        <v>0.34129476953431226</v>
      </c>
      <c r="AC210" s="177"/>
      <c r="AD210" s="177">
        <f t="shared" si="319"/>
        <v>6.4712206554230591E-6</v>
      </c>
      <c r="AE210" s="555">
        <f t="shared" si="348"/>
        <v>16535.308641975313</v>
      </c>
      <c r="AF210" s="538">
        <f t="shared" si="321"/>
        <v>2.1166825946720815E-3</v>
      </c>
      <c r="AH210" s="177">
        <f t="shared" si="322"/>
        <v>1.023532631438318</v>
      </c>
      <c r="AI210" s="177">
        <f t="shared" si="349"/>
        <v>1.023532631438318</v>
      </c>
      <c r="AJ210" s="177">
        <f t="shared" si="350"/>
        <v>1.847061208472828</v>
      </c>
      <c r="AL210" s="555">
        <f t="shared" si="325"/>
        <v>100</v>
      </c>
      <c r="AM210" s="469">
        <f t="shared" si="326"/>
        <v>350</v>
      </c>
      <c r="AO210">
        <f t="shared" si="327"/>
        <v>100</v>
      </c>
      <c r="AP210">
        <f t="shared" si="328"/>
        <v>350</v>
      </c>
      <c r="AR210" s="5">
        <f t="shared" si="343"/>
        <v>2.8571428571428572</v>
      </c>
      <c r="AS210" s="5">
        <f t="shared" si="335"/>
        <v>1.5352989471574767</v>
      </c>
      <c r="AT210" s="5">
        <f t="shared" si="336"/>
        <v>1.3218439099853805</v>
      </c>
      <c r="AU210" s="177">
        <f t="shared" si="337"/>
        <v>0.53735463150511686</v>
      </c>
      <c r="AW210" s="5">
        <f t="shared" si="275"/>
        <v>1.0235326314383177</v>
      </c>
      <c r="AX210" s="5"/>
      <c r="AY210" s="5">
        <f t="shared" si="276"/>
        <v>9.5956184197342296</v>
      </c>
      <c r="AZ210" s="5"/>
      <c r="BA210" s="5">
        <f t="shared" si="277"/>
        <v>9.1794715971206961E-2</v>
      </c>
      <c r="BB210" s="5"/>
      <c r="BC210" s="5"/>
      <c r="BD210" s="177">
        <f t="shared" si="278"/>
        <v>0.43318315883356423</v>
      </c>
      <c r="BE210" s="177">
        <f t="shared" si="279"/>
        <v>5008.4736975008673</v>
      </c>
      <c r="BF210" s="177">
        <f t="shared" si="280"/>
        <v>24729.592757814506</v>
      </c>
      <c r="BG210" s="177"/>
      <c r="BH210" s="538">
        <f t="shared" si="281"/>
        <v>6.5676677183958726E-2</v>
      </c>
      <c r="BI210" s="538">
        <f t="shared" si="282"/>
        <v>1245.5998218071122</v>
      </c>
      <c r="BJ210" s="538">
        <f t="shared" si="283"/>
        <v>4.3749999999999995E-3</v>
      </c>
      <c r="BK210" s="538">
        <f t="shared" si="284"/>
        <v>8462830.4513776898</v>
      </c>
      <c r="BL210">
        <f t="shared" si="285"/>
        <v>5.7999999999999996E-3</v>
      </c>
      <c r="BM210">
        <f t="shared" si="329"/>
        <v>1.3124999999999999E-5</v>
      </c>
      <c r="BN210">
        <f t="shared" si="351"/>
        <v>8567896.3080449495</v>
      </c>
      <c r="BO210" s="469">
        <f t="shared" si="286"/>
        <v>8464076127.0511732</v>
      </c>
      <c r="BP210" s="177">
        <f t="shared" si="287"/>
        <v>0.03</v>
      </c>
      <c r="BQ210" s="177">
        <f t="shared" si="288"/>
        <v>0.15</v>
      </c>
      <c r="BR210" s="538"/>
      <c r="BT210" s="469">
        <f t="shared" si="289"/>
        <v>180</v>
      </c>
      <c r="BU210" s="538">
        <f t="shared" si="290"/>
        <v>1.8764764909702497E-2</v>
      </c>
      <c r="BV210" s="538">
        <f t="shared" si="291"/>
        <v>752544.26335674024</v>
      </c>
      <c r="BW210" s="538">
        <f t="shared" si="292"/>
        <v>30577637.898367584</v>
      </c>
      <c r="BX210" s="538">
        <f t="shared" si="293"/>
        <v>0</v>
      </c>
      <c r="BY210" s="538">
        <f t="shared" si="274"/>
        <v>-14.000005585670358</v>
      </c>
      <c r="BZ210" s="538">
        <f t="shared" si="344"/>
        <v>31330182.180489089</v>
      </c>
      <c r="CA210" s="641">
        <f t="shared" si="331"/>
        <v>1.8333333333333337E-2</v>
      </c>
      <c r="CB210" s="469">
        <f t="shared" si="338"/>
        <v>62660350379.305931</v>
      </c>
      <c r="CC210" s="177">
        <f t="shared" si="345"/>
        <v>8567882.5063726958</v>
      </c>
      <c r="CD210" s="5">
        <f t="shared" si="339"/>
        <v>5.5</v>
      </c>
      <c r="CE210" s="177">
        <f t="shared" si="340"/>
        <v>6.419318268293381E-7</v>
      </c>
      <c r="CF210" s="5">
        <f t="shared" si="341"/>
        <v>6.4193182682933803E-5</v>
      </c>
      <c r="CG210">
        <f t="shared" si="342"/>
        <v>100</v>
      </c>
      <c r="CI210" s="571">
        <f t="shared" si="332"/>
        <v>-50</v>
      </c>
      <c r="CJ210">
        <f t="shared" si="333"/>
        <v>-50</v>
      </c>
    </row>
    <row r="211" spans="5:88" x14ac:dyDescent="0.25">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5">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5">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x14ac:dyDescent="0.25">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3">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5">
      <c r="E216" s="174">
        <v>0.1</v>
      </c>
      <c r="F216" s="221">
        <v>1.0000000000000001E-9</v>
      </c>
      <c r="G216" s="221">
        <f t="shared" ref="G216:G247" si="353">IF(PLOT_TYPE=1, E216/100*Iout2, min_I*EXP(Q216*rr/100))</f>
        <v>5.0000000000000001E-4</v>
      </c>
      <c r="H216" s="221">
        <f t="shared" ref="H216:H247" si="354">F216*Vout</f>
        <v>1.5000000000000002E-8</v>
      </c>
      <c r="I216" s="221">
        <f t="shared" ref="I216:I247" si="355">Vout2*G216</f>
        <v>4.0000000000000001E-3</v>
      </c>
      <c r="J216" s="551">
        <f t="shared" ref="J216:J279" si="356">VIN_max</f>
        <v>28</v>
      </c>
      <c r="K216" s="451">
        <f t="shared" ref="K216:K279" si="357">(S216+Vfwd1)*Nps</f>
        <v>695386.58000000007</v>
      </c>
      <c r="L216" s="451">
        <f t="shared" ref="L216:L279" si="358">(Vout+Vfwd1)*Nps+J216</f>
        <v>695414.58000000007</v>
      </c>
      <c r="M216" s="451"/>
      <c r="N216" s="221">
        <f t="shared" ref="N216:N279" si="359">(Vout+Vfwd1)*Nps/((Vout+Vfwd1)*Nps+J216)</f>
        <v>0.99995973624826795</v>
      </c>
      <c r="O216" s="176">
        <f t="shared" ref="O216:O247" si="360">N216*J216*Isw_max*0.5*Efficiency*Pout/(Pout+Pout2)</f>
        <v>2.577168956603491</v>
      </c>
      <c r="P216" s="176">
        <f t="shared" ref="P216:P247" si="361">N216*J216*Isw_max*0.5*Efficiency*(Pout2/Pout_total)</f>
        <v>6.8724505509426423</v>
      </c>
      <c r="Q216" s="221">
        <f t="shared" ref="Q216:Q279" si="362">O216/Vout</f>
        <v>0.17181126377356606</v>
      </c>
      <c r="R216" s="221">
        <f t="shared" ref="R216:R247" si="363">O216/Vout2</f>
        <v>0.32214611957543637</v>
      </c>
      <c r="S216" s="221">
        <f t="shared" ref="S216:S247" si="364">MIN(Vout,O216/F216)</f>
        <v>15</v>
      </c>
      <c r="T216" s="221">
        <f t="shared" ref="T216:T247" si="365">MIN(2*(Vout*F216+Vout2*G216)/(Efficiency*J216*N216), Isw_max)</f>
        <v>3.1747429064252772E-4</v>
      </c>
      <c r="U216" s="221">
        <f t="shared" ref="U216:U279" si="366">L*T216/J216*1000000</f>
        <v>3.4015102568842254E-4</v>
      </c>
      <c r="V216" s="221">
        <f t="shared" ref="V216:V279" si="367">L*T216/K216*1000000</f>
        <v>1.3696307914478059E-8</v>
      </c>
      <c r="W216" s="201">
        <f t="shared" ref="W216:W279" si="368">IF(1/((350000*L)*(1/J216+1/K216))&gt;Isw_min, 350, 0.001/((Isw_min*L)*(1/J216+1/K216)))</f>
        <v>350</v>
      </c>
      <c r="X216" s="451">
        <f t="shared" ref="X216:X279" si="369">MIN(1/(U216+V216)*1000, 350)</f>
        <v>350</v>
      </c>
      <c r="Z216" s="221">
        <f t="shared" ref="Z216:Z279" si="370">1/((W216*1000*L)*(1/J216+1/K216))</f>
        <v>2.6665592966620477</v>
      </c>
      <c r="AA216" s="177">
        <f t="shared" ref="AA216:AA279" si="371">L*Z216/K216*1000000</f>
        <v>1.1503929066313219E-4</v>
      </c>
      <c r="AB216" s="177">
        <f t="shared" ref="AB216:AB247" si="372">0.5*AA216*Z216*Nps*W216/1000*(Pout/(Pout+Pout2))</f>
        <v>0.66892235755096752</v>
      </c>
      <c r="AC216" s="177"/>
      <c r="AD216" s="177">
        <f t="shared" ref="AD216:AD279" si="373">L*Isw_min/K216*1000000</f>
        <v>6.4712206554230591E-6</v>
      </c>
      <c r="AE216" s="555">
        <f t="shared" ref="AE216:AE247" si="374">MAX(10, F216/(0.5*AD216/1000000*Isw_min*Nps)/1000*Pout_total/Pout)</f>
        <v>10</v>
      </c>
      <c r="AF216" s="538">
        <f t="shared" ref="AF216:AF247" si="375">0.5*AD216/1000000*Isw_min*Nps*W216*1000*(Pout/Pout_total)</f>
        <v>2.1166825946720815E-3</v>
      </c>
      <c r="AH216" s="177">
        <f t="shared" ref="AH216:AH247" si="376">SQRT((H216+I216)/(0.5*L*Fsw_DCM))</f>
        <v>2.7602674128562599E-2</v>
      </c>
      <c r="AI216" s="177">
        <f t="shared" ref="AI216:AI247" si="377">MAX(IF(F216&gt;AB216,T216,AH216),Isw_min)</f>
        <v>0.15</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0.16071428571428573</v>
      </c>
      <c r="AT216" s="5">
        <f t="shared" si="336"/>
        <v>99.839285714285708</v>
      </c>
      <c r="AU216" s="177">
        <f t="shared" si="337"/>
        <v>1.6071428571428573E-3</v>
      </c>
      <c r="CI216" s="571">
        <f t="shared" ref="CI216:CI247" si="383">IF(ABS(F216-Ioutmax_Vinmax)&lt;Iout/200, AM216, -50)</f>
        <v>-50</v>
      </c>
    </row>
    <row r="217" spans="5:88" x14ac:dyDescent="0.25">
      <c r="E217" s="174">
        <v>1</v>
      </c>
      <c r="F217" s="221">
        <f t="shared" ref="F217:F248" si="384">IF(PLOT_TYPE=1, E217/100*Iout_max, min_I*EXP(O217*rr/100))</f>
        <v>1E-3</v>
      </c>
      <c r="G217" s="221">
        <f t="shared" si="353"/>
        <v>5.0000000000000001E-3</v>
      </c>
      <c r="H217" s="221">
        <f t="shared" si="354"/>
        <v>1.4999999999999999E-2</v>
      </c>
      <c r="I217" s="221">
        <f t="shared" si="355"/>
        <v>0.04</v>
      </c>
      <c r="J217" s="551">
        <f t="shared" si="356"/>
        <v>28</v>
      </c>
      <c r="K217" s="451">
        <f t="shared" si="357"/>
        <v>695386.58000000007</v>
      </c>
      <c r="L217" s="451">
        <f t="shared" si="358"/>
        <v>695414.58000000007</v>
      </c>
      <c r="M217" s="451"/>
      <c r="N217" s="221">
        <f t="shared" si="359"/>
        <v>0.99995973624826795</v>
      </c>
      <c r="O217" s="176">
        <f t="shared" si="360"/>
        <v>2.577168956603491</v>
      </c>
      <c r="P217" s="176">
        <f t="shared" si="361"/>
        <v>6.8724505509426423</v>
      </c>
      <c r="Q217" s="221">
        <f t="shared" si="362"/>
        <v>0.17181126377356606</v>
      </c>
      <c r="R217" s="221">
        <f t="shared" si="363"/>
        <v>0.32214611957543637</v>
      </c>
      <c r="S217" s="221">
        <f t="shared" si="364"/>
        <v>15</v>
      </c>
      <c r="T217" s="221">
        <f t="shared" si="365"/>
        <v>4.3652551266280312E-3</v>
      </c>
      <c r="U217" s="221">
        <f t="shared" si="366"/>
        <v>4.677059064244319E-3</v>
      </c>
      <c r="V217" s="221">
        <f t="shared" si="367"/>
        <v>1.8832352761084479E-7</v>
      </c>
      <c r="W217" s="201">
        <f t="shared" si="368"/>
        <v>350</v>
      </c>
      <c r="X217" s="451">
        <f t="shared" si="369"/>
        <v>350</v>
      </c>
      <c r="Z217" s="221">
        <f t="shared" si="370"/>
        <v>2.6665592966620477</v>
      </c>
      <c r="AA217" s="177">
        <f t="shared" si="371"/>
        <v>1.1503929066313219E-4</v>
      </c>
      <c r="AB217" s="177">
        <f t="shared" si="372"/>
        <v>0.66892235755096752</v>
      </c>
      <c r="AC217" s="177"/>
      <c r="AD217" s="177">
        <f t="shared" si="373"/>
        <v>6.4712206554230591E-6</v>
      </c>
      <c r="AE217" s="555">
        <f t="shared" si="374"/>
        <v>165.35308641975314</v>
      </c>
      <c r="AF217" s="538">
        <f t="shared" si="375"/>
        <v>2.1166825946720815E-3</v>
      </c>
      <c r="AH217" s="177">
        <f t="shared" si="376"/>
        <v>0.10235326314383179</v>
      </c>
      <c r="AI217" s="177">
        <f t="shared" si="377"/>
        <v>0.15</v>
      </c>
      <c r="AJ217" s="177">
        <f t="shared" si="378"/>
        <v>1.0944874779541447</v>
      </c>
      <c r="AL217" s="555">
        <f t="shared" si="379"/>
        <v>1</v>
      </c>
      <c r="AM217" s="469">
        <f t="shared" si="380"/>
        <v>165.35308641975314</v>
      </c>
      <c r="AO217">
        <f t="shared" si="381"/>
        <v>1</v>
      </c>
      <c r="AP217">
        <f t="shared" si="382"/>
        <v>165.35308641975314</v>
      </c>
      <c r="AR217" s="5">
        <f t="shared" si="343"/>
        <v>6.0476645562059472</v>
      </c>
      <c r="AS217" s="5">
        <f t="shared" si="335"/>
        <v>0.16071428571428573</v>
      </c>
      <c r="AT217" s="5">
        <f t="shared" si="336"/>
        <v>5.8869502704916616</v>
      </c>
      <c r="AU217" s="177">
        <f t="shared" si="337"/>
        <v>2.6574603174603185E-2</v>
      </c>
      <c r="CI217" s="571">
        <f t="shared" si="383"/>
        <v>-50</v>
      </c>
    </row>
    <row r="218" spans="5:88" x14ac:dyDescent="0.25">
      <c r="E218" s="174">
        <v>2</v>
      </c>
      <c r="F218" s="221">
        <f t="shared" si="384"/>
        <v>2E-3</v>
      </c>
      <c r="G218" s="221">
        <f t="shared" si="353"/>
        <v>0.01</v>
      </c>
      <c r="H218" s="221">
        <f t="shared" si="354"/>
        <v>0.03</v>
      </c>
      <c r="I218" s="221">
        <f t="shared" si="355"/>
        <v>0.08</v>
      </c>
      <c r="J218" s="551">
        <f t="shared" si="356"/>
        <v>28</v>
      </c>
      <c r="K218" s="451">
        <f t="shared" si="357"/>
        <v>695386.58000000007</v>
      </c>
      <c r="L218" s="451">
        <f t="shared" si="358"/>
        <v>695414.58000000007</v>
      </c>
      <c r="M218" s="451"/>
      <c r="N218" s="221">
        <f t="shared" si="359"/>
        <v>0.99995973624826795</v>
      </c>
      <c r="O218" s="176">
        <f t="shared" si="360"/>
        <v>2.577168956603491</v>
      </c>
      <c r="P218" s="176">
        <f t="shared" si="361"/>
        <v>6.8724505509426423</v>
      </c>
      <c r="Q218" s="221">
        <f t="shared" si="362"/>
        <v>0.17181126377356606</v>
      </c>
      <c r="R218" s="221">
        <f t="shared" si="363"/>
        <v>0.32214611957543637</v>
      </c>
      <c r="S218" s="221">
        <f t="shared" si="364"/>
        <v>15</v>
      </c>
      <c r="T218" s="221">
        <f t="shared" si="365"/>
        <v>8.7305102532560623E-3</v>
      </c>
      <c r="U218" s="221">
        <f t="shared" si="366"/>
        <v>9.3541181284886379E-3</v>
      </c>
      <c r="V218" s="221">
        <f t="shared" si="367"/>
        <v>3.7664705522168958E-7</v>
      </c>
      <c r="W218" s="201">
        <f t="shared" si="368"/>
        <v>350</v>
      </c>
      <c r="X218" s="451">
        <f t="shared" si="369"/>
        <v>350</v>
      </c>
      <c r="Z218" s="221">
        <f t="shared" si="370"/>
        <v>2.6665592966620477</v>
      </c>
      <c r="AA218" s="177">
        <f t="shared" si="371"/>
        <v>1.1503929066313219E-4</v>
      </c>
      <c r="AB218" s="177">
        <f t="shared" si="372"/>
        <v>0.66892235755096752</v>
      </c>
      <c r="AC218" s="177"/>
      <c r="AD218" s="177">
        <f t="shared" si="373"/>
        <v>6.4712206554230591E-6</v>
      </c>
      <c r="AE218" s="555">
        <f t="shared" si="374"/>
        <v>330.70617283950628</v>
      </c>
      <c r="AF218" s="538">
        <f t="shared" si="375"/>
        <v>2.1166825946720815E-3</v>
      </c>
      <c r="AH218" s="177">
        <f t="shared" si="376"/>
        <v>0.14474937289114917</v>
      </c>
      <c r="AI218" s="177">
        <f t="shared" si="377"/>
        <v>0.15</v>
      </c>
      <c r="AJ218" s="177">
        <f t="shared" si="378"/>
        <v>1.1889749559082894</v>
      </c>
      <c r="AL218" s="555">
        <f t="shared" si="379"/>
        <v>2</v>
      </c>
      <c r="AM218" s="469">
        <f t="shared" si="380"/>
        <v>330.70617283950628</v>
      </c>
      <c r="AO218">
        <f t="shared" si="381"/>
        <v>2</v>
      </c>
      <c r="AP218">
        <f t="shared" si="382"/>
        <v>330.70617283950628</v>
      </c>
      <c r="AR218" s="5">
        <f t="shared" si="343"/>
        <v>3.0238322781029736</v>
      </c>
      <c r="AS218" s="5">
        <f t="shared" si="335"/>
        <v>0.16071428571428573</v>
      </c>
      <c r="AT218" s="5">
        <f t="shared" si="336"/>
        <v>2.863117992388688</v>
      </c>
      <c r="AU218" s="177">
        <f t="shared" si="337"/>
        <v>5.314920634920637E-2</v>
      </c>
      <c r="CI218" s="571">
        <f t="shared" si="383"/>
        <v>-50</v>
      </c>
    </row>
    <row r="219" spans="5:88" x14ac:dyDescent="0.25">
      <c r="E219" s="174">
        <v>3</v>
      </c>
      <c r="F219" s="221">
        <f t="shared" si="384"/>
        <v>3.0000000000000001E-3</v>
      </c>
      <c r="G219" s="221">
        <f t="shared" si="353"/>
        <v>1.4999999999999999E-2</v>
      </c>
      <c r="H219" s="221">
        <f t="shared" si="354"/>
        <v>4.4999999999999998E-2</v>
      </c>
      <c r="I219" s="221">
        <f t="shared" si="355"/>
        <v>0.12</v>
      </c>
      <c r="J219" s="551">
        <f t="shared" si="356"/>
        <v>28</v>
      </c>
      <c r="K219" s="451">
        <f t="shared" si="357"/>
        <v>695386.58000000007</v>
      </c>
      <c r="L219" s="451">
        <f t="shared" si="358"/>
        <v>695414.58000000007</v>
      </c>
      <c r="M219" s="451"/>
      <c r="N219" s="221">
        <f t="shared" si="359"/>
        <v>0.99995973624826795</v>
      </c>
      <c r="O219" s="176">
        <f t="shared" si="360"/>
        <v>2.577168956603491</v>
      </c>
      <c r="P219" s="176">
        <f t="shared" si="361"/>
        <v>6.8724505509426423</v>
      </c>
      <c r="Q219" s="221">
        <f t="shared" si="362"/>
        <v>0.17181126377356606</v>
      </c>
      <c r="R219" s="221">
        <f t="shared" si="363"/>
        <v>0.32214611957543637</v>
      </c>
      <c r="S219" s="221">
        <f t="shared" si="364"/>
        <v>15</v>
      </c>
      <c r="T219" s="221">
        <f t="shared" si="365"/>
        <v>1.3095765379884092E-2</v>
      </c>
      <c r="U219" s="221">
        <f t="shared" si="366"/>
        <v>1.4031177192732955E-2</v>
      </c>
      <c r="V219" s="221">
        <f t="shared" si="367"/>
        <v>5.6497058283253429E-7</v>
      </c>
      <c r="W219" s="201">
        <f t="shared" si="368"/>
        <v>350</v>
      </c>
      <c r="X219" s="451">
        <f t="shared" si="369"/>
        <v>350</v>
      </c>
      <c r="Z219" s="221">
        <f t="shared" si="370"/>
        <v>2.6665592966620477</v>
      </c>
      <c r="AA219" s="177">
        <f t="shared" si="371"/>
        <v>1.1503929066313219E-4</v>
      </c>
      <c r="AB219" s="177">
        <f t="shared" si="372"/>
        <v>0.66892235755096752</v>
      </c>
      <c r="AC219" s="177"/>
      <c r="AD219" s="177">
        <f t="shared" si="373"/>
        <v>6.4712206554230591E-6</v>
      </c>
      <c r="AE219" s="555">
        <f t="shared" si="374"/>
        <v>496.05925925925948</v>
      </c>
      <c r="AF219" s="538">
        <f t="shared" si="375"/>
        <v>2.1166825946720815E-3</v>
      </c>
      <c r="AH219" s="177">
        <f t="shared" si="376"/>
        <v>0.17728105208558365</v>
      </c>
      <c r="AI219" s="177">
        <f t="shared" si="377"/>
        <v>0.17728105208558365</v>
      </c>
      <c r="AJ219" s="177">
        <f t="shared" si="378"/>
        <v>1.2202081867300618</v>
      </c>
      <c r="AL219" s="555">
        <f t="shared" si="379"/>
        <v>3</v>
      </c>
      <c r="AM219" s="469">
        <f t="shared" si="380"/>
        <v>350</v>
      </c>
      <c r="AO219">
        <f t="shared" si="381"/>
        <v>3</v>
      </c>
      <c r="AP219">
        <f t="shared" si="382"/>
        <v>350</v>
      </c>
      <c r="AR219" s="5">
        <f t="shared" si="343"/>
        <v>2.8571428571428572</v>
      </c>
      <c r="AS219" s="5">
        <f t="shared" si="335"/>
        <v>0.18994398437741103</v>
      </c>
      <c r="AT219" s="5">
        <f t="shared" si="336"/>
        <v>2.6671988727654461</v>
      </c>
      <c r="AU219" s="177">
        <f t="shared" si="337"/>
        <v>6.6480394532093853E-2</v>
      </c>
      <c r="CI219" s="571">
        <f t="shared" si="383"/>
        <v>-50</v>
      </c>
    </row>
    <row r="220" spans="5:88" x14ac:dyDescent="0.25">
      <c r="E220" s="174">
        <v>4</v>
      </c>
      <c r="F220" s="221">
        <f t="shared" si="384"/>
        <v>4.0000000000000001E-3</v>
      </c>
      <c r="G220" s="221">
        <f t="shared" si="353"/>
        <v>0.02</v>
      </c>
      <c r="H220" s="221">
        <f t="shared" si="354"/>
        <v>0.06</v>
      </c>
      <c r="I220" s="221">
        <f t="shared" si="355"/>
        <v>0.16</v>
      </c>
      <c r="J220" s="551">
        <f t="shared" si="356"/>
        <v>28</v>
      </c>
      <c r="K220" s="451">
        <f t="shared" si="357"/>
        <v>695386.58000000007</v>
      </c>
      <c r="L220" s="451">
        <f t="shared" si="358"/>
        <v>695414.58000000007</v>
      </c>
      <c r="M220" s="451"/>
      <c r="N220" s="221">
        <f t="shared" si="359"/>
        <v>0.99995973624826795</v>
      </c>
      <c r="O220" s="176">
        <f t="shared" si="360"/>
        <v>2.577168956603491</v>
      </c>
      <c r="P220" s="176">
        <f t="shared" si="361"/>
        <v>6.8724505509426423</v>
      </c>
      <c r="Q220" s="221">
        <f t="shared" si="362"/>
        <v>0.17181126377356606</v>
      </c>
      <c r="R220" s="221">
        <f t="shared" si="363"/>
        <v>0.32214611957543637</v>
      </c>
      <c r="S220" s="221">
        <f t="shared" si="364"/>
        <v>15</v>
      </c>
      <c r="T220" s="221">
        <f t="shared" si="365"/>
        <v>1.7461020506512125E-2</v>
      </c>
      <c r="U220" s="221">
        <f t="shared" si="366"/>
        <v>1.8708236256977276E-2</v>
      </c>
      <c r="V220" s="221">
        <f t="shared" si="367"/>
        <v>7.5329411044337916E-7</v>
      </c>
      <c r="W220" s="201">
        <f t="shared" si="368"/>
        <v>350</v>
      </c>
      <c r="X220" s="451">
        <f t="shared" si="369"/>
        <v>350</v>
      </c>
      <c r="Z220" s="221">
        <f t="shared" si="370"/>
        <v>2.6665592966620477</v>
      </c>
      <c r="AA220" s="177">
        <f t="shared" si="371"/>
        <v>1.1503929066313219E-4</v>
      </c>
      <c r="AB220" s="177">
        <f t="shared" si="372"/>
        <v>0.66892235755096752</v>
      </c>
      <c r="AC220" s="177"/>
      <c r="AD220" s="177">
        <f t="shared" si="373"/>
        <v>6.4712206554230591E-6</v>
      </c>
      <c r="AE220" s="555">
        <f t="shared" si="374"/>
        <v>661.41234567901256</v>
      </c>
      <c r="AF220" s="538">
        <f t="shared" si="375"/>
        <v>2.1166825946720815E-3</v>
      </c>
      <c r="AH220" s="177">
        <f t="shared" si="376"/>
        <v>0.20470652628766359</v>
      </c>
      <c r="AI220" s="177">
        <f t="shared" si="377"/>
        <v>0.20470652628766359</v>
      </c>
      <c r="AJ220" s="177">
        <f t="shared" si="378"/>
        <v>1.2405233528056767</v>
      </c>
      <c r="AL220" s="555">
        <f t="shared" si="379"/>
        <v>4</v>
      </c>
      <c r="AM220" s="469">
        <f t="shared" si="380"/>
        <v>350</v>
      </c>
      <c r="AO220">
        <f t="shared" si="381"/>
        <v>4</v>
      </c>
      <c r="AP220">
        <f t="shared" si="382"/>
        <v>350</v>
      </c>
      <c r="AR220" s="5">
        <f t="shared" si="343"/>
        <v>2.8571428571428572</v>
      </c>
      <c r="AS220" s="5">
        <f t="shared" si="335"/>
        <v>0.21932842102249672</v>
      </c>
      <c r="AT220" s="5">
        <f t="shared" si="336"/>
        <v>2.6378144361203604</v>
      </c>
      <c r="AU220" s="177">
        <f t="shared" si="337"/>
        <v>7.6764947357873856E-2</v>
      </c>
      <c r="CI220" s="571">
        <f t="shared" si="383"/>
        <v>-50</v>
      </c>
    </row>
    <row r="221" spans="5:88" x14ac:dyDescent="0.25">
      <c r="E221" s="174">
        <v>5</v>
      </c>
      <c r="F221" s="221">
        <f t="shared" si="384"/>
        <v>5.000000000000001E-3</v>
      </c>
      <c r="G221" s="221">
        <f t="shared" si="353"/>
        <v>2.5000000000000001E-2</v>
      </c>
      <c r="H221" s="221">
        <f t="shared" si="354"/>
        <v>7.5000000000000011E-2</v>
      </c>
      <c r="I221" s="221">
        <f t="shared" si="355"/>
        <v>0.2</v>
      </c>
      <c r="J221" s="551">
        <f t="shared" si="356"/>
        <v>28</v>
      </c>
      <c r="K221" s="451">
        <f t="shared" si="357"/>
        <v>695386.58000000007</v>
      </c>
      <c r="L221" s="451">
        <f t="shared" si="358"/>
        <v>695414.58000000007</v>
      </c>
      <c r="M221" s="451"/>
      <c r="N221" s="221">
        <f t="shared" si="359"/>
        <v>0.99995973624826795</v>
      </c>
      <c r="O221" s="176">
        <f t="shared" si="360"/>
        <v>2.577168956603491</v>
      </c>
      <c r="P221" s="176">
        <f t="shared" si="361"/>
        <v>6.8724505509426423</v>
      </c>
      <c r="Q221" s="221">
        <f t="shared" si="362"/>
        <v>0.17181126377356606</v>
      </c>
      <c r="R221" s="221">
        <f t="shared" si="363"/>
        <v>0.32214611957543637</v>
      </c>
      <c r="S221" s="221">
        <f t="shared" si="364"/>
        <v>15</v>
      </c>
      <c r="T221" s="221">
        <f t="shared" si="365"/>
        <v>2.1826275633140158E-2</v>
      </c>
      <c r="U221" s="221">
        <f t="shared" si="366"/>
        <v>2.3385295321221602E-2</v>
      </c>
      <c r="V221" s="221">
        <f t="shared" si="367"/>
        <v>9.4161763805422392E-7</v>
      </c>
      <c r="W221" s="201">
        <f t="shared" si="368"/>
        <v>350</v>
      </c>
      <c r="X221" s="451">
        <f t="shared" si="369"/>
        <v>350</v>
      </c>
      <c r="Z221" s="221">
        <f t="shared" si="370"/>
        <v>2.6665592966620477</v>
      </c>
      <c r="AA221" s="177">
        <f t="shared" si="371"/>
        <v>1.1503929066313219E-4</v>
      </c>
      <c r="AB221" s="177">
        <f t="shared" si="372"/>
        <v>0.66892235755096752</v>
      </c>
      <c r="AC221" s="177"/>
      <c r="AD221" s="177">
        <f t="shared" si="373"/>
        <v>6.4712206554230591E-6</v>
      </c>
      <c r="AE221" s="555">
        <f t="shared" si="374"/>
        <v>826.76543209876581</v>
      </c>
      <c r="AF221" s="538">
        <f t="shared" si="375"/>
        <v>2.1166825946720815E-3</v>
      </c>
      <c r="AH221" s="177">
        <f t="shared" si="376"/>
        <v>0.22886885410853172</v>
      </c>
      <c r="AI221" s="177">
        <f t="shared" si="377"/>
        <v>0.22886885410853172</v>
      </c>
      <c r="AJ221" s="177">
        <f t="shared" si="378"/>
        <v>1.2584213734137271</v>
      </c>
      <c r="AL221" s="555">
        <f t="shared" si="379"/>
        <v>5.0000000000000009</v>
      </c>
      <c r="AM221" s="469">
        <f t="shared" si="380"/>
        <v>350</v>
      </c>
      <c r="AO221">
        <f t="shared" si="381"/>
        <v>5.0000000000000009</v>
      </c>
      <c r="AP221">
        <f t="shared" si="382"/>
        <v>350</v>
      </c>
      <c r="AR221" s="5">
        <f t="shared" si="343"/>
        <v>2.8571428571428572</v>
      </c>
      <c r="AS221" s="5">
        <f t="shared" si="335"/>
        <v>0.24521662940199826</v>
      </c>
      <c r="AT221" s="5">
        <f t="shared" si="336"/>
        <v>2.611926227740859</v>
      </c>
      <c r="AU221" s="177">
        <f t="shared" si="337"/>
        <v>8.5825820290699392E-2</v>
      </c>
      <c r="CI221" s="571">
        <f t="shared" si="383"/>
        <v>-50</v>
      </c>
    </row>
    <row r="222" spans="5:88" x14ac:dyDescent="0.25">
      <c r="E222" s="174">
        <v>6</v>
      </c>
      <c r="F222" s="221">
        <f t="shared" si="384"/>
        <v>6.0000000000000001E-3</v>
      </c>
      <c r="G222" s="221">
        <f t="shared" si="353"/>
        <v>0.03</v>
      </c>
      <c r="H222" s="221">
        <f t="shared" si="354"/>
        <v>0.09</v>
      </c>
      <c r="I222" s="221">
        <f t="shared" si="355"/>
        <v>0.24</v>
      </c>
      <c r="J222" s="551">
        <f t="shared" si="356"/>
        <v>28</v>
      </c>
      <c r="K222" s="451">
        <f t="shared" si="357"/>
        <v>695386.58000000007</v>
      </c>
      <c r="L222" s="451">
        <f t="shared" si="358"/>
        <v>695414.58000000007</v>
      </c>
      <c r="M222" s="451"/>
      <c r="N222" s="221">
        <f t="shared" si="359"/>
        <v>0.99995973624826795</v>
      </c>
      <c r="O222" s="176">
        <f t="shared" si="360"/>
        <v>2.577168956603491</v>
      </c>
      <c r="P222" s="176">
        <f t="shared" si="361"/>
        <v>6.8724505509426423</v>
      </c>
      <c r="Q222" s="221">
        <f t="shared" si="362"/>
        <v>0.17181126377356606</v>
      </c>
      <c r="R222" s="221">
        <f t="shared" si="363"/>
        <v>0.32214611957543637</v>
      </c>
      <c r="S222" s="221">
        <f t="shared" si="364"/>
        <v>15</v>
      </c>
      <c r="T222" s="221">
        <f t="shared" si="365"/>
        <v>2.6191530759768183E-2</v>
      </c>
      <c r="U222" s="221">
        <f t="shared" si="366"/>
        <v>2.806235438546591E-2</v>
      </c>
      <c r="V222" s="221">
        <f t="shared" si="367"/>
        <v>1.1299411656650686E-6</v>
      </c>
      <c r="W222" s="201">
        <f t="shared" si="368"/>
        <v>350</v>
      </c>
      <c r="X222" s="451">
        <f t="shared" si="369"/>
        <v>350</v>
      </c>
      <c r="Z222" s="221">
        <f t="shared" si="370"/>
        <v>2.6665592966620477</v>
      </c>
      <c r="AA222" s="177">
        <f t="shared" si="371"/>
        <v>1.1503929066313219E-4</v>
      </c>
      <c r="AB222" s="177">
        <f t="shared" si="372"/>
        <v>0.66892235755096752</v>
      </c>
      <c r="AC222" s="177"/>
      <c r="AD222" s="177">
        <f t="shared" si="373"/>
        <v>6.4712206554230591E-6</v>
      </c>
      <c r="AE222" s="555">
        <f t="shared" si="374"/>
        <v>992.11851851851895</v>
      </c>
      <c r="AF222" s="538">
        <f t="shared" si="375"/>
        <v>2.1166825946720815E-3</v>
      </c>
      <c r="AH222" s="177">
        <f t="shared" si="376"/>
        <v>0.25071326821120349</v>
      </c>
      <c r="AI222" s="177">
        <f t="shared" si="377"/>
        <v>0.25071326821120349</v>
      </c>
      <c r="AJ222" s="177">
        <f t="shared" si="378"/>
        <v>1.2746024208971878</v>
      </c>
      <c r="AL222" s="555">
        <f t="shared" si="379"/>
        <v>6</v>
      </c>
      <c r="AM222" s="469">
        <f t="shared" si="380"/>
        <v>350</v>
      </c>
      <c r="AO222">
        <f t="shared" si="381"/>
        <v>6</v>
      </c>
      <c r="AP222">
        <f t="shared" si="382"/>
        <v>350</v>
      </c>
      <c r="AR222" s="5">
        <f t="shared" si="343"/>
        <v>2.8571428571428572</v>
      </c>
      <c r="AS222" s="5">
        <f t="shared" si="335"/>
        <v>0.26862135879771804</v>
      </c>
      <c r="AT222" s="5">
        <f t="shared" si="336"/>
        <v>2.588521498345139</v>
      </c>
      <c r="AU222" s="177">
        <f t="shared" si="337"/>
        <v>9.4017475579201315E-2</v>
      </c>
      <c r="CI222" s="571">
        <f t="shared" si="383"/>
        <v>-50</v>
      </c>
    </row>
    <row r="223" spans="5:88" x14ac:dyDescent="0.25">
      <c r="E223" s="174">
        <v>7</v>
      </c>
      <c r="F223" s="221">
        <f t="shared" si="384"/>
        <v>7.000000000000001E-3</v>
      </c>
      <c r="G223" s="221">
        <f t="shared" si="353"/>
        <v>3.5000000000000003E-2</v>
      </c>
      <c r="H223" s="221">
        <f t="shared" si="354"/>
        <v>0.10500000000000001</v>
      </c>
      <c r="I223" s="221">
        <f t="shared" si="355"/>
        <v>0.28000000000000003</v>
      </c>
      <c r="J223" s="551">
        <f t="shared" si="356"/>
        <v>28</v>
      </c>
      <c r="K223" s="451">
        <f t="shared" si="357"/>
        <v>695386.58000000007</v>
      </c>
      <c r="L223" s="451">
        <f t="shared" si="358"/>
        <v>695414.58000000007</v>
      </c>
      <c r="M223" s="451"/>
      <c r="N223" s="221">
        <f t="shared" si="359"/>
        <v>0.99995973624826795</v>
      </c>
      <c r="O223" s="176">
        <f t="shared" si="360"/>
        <v>2.577168956603491</v>
      </c>
      <c r="P223" s="176">
        <f t="shared" si="361"/>
        <v>6.8724505509426423</v>
      </c>
      <c r="Q223" s="221">
        <f t="shared" si="362"/>
        <v>0.17181126377356606</v>
      </c>
      <c r="R223" s="221">
        <f t="shared" si="363"/>
        <v>0.32214611957543637</v>
      </c>
      <c r="S223" s="221">
        <f t="shared" si="364"/>
        <v>15</v>
      </c>
      <c r="T223" s="221">
        <f t="shared" si="365"/>
        <v>3.0556785886396216E-2</v>
      </c>
      <c r="U223" s="221">
        <f t="shared" si="366"/>
        <v>3.2739413449710236E-2</v>
      </c>
      <c r="V223" s="221">
        <f t="shared" si="367"/>
        <v>1.3182646932759134E-6</v>
      </c>
      <c r="W223" s="201">
        <f t="shared" si="368"/>
        <v>350</v>
      </c>
      <c r="X223" s="451">
        <f t="shared" si="369"/>
        <v>350</v>
      </c>
      <c r="Z223" s="221">
        <f t="shared" si="370"/>
        <v>2.6665592966620477</v>
      </c>
      <c r="AA223" s="177">
        <f t="shared" si="371"/>
        <v>1.1503929066313219E-4</v>
      </c>
      <c r="AB223" s="177">
        <f t="shared" si="372"/>
        <v>0.66892235755096752</v>
      </c>
      <c r="AC223" s="177"/>
      <c r="AD223" s="177">
        <f t="shared" si="373"/>
        <v>6.4712206554230591E-6</v>
      </c>
      <c r="AE223" s="555">
        <f t="shared" si="374"/>
        <v>1157.4716049382721</v>
      </c>
      <c r="AF223" s="538">
        <f t="shared" si="375"/>
        <v>2.1166825946720815E-3</v>
      </c>
      <c r="AH223" s="177">
        <f t="shared" si="376"/>
        <v>0.27080128015453203</v>
      </c>
      <c r="AI223" s="177">
        <f t="shared" si="377"/>
        <v>0.27080128015453203</v>
      </c>
      <c r="AJ223" s="177">
        <f t="shared" si="378"/>
        <v>1.2894824297440977</v>
      </c>
      <c r="AL223" s="555">
        <f t="shared" si="379"/>
        <v>7.0000000000000009</v>
      </c>
      <c r="AM223" s="469">
        <f t="shared" si="380"/>
        <v>350</v>
      </c>
      <c r="AO223">
        <f t="shared" si="381"/>
        <v>7.0000000000000009</v>
      </c>
      <c r="AP223">
        <f t="shared" si="382"/>
        <v>350</v>
      </c>
      <c r="AR223" s="5">
        <f t="shared" si="343"/>
        <v>2.8571428571428572</v>
      </c>
      <c r="AS223" s="5">
        <f t="shared" si="335"/>
        <v>0.29014422873699863</v>
      </c>
      <c r="AT223" s="5">
        <f t="shared" si="336"/>
        <v>2.5669986284058588</v>
      </c>
      <c r="AU223" s="177">
        <f t="shared" si="337"/>
        <v>0.10155048005794952</v>
      </c>
      <c r="CI223" s="571">
        <f t="shared" si="383"/>
        <v>-50</v>
      </c>
    </row>
    <row r="224" spans="5:88" x14ac:dyDescent="0.25">
      <c r="E224" s="174">
        <v>8</v>
      </c>
      <c r="F224" s="221">
        <f t="shared" si="384"/>
        <v>8.0000000000000002E-3</v>
      </c>
      <c r="G224" s="221">
        <f t="shared" si="353"/>
        <v>0.04</v>
      </c>
      <c r="H224" s="221">
        <f t="shared" si="354"/>
        <v>0.12</v>
      </c>
      <c r="I224" s="221">
        <f t="shared" si="355"/>
        <v>0.32</v>
      </c>
      <c r="J224" s="551">
        <f t="shared" si="356"/>
        <v>28</v>
      </c>
      <c r="K224" s="451">
        <f t="shared" si="357"/>
        <v>695386.58000000007</v>
      </c>
      <c r="L224" s="451">
        <f t="shared" si="358"/>
        <v>695414.58000000007</v>
      </c>
      <c r="M224" s="451"/>
      <c r="N224" s="221">
        <f t="shared" si="359"/>
        <v>0.99995973624826795</v>
      </c>
      <c r="O224" s="176">
        <f t="shared" si="360"/>
        <v>2.577168956603491</v>
      </c>
      <c r="P224" s="176">
        <f t="shared" si="361"/>
        <v>6.8724505509426423</v>
      </c>
      <c r="Q224" s="221">
        <f t="shared" si="362"/>
        <v>0.17181126377356606</v>
      </c>
      <c r="R224" s="221">
        <f t="shared" si="363"/>
        <v>0.32214611957543637</v>
      </c>
      <c r="S224" s="221">
        <f t="shared" si="364"/>
        <v>15</v>
      </c>
      <c r="T224" s="221">
        <f t="shared" si="365"/>
        <v>3.4922041013024249E-2</v>
      </c>
      <c r="U224" s="221">
        <f t="shared" si="366"/>
        <v>3.7416472513954552E-2</v>
      </c>
      <c r="V224" s="221">
        <f t="shared" si="367"/>
        <v>1.5065882208867583E-6</v>
      </c>
      <c r="W224" s="201">
        <f t="shared" si="368"/>
        <v>350</v>
      </c>
      <c r="X224" s="451">
        <f t="shared" si="369"/>
        <v>350</v>
      </c>
      <c r="Z224" s="221">
        <f t="shared" si="370"/>
        <v>2.6665592966620477</v>
      </c>
      <c r="AA224" s="177">
        <f t="shared" si="371"/>
        <v>1.1503929066313219E-4</v>
      </c>
      <c r="AB224" s="177">
        <f t="shared" si="372"/>
        <v>0.66892235755096752</v>
      </c>
      <c r="AC224" s="177"/>
      <c r="AD224" s="177">
        <f t="shared" si="373"/>
        <v>6.4712206554230591E-6</v>
      </c>
      <c r="AE224" s="555">
        <f t="shared" si="374"/>
        <v>1322.8246913580251</v>
      </c>
      <c r="AF224" s="538">
        <f t="shared" si="375"/>
        <v>2.1166825946720815E-3</v>
      </c>
      <c r="AH224" s="177">
        <f t="shared" si="376"/>
        <v>0.28949874578229834</v>
      </c>
      <c r="AI224" s="177">
        <f t="shared" si="377"/>
        <v>0.28949874578229834</v>
      </c>
      <c r="AJ224" s="177">
        <f t="shared" si="378"/>
        <v>1.303332404283184</v>
      </c>
      <c r="AL224" s="555">
        <f t="shared" si="379"/>
        <v>8</v>
      </c>
      <c r="AM224" s="469">
        <f t="shared" si="380"/>
        <v>350</v>
      </c>
      <c r="AO224">
        <f t="shared" si="381"/>
        <v>8</v>
      </c>
      <c r="AP224">
        <f t="shared" si="382"/>
        <v>350</v>
      </c>
      <c r="AR224" s="5">
        <f t="shared" si="343"/>
        <v>2.8571428571428572</v>
      </c>
      <c r="AS224" s="5">
        <f t="shared" si="335"/>
        <v>0.31017722762389111</v>
      </c>
      <c r="AT224" s="5">
        <f t="shared" si="336"/>
        <v>2.546965629518966</v>
      </c>
      <c r="AU224" s="177">
        <f t="shared" si="337"/>
        <v>0.10856202966836188</v>
      </c>
      <c r="CI224" s="571">
        <f t="shared" si="383"/>
        <v>-50</v>
      </c>
    </row>
    <row r="225" spans="5:87" x14ac:dyDescent="0.25">
      <c r="E225" s="174">
        <v>9</v>
      </c>
      <c r="F225" s="221">
        <f t="shared" si="384"/>
        <v>8.9999999999999993E-3</v>
      </c>
      <c r="G225" s="221">
        <f t="shared" si="353"/>
        <v>4.4999999999999998E-2</v>
      </c>
      <c r="H225" s="221">
        <f t="shared" si="354"/>
        <v>0.13499999999999998</v>
      </c>
      <c r="I225" s="221">
        <f t="shared" si="355"/>
        <v>0.36</v>
      </c>
      <c r="J225" s="551">
        <f t="shared" si="356"/>
        <v>28</v>
      </c>
      <c r="K225" s="451">
        <f t="shared" si="357"/>
        <v>695386.58000000007</v>
      </c>
      <c r="L225" s="451">
        <f t="shared" si="358"/>
        <v>695414.58000000007</v>
      </c>
      <c r="M225" s="451"/>
      <c r="N225" s="221">
        <f t="shared" si="359"/>
        <v>0.99995973624826795</v>
      </c>
      <c r="O225" s="176">
        <f t="shared" si="360"/>
        <v>2.577168956603491</v>
      </c>
      <c r="P225" s="176">
        <f t="shared" si="361"/>
        <v>6.8724505509426423</v>
      </c>
      <c r="Q225" s="221">
        <f t="shared" si="362"/>
        <v>0.17181126377356606</v>
      </c>
      <c r="R225" s="221">
        <f t="shared" si="363"/>
        <v>0.32214611957543637</v>
      </c>
      <c r="S225" s="221">
        <f t="shared" si="364"/>
        <v>15</v>
      </c>
      <c r="T225" s="221">
        <f t="shared" si="365"/>
        <v>3.9287296139652275E-2</v>
      </c>
      <c r="U225" s="221">
        <f t="shared" si="366"/>
        <v>4.209353157819886E-2</v>
      </c>
      <c r="V225" s="221">
        <f t="shared" si="367"/>
        <v>1.6949117484976028E-6</v>
      </c>
      <c r="W225" s="201">
        <f t="shared" si="368"/>
        <v>350</v>
      </c>
      <c r="X225" s="451">
        <f t="shared" si="369"/>
        <v>350</v>
      </c>
      <c r="Z225" s="221">
        <f t="shared" si="370"/>
        <v>2.6665592966620477</v>
      </c>
      <c r="AA225" s="177">
        <f t="shared" si="371"/>
        <v>1.1503929066313219E-4</v>
      </c>
      <c r="AB225" s="177">
        <f t="shared" si="372"/>
        <v>0.66892235755096752</v>
      </c>
      <c r="AC225" s="177"/>
      <c r="AD225" s="177">
        <f t="shared" si="373"/>
        <v>6.4712206554230591E-6</v>
      </c>
      <c r="AE225" s="555">
        <f t="shared" si="374"/>
        <v>1488.1777777777779</v>
      </c>
      <c r="AF225" s="538">
        <f t="shared" si="375"/>
        <v>2.1166825946720815E-3</v>
      </c>
      <c r="AH225" s="177">
        <f t="shared" si="376"/>
        <v>0.30705978943149537</v>
      </c>
      <c r="AI225" s="177">
        <f t="shared" si="377"/>
        <v>0.30705978943149537</v>
      </c>
      <c r="AJ225" s="177">
        <f t="shared" si="378"/>
        <v>1.3163405847640706</v>
      </c>
      <c r="AL225" s="555">
        <f t="shared" si="379"/>
        <v>9</v>
      </c>
      <c r="AM225" s="469">
        <f t="shared" si="380"/>
        <v>350</v>
      </c>
      <c r="AO225">
        <f t="shared" si="381"/>
        <v>9</v>
      </c>
      <c r="AP225">
        <f t="shared" si="382"/>
        <v>350</v>
      </c>
      <c r="AR225" s="5">
        <f t="shared" si="343"/>
        <v>2.8571428571428572</v>
      </c>
      <c r="AS225" s="5">
        <f t="shared" si="335"/>
        <v>0.32899263153374503</v>
      </c>
      <c r="AT225" s="5">
        <f t="shared" si="336"/>
        <v>2.528150225609112</v>
      </c>
      <c r="AU225" s="177">
        <f t="shared" si="337"/>
        <v>0.11514742103681076</v>
      </c>
      <c r="CI225" s="571">
        <f t="shared" si="383"/>
        <v>-50</v>
      </c>
    </row>
    <row r="226" spans="5:87" x14ac:dyDescent="0.25">
      <c r="E226" s="174">
        <v>10</v>
      </c>
      <c r="F226" s="221">
        <f t="shared" si="384"/>
        <v>1.0000000000000002E-2</v>
      </c>
      <c r="G226" s="221">
        <f t="shared" si="353"/>
        <v>0.05</v>
      </c>
      <c r="H226" s="221">
        <f t="shared" si="354"/>
        <v>0.15000000000000002</v>
      </c>
      <c r="I226" s="221">
        <f t="shared" si="355"/>
        <v>0.4</v>
      </c>
      <c r="J226" s="551">
        <f t="shared" si="356"/>
        <v>28</v>
      </c>
      <c r="K226" s="451">
        <f t="shared" si="357"/>
        <v>695386.58000000007</v>
      </c>
      <c r="L226" s="451">
        <f t="shared" si="358"/>
        <v>695414.58000000007</v>
      </c>
      <c r="M226" s="451"/>
      <c r="N226" s="221">
        <f t="shared" si="359"/>
        <v>0.99995973624826795</v>
      </c>
      <c r="O226" s="176">
        <f t="shared" si="360"/>
        <v>2.577168956603491</v>
      </c>
      <c r="P226" s="176">
        <f t="shared" si="361"/>
        <v>6.8724505509426423</v>
      </c>
      <c r="Q226" s="221">
        <f t="shared" si="362"/>
        <v>0.17181126377356606</v>
      </c>
      <c r="R226" s="221">
        <f t="shared" si="363"/>
        <v>0.32214611957543637</v>
      </c>
      <c r="S226" s="221">
        <f t="shared" si="364"/>
        <v>15</v>
      </c>
      <c r="T226" s="221">
        <f t="shared" si="365"/>
        <v>4.3652551266280315E-2</v>
      </c>
      <c r="U226" s="221">
        <f t="shared" si="366"/>
        <v>4.6770590642443204E-2</v>
      </c>
      <c r="V226" s="221">
        <f t="shared" si="367"/>
        <v>1.8832352761084478E-6</v>
      </c>
      <c r="W226" s="201">
        <f t="shared" si="368"/>
        <v>350</v>
      </c>
      <c r="X226" s="451">
        <f t="shared" si="369"/>
        <v>350</v>
      </c>
      <c r="Z226" s="221">
        <f t="shared" si="370"/>
        <v>2.6665592966620477</v>
      </c>
      <c r="AA226" s="177">
        <f t="shared" si="371"/>
        <v>1.1503929066313219E-4</v>
      </c>
      <c r="AB226" s="177">
        <f t="shared" si="372"/>
        <v>0.66892235755096752</v>
      </c>
      <c r="AC226" s="177"/>
      <c r="AD226" s="177">
        <f t="shared" si="373"/>
        <v>6.4712206554230591E-6</v>
      </c>
      <c r="AE226" s="555">
        <f t="shared" si="374"/>
        <v>1653.5308641975316</v>
      </c>
      <c r="AF226" s="538">
        <f t="shared" si="375"/>
        <v>2.1166825946720815E-3</v>
      </c>
      <c r="AH226" s="177">
        <f t="shared" si="376"/>
        <v>0.32366943748507482</v>
      </c>
      <c r="AI226" s="177">
        <f t="shared" si="377"/>
        <v>0.32366943748507482</v>
      </c>
      <c r="AJ226" s="177">
        <f t="shared" si="378"/>
        <v>1.328644027766722</v>
      </c>
      <c r="AL226" s="555">
        <f t="shared" si="379"/>
        <v>10.000000000000002</v>
      </c>
      <c r="AM226" s="469">
        <f t="shared" si="380"/>
        <v>350</v>
      </c>
      <c r="AO226">
        <f t="shared" si="381"/>
        <v>10.000000000000002</v>
      </c>
      <c r="AP226">
        <f t="shared" si="382"/>
        <v>350</v>
      </c>
      <c r="AR226" s="5">
        <f t="shared" si="343"/>
        <v>2.8571428571428572</v>
      </c>
      <c r="AS226" s="5">
        <f t="shared" si="335"/>
        <v>0.34678868301972304</v>
      </c>
      <c r="AT226" s="5">
        <f t="shared" si="336"/>
        <v>2.5103541741231341</v>
      </c>
      <c r="AU226" s="177">
        <f t="shared" si="337"/>
        <v>0.12137603905690306</v>
      </c>
      <c r="CI226" s="571">
        <f t="shared" si="383"/>
        <v>-50</v>
      </c>
    </row>
    <row r="227" spans="5:87" x14ac:dyDescent="0.25">
      <c r="E227" s="174">
        <v>11</v>
      </c>
      <c r="F227" s="221">
        <f t="shared" si="384"/>
        <v>1.1000000000000001E-2</v>
      </c>
      <c r="G227" s="221">
        <f t="shared" si="353"/>
        <v>5.5E-2</v>
      </c>
      <c r="H227" s="221">
        <f t="shared" si="354"/>
        <v>0.16500000000000001</v>
      </c>
      <c r="I227" s="221">
        <f t="shared" si="355"/>
        <v>0.44</v>
      </c>
      <c r="J227" s="551">
        <f t="shared" si="356"/>
        <v>28</v>
      </c>
      <c r="K227" s="451">
        <f t="shared" si="357"/>
        <v>695386.58000000007</v>
      </c>
      <c r="L227" s="451">
        <f t="shared" si="358"/>
        <v>695414.58000000007</v>
      </c>
      <c r="M227" s="451"/>
      <c r="N227" s="221">
        <f t="shared" si="359"/>
        <v>0.99995973624826795</v>
      </c>
      <c r="O227" s="176">
        <f t="shared" si="360"/>
        <v>2.577168956603491</v>
      </c>
      <c r="P227" s="176">
        <f t="shared" si="361"/>
        <v>6.8724505509426423</v>
      </c>
      <c r="Q227" s="221">
        <f t="shared" si="362"/>
        <v>0.17181126377356606</v>
      </c>
      <c r="R227" s="221">
        <f t="shared" si="363"/>
        <v>0.32214611957543637</v>
      </c>
      <c r="S227" s="221">
        <f t="shared" si="364"/>
        <v>15</v>
      </c>
      <c r="T227" s="221">
        <f t="shared" si="365"/>
        <v>4.8017806392908341E-2</v>
      </c>
      <c r="U227" s="221">
        <f t="shared" si="366"/>
        <v>5.1447649706687512E-2</v>
      </c>
      <c r="V227" s="221">
        <f t="shared" si="367"/>
        <v>2.0715588037192927E-6</v>
      </c>
      <c r="W227" s="201">
        <f t="shared" si="368"/>
        <v>350</v>
      </c>
      <c r="X227" s="451">
        <f t="shared" si="369"/>
        <v>350</v>
      </c>
      <c r="Z227" s="221">
        <f t="shared" si="370"/>
        <v>2.6665592966620477</v>
      </c>
      <c r="AA227" s="177">
        <f t="shared" si="371"/>
        <v>1.1503929066313219E-4</v>
      </c>
      <c r="AB227" s="177">
        <f t="shared" si="372"/>
        <v>0.66892235755096752</v>
      </c>
      <c r="AC227" s="177"/>
      <c r="AD227" s="177">
        <f t="shared" si="373"/>
        <v>6.4712206554230591E-6</v>
      </c>
      <c r="AE227" s="555">
        <f t="shared" si="374"/>
        <v>1818.8839506172844</v>
      </c>
      <c r="AF227" s="538">
        <f t="shared" si="375"/>
        <v>2.1166825946720815E-3</v>
      </c>
      <c r="AH227" s="177">
        <f t="shared" si="376"/>
        <v>0.3394673699166022</v>
      </c>
      <c r="AI227" s="177">
        <f t="shared" si="377"/>
        <v>0.3394673699166022</v>
      </c>
      <c r="AJ227" s="177">
        <f t="shared" si="378"/>
        <v>1.3403461999382238</v>
      </c>
      <c r="AL227" s="555">
        <f t="shared" si="379"/>
        <v>11.000000000000002</v>
      </c>
      <c r="AM227" s="469">
        <f t="shared" si="380"/>
        <v>350</v>
      </c>
      <c r="AO227">
        <f t="shared" si="381"/>
        <v>11.000000000000002</v>
      </c>
      <c r="AP227">
        <f t="shared" si="382"/>
        <v>350</v>
      </c>
      <c r="AR227" s="5">
        <f t="shared" si="343"/>
        <v>2.8571428571428572</v>
      </c>
      <c r="AS227" s="5">
        <f t="shared" si="335"/>
        <v>0.3637150391963595</v>
      </c>
      <c r="AT227" s="5">
        <f t="shared" si="336"/>
        <v>2.4934278179464977</v>
      </c>
      <c r="AU227" s="177">
        <f t="shared" si="337"/>
        <v>0.12730026371872583</v>
      </c>
      <c r="CI227" s="571">
        <f t="shared" si="383"/>
        <v>-50</v>
      </c>
    </row>
    <row r="228" spans="5:87" x14ac:dyDescent="0.25">
      <c r="E228" s="174">
        <v>12</v>
      </c>
      <c r="F228" s="221">
        <f t="shared" si="384"/>
        <v>1.2E-2</v>
      </c>
      <c r="G228" s="221">
        <f t="shared" si="353"/>
        <v>0.06</v>
      </c>
      <c r="H228" s="221">
        <f t="shared" si="354"/>
        <v>0.18</v>
      </c>
      <c r="I228" s="221">
        <f t="shared" si="355"/>
        <v>0.48</v>
      </c>
      <c r="J228" s="551">
        <f t="shared" si="356"/>
        <v>28</v>
      </c>
      <c r="K228" s="451">
        <f t="shared" si="357"/>
        <v>695386.58000000007</v>
      </c>
      <c r="L228" s="451">
        <f t="shared" si="358"/>
        <v>695414.58000000007</v>
      </c>
      <c r="M228" s="451"/>
      <c r="N228" s="221">
        <f t="shared" si="359"/>
        <v>0.99995973624826795</v>
      </c>
      <c r="O228" s="176">
        <f t="shared" si="360"/>
        <v>2.577168956603491</v>
      </c>
      <c r="P228" s="176">
        <f t="shared" si="361"/>
        <v>6.8724505509426423</v>
      </c>
      <c r="Q228" s="221">
        <f t="shared" si="362"/>
        <v>0.17181126377356606</v>
      </c>
      <c r="R228" s="221">
        <f t="shared" si="363"/>
        <v>0.32214611957543637</v>
      </c>
      <c r="S228" s="221">
        <f t="shared" si="364"/>
        <v>15</v>
      </c>
      <c r="T228" s="221">
        <f t="shared" si="365"/>
        <v>5.2383061519536367E-2</v>
      </c>
      <c r="U228" s="221">
        <f t="shared" si="366"/>
        <v>5.6124708770931821E-2</v>
      </c>
      <c r="V228" s="221">
        <f t="shared" si="367"/>
        <v>2.2598823313301371E-6</v>
      </c>
      <c r="W228" s="201">
        <f t="shared" si="368"/>
        <v>350</v>
      </c>
      <c r="X228" s="451">
        <f t="shared" si="369"/>
        <v>350</v>
      </c>
      <c r="Z228" s="221">
        <f t="shared" si="370"/>
        <v>2.6665592966620477</v>
      </c>
      <c r="AA228" s="177">
        <f t="shared" si="371"/>
        <v>1.1503929066313219E-4</v>
      </c>
      <c r="AB228" s="177">
        <f t="shared" si="372"/>
        <v>0.66892235755096752</v>
      </c>
      <c r="AC228" s="177"/>
      <c r="AD228" s="177">
        <f t="shared" si="373"/>
        <v>6.4712206554230591E-6</v>
      </c>
      <c r="AE228" s="555">
        <f t="shared" si="374"/>
        <v>1984.2370370370379</v>
      </c>
      <c r="AF228" s="538">
        <f t="shared" si="375"/>
        <v>2.1166825946720815E-3</v>
      </c>
      <c r="AH228" s="177">
        <f t="shared" si="376"/>
        <v>0.35456210417116729</v>
      </c>
      <c r="AI228" s="177">
        <f t="shared" si="377"/>
        <v>0.35456210417116729</v>
      </c>
      <c r="AJ228" s="177">
        <f t="shared" si="378"/>
        <v>1.3515274845712351</v>
      </c>
      <c r="AL228" s="555">
        <f t="shared" si="379"/>
        <v>12</v>
      </c>
      <c r="AM228" s="469">
        <f t="shared" si="380"/>
        <v>350</v>
      </c>
      <c r="AO228">
        <f t="shared" si="381"/>
        <v>12</v>
      </c>
      <c r="AP228">
        <f t="shared" si="382"/>
        <v>350</v>
      </c>
      <c r="AR228" s="5">
        <f t="shared" si="343"/>
        <v>2.8571428571428572</v>
      </c>
      <c r="AS228" s="5">
        <f t="shared" si="335"/>
        <v>0.37988796875482206</v>
      </c>
      <c r="AT228" s="5">
        <f t="shared" si="336"/>
        <v>2.477254888388035</v>
      </c>
      <c r="AU228" s="177">
        <f t="shared" si="337"/>
        <v>0.13296078906418771</v>
      </c>
      <c r="CI228" s="571">
        <f t="shared" si="383"/>
        <v>-50</v>
      </c>
    </row>
    <row r="229" spans="5:87" x14ac:dyDescent="0.25">
      <c r="E229" s="174">
        <v>13</v>
      </c>
      <c r="F229" s="221">
        <f t="shared" si="384"/>
        <v>1.3000000000000001E-2</v>
      </c>
      <c r="G229" s="221">
        <f t="shared" si="353"/>
        <v>6.5000000000000002E-2</v>
      </c>
      <c r="H229" s="221">
        <f t="shared" si="354"/>
        <v>0.19500000000000001</v>
      </c>
      <c r="I229" s="221">
        <f t="shared" si="355"/>
        <v>0.52</v>
      </c>
      <c r="J229" s="551">
        <f t="shared" si="356"/>
        <v>28</v>
      </c>
      <c r="K229" s="451">
        <f t="shared" si="357"/>
        <v>695386.58000000007</v>
      </c>
      <c r="L229" s="451">
        <f t="shared" si="358"/>
        <v>695414.58000000007</v>
      </c>
      <c r="M229" s="451"/>
      <c r="N229" s="221">
        <f t="shared" si="359"/>
        <v>0.99995973624826795</v>
      </c>
      <c r="O229" s="176">
        <f t="shared" si="360"/>
        <v>2.577168956603491</v>
      </c>
      <c r="P229" s="176">
        <f t="shared" si="361"/>
        <v>6.8724505509426423</v>
      </c>
      <c r="Q229" s="221">
        <f t="shared" si="362"/>
        <v>0.17181126377356606</v>
      </c>
      <c r="R229" s="221">
        <f t="shared" si="363"/>
        <v>0.32214611957543637</v>
      </c>
      <c r="S229" s="221">
        <f t="shared" si="364"/>
        <v>15</v>
      </c>
      <c r="T229" s="221">
        <f t="shared" si="365"/>
        <v>5.6748316646164407E-2</v>
      </c>
      <c r="U229" s="221">
        <f t="shared" si="366"/>
        <v>6.0801767835176157E-2</v>
      </c>
      <c r="V229" s="221">
        <f t="shared" si="367"/>
        <v>2.4482058589409824E-6</v>
      </c>
      <c r="W229" s="201">
        <f t="shared" si="368"/>
        <v>350</v>
      </c>
      <c r="X229" s="451">
        <f t="shared" si="369"/>
        <v>350</v>
      </c>
      <c r="Z229" s="221">
        <f t="shared" si="370"/>
        <v>2.6665592966620477</v>
      </c>
      <c r="AA229" s="177">
        <f t="shared" si="371"/>
        <v>1.1503929066313219E-4</v>
      </c>
      <c r="AB229" s="177">
        <f t="shared" si="372"/>
        <v>0.66892235755096752</v>
      </c>
      <c r="AC229" s="177"/>
      <c r="AD229" s="177">
        <f t="shared" si="373"/>
        <v>6.4712206554230591E-6</v>
      </c>
      <c r="AE229" s="555">
        <f t="shared" si="374"/>
        <v>2149.5901234567909</v>
      </c>
      <c r="AF229" s="538">
        <f t="shared" si="375"/>
        <v>2.1166825946720815E-3</v>
      </c>
      <c r="AH229" s="177">
        <f t="shared" si="376"/>
        <v>0.36903993847614408</v>
      </c>
      <c r="AI229" s="177">
        <f t="shared" si="377"/>
        <v>0.36903993847614408</v>
      </c>
      <c r="AJ229" s="177">
        <f t="shared" si="378"/>
        <v>1.3622518062786253</v>
      </c>
      <c r="AL229" s="555">
        <f t="shared" si="379"/>
        <v>13.000000000000002</v>
      </c>
      <c r="AM229" s="469">
        <f t="shared" si="380"/>
        <v>350</v>
      </c>
      <c r="AO229">
        <f t="shared" si="381"/>
        <v>13.000000000000002</v>
      </c>
      <c r="AP229">
        <f t="shared" si="382"/>
        <v>350</v>
      </c>
      <c r="AR229" s="5">
        <f t="shared" si="343"/>
        <v>2.8571428571428572</v>
      </c>
      <c r="AS229" s="5">
        <f t="shared" si="335"/>
        <v>0.39539993408158297</v>
      </c>
      <c r="AT229" s="5">
        <f t="shared" si="336"/>
        <v>2.4617429230612742</v>
      </c>
      <c r="AU229" s="177">
        <f t="shared" si="337"/>
        <v>0.13838997692855404</v>
      </c>
      <c r="CI229" s="571">
        <f t="shared" si="383"/>
        <v>-50</v>
      </c>
    </row>
    <row r="230" spans="5:87" x14ac:dyDescent="0.25">
      <c r="E230" s="174">
        <v>14</v>
      </c>
      <c r="F230" s="221">
        <f t="shared" si="384"/>
        <v>1.4000000000000002E-2</v>
      </c>
      <c r="G230" s="221">
        <f t="shared" si="353"/>
        <v>7.0000000000000007E-2</v>
      </c>
      <c r="H230" s="221">
        <f t="shared" si="354"/>
        <v>0.21000000000000002</v>
      </c>
      <c r="I230" s="221">
        <f t="shared" si="355"/>
        <v>0.56000000000000005</v>
      </c>
      <c r="J230" s="551">
        <f t="shared" si="356"/>
        <v>28</v>
      </c>
      <c r="K230" s="451">
        <f t="shared" si="357"/>
        <v>695386.58000000007</v>
      </c>
      <c r="L230" s="451">
        <f t="shared" si="358"/>
        <v>695414.58000000007</v>
      </c>
      <c r="M230" s="451"/>
      <c r="N230" s="221">
        <f t="shared" si="359"/>
        <v>0.99995973624826795</v>
      </c>
      <c r="O230" s="176">
        <f t="shared" si="360"/>
        <v>2.577168956603491</v>
      </c>
      <c r="P230" s="176">
        <f t="shared" si="361"/>
        <v>6.8724505509426423</v>
      </c>
      <c r="Q230" s="221">
        <f t="shared" si="362"/>
        <v>0.17181126377356606</v>
      </c>
      <c r="R230" s="221">
        <f t="shared" si="363"/>
        <v>0.32214611957543637</v>
      </c>
      <c r="S230" s="221">
        <f t="shared" si="364"/>
        <v>15</v>
      </c>
      <c r="T230" s="221">
        <f t="shared" si="365"/>
        <v>6.1113571772792433E-2</v>
      </c>
      <c r="U230" s="221">
        <f t="shared" si="366"/>
        <v>6.5478826899420473E-2</v>
      </c>
      <c r="V230" s="221">
        <f t="shared" si="367"/>
        <v>2.6365293865518269E-6</v>
      </c>
      <c r="W230" s="201">
        <f t="shared" si="368"/>
        <v>350</v>
      </c>
      <c r="X230" s="451">
        <f t="shared" si="369"/>
        <v>350</v>
      </c>
      <c r="Z230" s="221">
        <f t="shared" si="370"/>
        <v>2.6665592966620477</v>
      </c>
      <c r="AA230" s="177">
        <f t="shared" si="371"/>
        <v>1.1503929066313219E-4</v>
      </c>
      <c r="AB230" s="177">
        <f t="shared" si="372"/>
        <v>0.66892235755096752</v>
      </c>
      <c r="AC230" s="177"/>
      <c r="AD230" s="177">
        <f t="shared" si="373"/>
        <v>6.4712206554230591E-6</v>
      </c>
      <c r="AE230" s="555">
        <f t="shared" si="374"/>
        <v>2314.9432098765442</v>
      </c>
      <c r="AF230" s="538">
        <f t="shared" si="375"/>
        <v>2.1166825946720815E-3</v>
      </c>
      <c r="AH230" s="177">
        <f t="shared" si="376"/>
        <v>0.38297084310253526</v>
      </c>
      <c r="AI230" s="177">
        <f t="shared" si="377"/>
        <v>0.38297084310253526</v>
      </c>
      <c r="AJ230" s="177">
        <f t="shared" si="378"/>
        <v>1.3725709948907667</v>
      </c>
      <c r="AL230" s="555">
        <f t="shared" si="379"/>
        <v>14.000000000000002</v>
      </c>
      <c r="AM230" s="469">
        <f t="shared" si="380"/>
        <v>350</v>
      </c>
      <c r="AO230">
        <f t="shared" si="381"/>
        <v>14.000000000000002</v>
      </c>
      <c r="AP230">
        <f t="shared" si="382"/>
        <v>350</v>
      </c>
      <c r="AR230" s="5">
        <f t="shared" si="343"/>
        <v>2.8571428571428572</v>
      </c>
      <c r="AS230" s="5">
        <f t="shared" si="335"/>
        <v>0.41032590332414492</v>
      </c>
      <c r="AT230" s="5">
        <f t="shared" si="336"/>
        <v>2.4468169538187121</v>
      </c>
      <c r="AU230" s="177">
        <f t="shared" si="337"/>
        <v>0.14361406616345071</v>
      </c>
      <c r="CI230" s="571">
        <f t="shared" si="383"/>
        <v>-50</v>
      </c>
    </row>
    <row r="231" spans="5:87" x14ac:dyDescent="0.25">
      <c r="E231" s="174">
        <v>15</v>
      </c>
      <c r="F231" s="221">
        <f t="shared" si="384"/>
        <v>1.4999999999999999E-2</v>
      </c>
      <c r="G231" s="221">
        <f t="shared" si="353"/>
        <v>7.4999999999999997E-2</v>
      </c>
      <c r="H231" s="221">
        <f t="shared" si="354"/>
        <v>0.22499999999999998</v>
      </c>
      <c r="I231" s="221">
        <f t="shared" si="355"/>
        <v>0.6</v>
      </c>
      <c r="J231" s="551">
        <f t="shared" si="356"/>
        <v>28</v>
      </c>
      <c r="K231" s="451">
        <f t="shared" si="357"/>
        <v>695386.58000000007</v>
      </c>
      <c r="L231" s="451">
        <f t="shared" si="358"/>
        <v>695414.58000000007</v>
      </c>
      <c r="M231" s="451"/>
      <c r="N231" s="221">
        <f t="shared" si="359"/>
        <v>0.99995973624826795</v>
      </c>
      <c r="O231" s="176">
        <f t="shared" si="360"/>
        <v>2.577168956603491</v>
      </c>
      <c r="P231" s="176">
        <f t="shared" si="361"/>
        <v>6.8724505509426423</v>
      </c>
      <c r="Q231" s="221">
        <f t="shared" si="362"/>
        <v>0.17181126377356606</v>
      </c>
      <c r="R231" s="221">
        <f t="shared" si="363"/>
        <v>0.32214611957543637</v>
      </c>
      <c r="S231" s="221">
        <f t="shared" si="364"/>
        <v>15</v>
      </c>
      <c r="T231" s="221">
        <f t="shared" si="365"/>
        <v>6.5478826899420459E-2</v>
      </c>
      <c r="U231" s="221">
        <f t="shared" si="366"/>
        <v>7.0155885963664788E-2</v>
      </c>
      <c r="V231" s="221">
        <f t="shared" si="367"/>
        <v>2.8248529141626713E-6</v>
      </c>
      <c r="W231" s="201">
        <f t="shared" si="368"/>
        <v>350</v>
      </c>
      <c r="X231" s="451">
        <f t="shared" si="369"/>
        <v>350</v>
      </c>
      <c r="Z231" s="221">
        <f t="shared" si="370"/>
        <v>2.6665592966620477</v>
      </c>
      <c r="AA231" s="177">
        <f t="shared" si="371"/>
        <v>1.1503929066313219E-4</v>
      </c>
      <c r="AB231" s="177">
        <f t="shared" si="372"/>
        <v>0.66892235755096752</v>
      </c>
      <c r="AC231" s="177"/>
      <c r="AD231" s="177">
        <f t="shared" si="373"/>
        <v>6.4712206554230591E-6</v>
      </c>
      <c r="AE231" s="555">
        <f t="shared" si="374"/>
        <v>2480.296296296297</v>
      </c>
      <c r="AF231" s="538">
        <f t="shared" si="375"/>
        <v>2.1166825946720815E-3</v>
      </c>
      <c r="AH231" s="177">
        <f t="shared" si="376"/>
        <v>0.39641248358604592</v>
      </c>
      <c r="AI231" s="177">
        <f t="shared" si="377"/>
        <v>0.39641248358604592</v>
      </c>
      <c r="AJ231" s="177">
        <f t="shared" si="378"/>
        <v>1.3825277656192934</v>
      </c>
      <c r="AL231" s="555">
        <f t="shared" si="379"/>
        <v>15</v>
      </c>
      <c r="AM231" s="469">
        <f t="shared" si="380"/>
        <v>350</v>
      </c>
      <c r="AO231">
        <f t="shared" si="381"/>
        <v>15</v>
      </c>
      <c r="AP231">
        <f t="shared" si="382"/>
        <v>350</v>
      </c>
      <c r="AR231" s="5">
        <f t="shared" si="343"/>
        <v>2.8571428571428572</v>
      </c>
      <c r="AS231" s="5">
        <f t="shared" si="335"/>
        <v>0.42472766098504916</v>
      </c>
      <c r="AT231" s="5">
        <f t="shared" si="336"/>
        <v>2.432415196157808</v>
      </c>
      <c r="AU231" s="177">
        <f t="shared" si="337"/>
        <v>0.1486546813447672</v>
      </c>
      <c r="CI231" s="571">
        <f t="shared" si="383"/>
        <v>-50</v>
      </c>
    </row>
    <row r="232" spans="5:87" x14ac:dyDescent="0.25">
      <c r="E232" s="174">
        <v>16</v>
      </c>
      <c r="F232" s="221">
        <f t="shared" si="384"/>
        <v>1.6E-2</v>
      </c>
      <c r="G232" s="221">
        <f t="shared" si="353"/>
        <v>0.08</v>
      </c>
      <c r="H232" s="221">
        <f t="shared" si="354"/>
        <v>0.24</v>
      </c>
      <c r="I232" s="221">
        <f t="shared" si="355"/>
        <v>0.64</v>
      </c>
      <c r="J232" s="551">
        <f t="shared" si="356"/>
        <v>28</v>
      </c>
      <c r="K232" s="451">
        <f t="shared" si="357"/>
        <v>695386.58000000007</v>
      </c>
      <c r="L232" s="451">
        <f t="shared" si="358"/>
        <v>695414.58000000007</v>
      </c>
      <c r="M232" s="451"/>
      <c r="N232" s="221">
        <f t="shared" si="359"/>
        <v>0.99995973624826795</v>
      </c>
      <c r="O232" s="176">
        <f t="shared" si="360"/>
        <v>2.577168956603491</v>
      </c>
      <c r="P232" s="176">
        <f t="shared" si="361"/>
        <v>6.8724505509426423</v>
      </c>
      <c r="Q232" s="221">
        <f t="shared" si="362"/>
        <v>0.17181126377356606</v>
      </c>
      <c r="R232" s="221">
        <f t="shared" si="363"/>
        <v>0.32214611957543637</v>
      </c>
      <c r="S232" s="221">
        <f t="shared" si="364"/>
        <v>15</v>
      </c>
      <c r="T232" s="221">
        <f t="shared" si="365"/>
        <v>6.9844082026048498E-2</v>
      </c>
      <c r="U232" s="221">
        <f t="shared" si="366"/>
        <v>7.4832945027909104E-2</v>
      </c>
      <c r="V232" s="221">
        <f t="shared" si="367"/>
        <v>3.0131764417735166E-6</v>
      </c>
      <c r="W232" s="201">
        <f t="shared" si="368"/>
        <v>350</v>
      </c>
      <c r="X232" s="451">
        <f t="shared" si="369"/>
        <v>350</v>
      </c>
      <c r="Z232" s="221">
        <f t="shared" si="370"/>
        <v>2.6665592966620477</v>
      </c>
      <c r="AA232" s="177">
        <f t="shared" si="371"/>
        <v>1.1503929066313219E-4</v>
      </c>
      <c r="AB232" s="177">
        <f t="shared" si="372"/>
        <v>0.66892235755096752</v>
      </c>
      <c r="AC232" s="177"/>
      <c r="AD232" s="177">
        <f t="shared" si="373"/>
        <v>6.4712206554230591E-6</v>
      </c>
      <c r="AE232" s="555">
        <f t="shared" si="374"/>
        <v>2645.6493827160502</v>
      </c>
      <c r="AF232" s="538">
        <f t="shared" si="375"/>
        <v>2.1166825946720815E-3</v>
      </c>
      <c r="AH232" s="177">
        <f t="shared" si="376"/>
        <v>0.40941305257532717</v>
      </c>
      <c r="AI232" s="177">
        <f t="shared" si="377"/>
        <v>0.40941305257532717</v>
      </c>
      <c r="AJ232" s="177">
        <f t="shared" si="378"/>
        <v>1.3921578167224646</v>
      </c>
      <c r="AL232" s="555">
        <f t="shared" si="379"/>
        <v>16</v>
      </c>
      <c r="AM232" s="469">
        <f t="shared" si="380"/>
        <v>350</v>
      </c>
      <c r="AO232">
        <f t="shared" si="381"/>
        <v>16</v>
      </c>
      <c r="AP232">
        <f t="shared" si="382"/>
        <v>350</v>
      </c>
      <c r="AR232" s="5">
        <f t="shared" si="343"/>
        <v>2.8571428571428572</v>
      </c>
      <c r="AS232" s="5">
        <f t="shared" si="335"/>
        <v>0.43865684204499344</v>
      </c>
      <c r="AT232" s="5">
        <f t="shared" si="336"/>
        <v>2.418486015097864</v>
      </c>
      <c r="AU232" s="177">
        <f t="shared" si="337"/>
        <v>0.15352989471574771</v>
      </c>
      <c r="CI232" s="571">
        <f t="shared" si="383"/>
        <v>-50</v>
      </c>
    </row>
    <row r="233" spans="5:87" x14ac:dyDescent="0.25">
      <c r="E233" s="174">
        <v>17</v>
      </c>
      <c r="F233" s="221">
        <f t="shared" si="384"/>
        <v>1.7000000000000001E-2</v>
      </c>
      <c r="G233" s="221">
        <f t="shared" si="353"/>
        <v>8.5000000000000006E-2</v>
      </c>
      <c r="H233" s="221">
        <f t="shared" si="354"/>
        <v>0.255</v>
      </c>
      <c r="I233" s="221">
        <f t="shared" si="355"/>
        <v>0.68</v>
      </c>
      <c r="J233" s="551">
        <f t="shared" si="356"/>
        <v>28</v>
      </c>
      <c r="K233" s="451">
        <f t="shared" si="357"/>
        <v>695386.58000000007</v>
      </c>
      <c r="L233" s="451">
        <f t="shared" si="358"/>
        <v>695414.58000000007</v>
      </c>
      <c r="M233" s="451"/>
      <c r="N233" s="221">
        <f t="shared" si="359"/>
        <v>0.99995973624826795</v>
      </c>
      <c r="O233" s="176">
        <f t="shared" si="360"/>
        <v>2.577168956603491</v>
      </c>
      <c r="P233" s="176">
        <f t="shared" si="361"/>
        <v>6.8724505509426423</v>
      </c>
      <c r="Q233" s="221">
        <f t="shared" si="362"/>
        <v>0.17181126377356606</v>
      </c>
      <c r="R233" s="221">
        <f t="shared" si="363"/>
        <v>0.32214611957543637</v>
      </c>
      <c r="S233" s="221">
        <f t="shared" si="364"/>
        <v>15</v>
      </c>
      <c r="T233" s="221">
        <f t="shared" si="365"/>
        <v>7.4209337152676524E-2</v>
      </c>
      <c r="U233" s="221">
        <f t="shared" si="366"/>
        <v>7.9510004092153419E-2</v>
      </c>
      <c r="V233" s="221">
        <f t="shared" si="367"/>
        <v>3.2014999693843611E-6</v>
      </c>
      <c r="W233" s="201">
        <f t="shared" si="368"/>
        <v>350</v>
      </c>
      <c r="X233" s="451">
        <f t="shared" si="369"/>
        <v>350</v>
      </c>
      <c r="Z233" s="221">
        <f t="shared" si="370"/>
        <v>2.6665592966620477</v>
      </c>
      <c r="AA233" s="177">
        <f t="shared" si="371"/>
        <v>1.1503929066313219E-4</v>
      </c>
      <c r="AB233" s="177">
        <f t="shared" si="372"/>
        <v>0.66892235755096752</v>
      </c>
      <c r="AC233" s="177"/>
      <c r="AD233" s="177">
        <f t="shared" si="373"/>
        <v>6.4712206554230591E-6</v>
      </c>
      <c r="AE233" s="555">
        <f t="shared" si="374"/>
        <v>2811.0024691358035</v>
      </c>
      <c r="AF233" s="538">
        <f t="shared" si="375"/>
        <v>2.1166825946720815E-3</v>
      </c>
      <c r="AH233" s="177">
        <f t="shared" si="376"/>
        <v>0.42201331506865764</v>
      </c>
      <c r="AI233" s="177">
        <f t="shared" si="377"/>
        <v>0.42201331506865764</v>
      </c>
      <c r="AJ233" s="177">
        <f t="shared" si="378"/>
        <v>1.4014913444953019</v>
      </c>
      <c r="AL233" s="555">
        <f t="shared" si="379"/>
        <v>17</v>
      </c>
      <c r="AM233" s="469">
        <f t="shared" si="380"/>
        <v>350</v>
      </c>
      <c r="AO233">
        <f t="shared" si="381"/>
        <v>17</v>
      </c>
      <c r="AP233">
        <f t="shared" si="382"/>
        <v>350</v>
      </c>
      <c r="AR233" s="5">
        <f t="shared" si="343"/>
        <v>2.8571428571428572</v>
      </c>
      <c r="AS233" s="5">
        <f t="shared" si="335"/>
        <v>0.45215712328784746</v>
      </c>
      <c r="AT233" s="5">
        <f t="shared" si="336"/>
        <v>2.4049857338550096</v>
      </c>
      <c r="AU233" s="177">
        <f t="shared" si="337"/>
        <v>0.15825499315074662</v>
      </c>
      <c r="CI233" s="571">
        <f t="shared" si="383"/>
        <v>-50</v>
      </c>
    </row>
    <row r="234" spans="5:87" x14ac:dyDescent="0.25">
      <c r="E234" s="174">
        <v>18</v>
      </c>
      <c r="F234" s="221">
        <f t="shared" si="384"/>
        <v>1.7999999999999999E-2</v>
      </c>
      <c r="G234" s="221">
        <f t="shared" si="353"/>
        <v>0.09</v>
      </c>
      <c r="H234" s="221">
        <f t="shared" si="354"/>
        <v>0.26999999999999996</v>
      </c>
      <c r="I234" s="221">
        <f t="shared" si="355"/>
        <v>0.72</v>
      </c>
      <c r="J234" s="551">
        <f t="shared" si="356"/>
        <v>28</v>
      </c>
      <c r="K234" s="451">
        <f t="shared" si="357"/>
        <v>695386.58000000007</v>
      </c>
      <c r="L234" s="451">
        <f t="shared" si="358"/>
        <v>695414.58000000007</v>
      </c>
      <c r="M234" s="451"/>
      <c r="N234" s="221">
        <f t="shared" si="359"/>
        <v>0.99995973624826795</v>
      </c>
      <c r="O234" s="176">
        <f t="shared" si="360"/>
        <v>2.577168956603491</v>
      </c>
      <c r="P234" s="176">
        <f t="shared" si="361"/>
        <v>6.8724505509426423</v>
      </c>
      <c r="Q234" s="221">
        <f t="shared" si="362"/>
        <v>0.17181126377356606</v>
      </c>
      <c r="R234" s="221">
        <f t="shared" si="363"/>
        <v>0.32214611957543637</v>
      </c>
      <c r="S234" s="221">
        <f t="shared" si="364"/>
        <v>15</v>
      </c>
      <c r="T234" s="221">
        <f t="shared" si="365"/>
        <v>7.857459227930455E-2</v>
      </c>
      <c r="U234" s="221">
        <f t="shared" si="366"/>
        <v>8.4187063156397721E-2</v>
      </c>
      <c r="V234" s="221">
        <f t="shared" si="367"/>
        <v>3.3898234969952055E-6</v>
      </c>
      <c r="W234" s="201">
        <f t="shared" si="368"/>
        <v>350</v>
      </c>
      <c r="X234" s="451">
        <f t="shared" si="369"/>
        <v>350</v>
      </c>
      <c r="Z234" s="221">
        <f t="shared" si="370"/>
        <v>2.6665592966620477</v>
      </c>
      <c r="AA234" s="177">
        <f t="shared" si="371"/>
        <v>1.1503929066313219E-4</v>
      </c>
      <c r="AB234" s="177">
        <f t="shared" si="372"/>
        <v>0.66892235755096752</v>
      </c>
      <c r="AC234" s="177"/>
      <c r="AD234" s="177">
        <f t="shared" si="373"/>
        <v>6.4712206554230591E-6</v>
      </c>
      <c r="AE234" s="555">
        <f t="shared" si="374"/>
        <v>2976.3555555555558</v>
      </c>
      <c r="AF234" s="538">
        <f t="shared" si="375"/>
        <v>2.1166825946720815E-3</v>
      </c>
      <c r="AH234" s="177">
        <f t="shared" si="376"/>
        <v>0.43424811867344754</v>
      </c>
      <c r="AI234" s="177">
        <f t="shared" si="377"/>
        <v>0.43424811867344754</v>
      </c>
      <c r="AJ234" s="177">
        <f t="shared" si="378"/>
        <v>1.4105541619803315</v>
      </c>
      <c r="AL234" s="555">
        <f t="shared" si="379"/>
        <v>18</v>
      </c>
      <c r="AM234" s="469">
        <f t="shared" si="380"/>
        <v>350</v>
      </c>
      <c r="AO234">
        <f t="shared" si="381"/>
        <v>18</v>
      </c>
      <c r="AP234">
        <f t="shared" si="382"/>
        <v>350</v>
      </c>
      <c r="AR234" s="5">
        <f t="shared" si="343"/>
        <v>2.8571428571428572</v>
      </c>
      <c r="AS234" s="5">
        <f t="shared" si="335"/>
        <v>0.46526584143583666</v>
      </c>
      <c r="AT234" s="5">
        <f t="shared" si="336"/>
        <v>2.3918770157070206</v>
      </c>
      <c r="AU234" s="177">
        <f t="shared" si="337"/>
        <v>0.16284304450254283</v>
      </c>
      <c r="CI234" s="571">
        <f t="shared" si="383"/>
        <v>-50</v>
      </c>
    </row>
    <row r="235" spans="5:87" x14ac:dyDescent="0.25">
      <c r="E235" s="174">
        <v>19</v>
      </c>
      <c r="F235" s="221">
        <f t="shared" si="384"/>
        <v>1.9000000000000003E-2</v>
      </c>
      <c r="G235" s="221">
        <f t="shared" si="353"/>
        <v>9.5000000000000001E-2</v>
      </c>
      <c r="H235" s="221">
        <f t="shared" si="354"/>
        <v>0.28500000000000003</v>
      </c>
      <c r="I235" s="221">
        <f t="shared" si="355"/>
        <v>0.76</v>
      </c>
      <c r="J235" s="551">
        <f t="shared" si="356"/>
        <v>28</v>
      </c>
      <c r="K235" s="451">
        <f t="shared" si="357"/>
        <v>695386.58000000007</v>
      </c>
      <c r="L235" s="451">
        <f t="shared" si="358"/>
        <v>695414.58000000007</v>
      </c>
      <c r="M235" s="451"/>
      <c r="N235" s="221">
        <f t="shared" si="359"/>
        <v>0.99995973624826795</v>
      </c>
      <c r="O235" s="176">
        <f t="shared" si="360"/>
        <v>2.577168956603491</v>
      </c>
      <c r="P235" s="176">
        <f t="shared" si="361"/>
        <v>6.8724505509426423</v>
      </c>
      <c r="Q235" s="221">
        <f t="shared" si="362"/>
        <v>0.17181126377356606</v>
      </c>
      <c r="R235" s="221">
        <f t="shared" si="363"/>
        <v>0.32214611957543637</v>
      </c>
      <c r="S235" s="221">
        <f t="shared" si="364"/>
        <v>15</v>
      </c>
      <c r="T235" s="221">
        <f t="shared" si="365"/>
        <v>8.2939847405932576E-2</v>
      </c>
      <c r="U235" s="221">
        <f t="shared" si="366"/>
        <v>8.8864122220642036E-2</v>
      </c>
      <c r="V235" s="221">
        <f t="shared" si="367"/>
        <v>3.57814702460605E-6</v>
      </c>
      <c r="W235" s="201">
        <f t="shared" si="368"/>
        <v>350</v>
      </c>
      <c r="X235" s="451">
        <f t="shared" si="369"/>
        <v>350</v>
      </c>
      <c r="Z235" s="221">
        <f t="shared" si="370"/>
        <v>2.6665592966620477</v>
      </c>
      <c r="AA235" s="177">
        <f t="shared" si="371"/>
        <v>1.1503929066313219E-4</v>
      </c>
      <c r="AB235" s="177">
        <f t="shared" si="372"/>
        <v>0.66892235755096752</v>
      </c>
      <c r="AC235" s="177"/>
      <c r="AD235" s="177">
        <f t="shared" si="373"/>
        <v>6.4712206554230591E-6</v>
      </c>
      <c r="AE235" s="555">
        <f t="shared" si="374"/>
        <v>3141.7086419753105</v>
      </c>
      <c r="AF235" s="538">
        <f t="shared" si="375"/>
        <v>2.1166825946720815E-3</v>
      </c>
      <c r="AH235" s="177">
        <f t="shared" si="376"/>
        <v>0.44614753058558893</v>
      </c>
      <c r="AI235" s="177">
        <f t="shared" si="377"/>
        <v>0.44614753058558893</v>
      </c>
      <c r="AJ235" s="177">
        <f t="shared" si="378"/>
        <v>1.4193685411745103</v>
      </c>
      <c r="AL235" s="555">
        <f t="shared" si="379"/>
        <v>19.000000000000004</v>
      </c>
      <c r="AM235" s="469">
        <f t="shared" si="380"/>
        <v>350</v>
      </c>
      <c r="AO235">
        <f t="shared" si="381"/>
        <v>19.000000000000004</v>
      </c>
      <c r="AP235">
        <f t="shared" si="382"/>
        <v>350</v>
      </c>
      <c r="AR235" s="5">
        <f t="shared" si="343"/>
        <v>2.8571428571428572</v>
      </c>
      <c r="AS235" s="5">
        <f t="shared" si="335"/>
        <v>0.47801521134170244</v>
      </c>
      <c r="AT235" s="5">
        <f t="shared" si="336"/>
        <v>2.3791276458011548</v>
      </c>
      <c r="AU235" s="177">
        <f t="shared" si="337"/>
        <v>0.16730532396959585</v>
      </c>
      <c r="CI235" s="571">
        <f t="shared" si="383"/>
        <v>-50</v>
      </c>
    </row>
    <row r="236" spans="5:87" x14ac:dyDescent="0.25">
      <c r="E236" s="174">
        <v>20</v>
      </c>
      <c r="F236" s="221">
        <f t="shared" si="384"/>
        <v>2.0000000000000004E-2</v>
      </c>
      <c r="G236" s="221">
        <f t="shared" si="353"/>
        <v>0.1</v>
      </c>
      <c r="H236" s="221">
        <f t="shared" si="354"/>
        <v>0.30000000000000004</v>
      </c>
      <c r="I236" s="221">
        <f t="shared" si="355"/>
        <v>0.8</v>
      </c>
      <c r="J236" s="551">
        <f t="shared" si="356"/>
        <v>28</v>
      </c>
      <c r="K236" s="451">
        <f t="shared" si="357"/>
        <v>695386.58000000007</v>
      </c>
      <c r="L236" s="451">
        <f t="shared" si="358"/>
        <v>695414.58000000007</v>
      </c>
      <c r="M236" s="451"/>
      <c r="N236" s="221">
        <f t="shared" si="359"/>
        <v>0.99995973624826795</v>
      </c>
      <c r="O236" s="176">
        <f t="shared" si="360"/>
        <v>2.577168956603491</v>
      </c>
      <c r="P236" s="176">
        <f t="shared" si="361"/>
        <v>6.8724505509426423</v>
      </c>
      <c r="Q236" s="221">
        <f t="shared" si="362"/>
        <v>0.17181126377356606</v>
      </c>
      <c r="R236" s="221">
        <f t="shared" si="363"/>
        <v>0.32214611957543637</v>
      </c>
      <c r="S236" s="221">
        <f t="shared" si="364"/>
        <v>15</v>
      </c>
      <c r="T236" s="221">
        <f t="shared" si="365"/>
        <v>8.730510253256063E-2</v>
      </c>
      <c r="U236" s="221">
        <f t="shared" si="366"/>
        <v>9.3541181284886407E-2</v>
      </c>
      <c r="V236" s="221">
        <f t="shared" si="367"/>
        <v>3.7664705522168957E-6</v>
      </c>
      <c r="W236" s="201">
        <f t="shared" si="368"/>
        <v>350</v>
      </c>
      <c r="X236" s="451">
        <f t="shared" si="369"/>
        <v>350</v>
      </c>
      <c r="Z236" s="221">
        <f t="shared" si="370"/>
        <v>2.6665592966620477</v>
      </c>
      <c r="AA236" s="177">
        <f t="shared" si="371"/>
        <v>1.1503929066313219E-4</v>
      </c>
      <c r="AB236" s="177">
        <f t="shared" si="372"/>
        <v>0.66892235755096752</v>
      </c>
      <c r="AC236" s="177"/>
      <c r="AD236" s="177">
        <f t="shared" si="373"/>
        <v>6.4712206554230591E-6</v>
      </c>
      <c r="AE236" s="555">
        <f t="shared" si="374"/>
        <v>3307.0617283950633</v>
      </c>
      <c r="AF236" s="538">
        <f t="shared" si="375"/>
        <v>2.1166825946720815E-3</v>
      </c>
      <c r="AH236" s="177">
        <f t="shared" si="376"/>
        <v>0.45773770821706344</v>
      </c>
      <c r="AI236" s="177">
        <f t="shared" si="377"/>
        <v>0.45773770821706344</v>
      </c>
      <c r="AJ236" s="177">
        <f t="shared" si="378"/>
        <v>1.4279538579385656</v>
      </c>
      <c r="AL236" s="555">
        <f t="shared" si="379"/>
        <v>20.000000000000004</v>
      </c>
      <c r="AM236" s="469">
        <f t="shared" si="380"/>
        <v>350</v>
      </c>
      <c r="AO236">
        <f t="shared" si="381"/>
        <v>20.000000000000004</v>
      </c>
      <c r="AP236">
        <f t="shared" si="382"/>
        <v>350</v>
      </c>
      <c r="AR236" s="5">
        <f t="shared" si="343"/>
        <v>2.8571428571428572</v>
      </c>
      <c r="AS236" s="5">
        <f t="shared" si="335"/>
        <v>0.49043325880399652</v>
      </c>
      <c r="AT236" s="5">
        <f t="shared" si="336"/>
        <v>2.3667095983388609</v>
      </c>
      <c r="AU236" s="177">
        <f t="shared" si="337"/>
        <v>0.17165164058139878</v>
      </c>
      <c r="CI236" s="571">
        <f t="shared" si="383"/>
        <v>-50</v>
      </c>
    </row>
    <row r="237" spans="5:87" x14ac:dyDescent="0.25">
      <c r="E237" s="174">
        <v>21</v>
      </c>
      <c r="F237" s="221">
        <f t="shared" si="384"/>
        <v>2.1000000000000001E-2</v>
      </c>
      <c r="G237" s="221">
        <f t="shared" si="353"/>
        <v>0.105</v>
      </c>
      <c r="H237" s="221">
        <f t="shared" si="354"/>
        <v>0.315</v>
      </c>
      <c r="I237" s="221">
        <f t="shared" si="355"/>
        <v>0.84</v>
      </c>
      <c r="J237" s="551">
        <f t="shared" si="356"/>
        <v>28</v>
      </c>
      <c r="K237" s="451">
        <f t="shared" si="357"/>
        <v>695386.58000000007</v>
      </c>
      <c r="L237" s="451">
        <f t="shared" si="358"/>
        <v>695414.58000000007</v>
      </c>
      <c r="M237" s="451"/>
      <c r="N237" s="221">
        <f t="shared" si="359"/>
        <v>0.99995973624826795</v>
      </c>
      <c r="O237" s="176">
        <f t="shared" si="360"/>
        <v>2.577168956603491</v>
      </c>
      <c r="P237" s="176">
        <f t="shared" si="361"/>
        <v>6.8724505509426423</v>
      </c>
      <c r="Q237" s="221">
        <f t="shared" si="362"/>
        <v>0.17181126377356606</v>
      </c>
      <c r="R237" s="221">
        <f t="shared" si="363"/>
        <v>0.32214611957543637</v>
      </c>
      <c r="S237" s="221">
        <f t="shared" si="364"/>
        <v>15</v>
      </c>
      <c r="T237" s="221">
        <f t="shared" si="365"/>
        <v>9.1670357659188656E-2</v>
      </c>
      <c r="U237" s="221">
        <f t="shared" si="366"/>
        <v>9.8218240349130709E-2</v>
      </c>
      <c r="V237" s="221">
        <f t="shared" si="367"/>
        <v>3.954794079827741E-6</v>
      </c>
      <c r="W237" s="201">
        <f t="shared" si="368"/>
        <v>350</v>
      </c>
      <c r="X237" s="451">
        <f t="shared" si="369"/>
        <v>350</v>
      </c>
      <c r="Z237" s="221">
        <f t="shared" si="370"/>
        <v>2.6665592966620477</v>
      </c>
      <c r="AA237" s="177">
        <f t="shared" si="371"/>
        <v>1.1503929066313219E-4</v>
      </c>
      <c r="AB237" s="177">
        <f t="shared" si="372"/>
        <v>0.66892235755096752</v>
      </c>
      <c r="AC237" s="177"/>
      <c r="AD237" s="177">
        <f t="shared" si="373"/>
        <v>6.4712206554230591E-6</v>
      </c>
      <c r="AE237" s="555">
        <f t="shared" si="374"/>
        <v>3472.4148148148156</v>
      </c>
      <c r="AF237" s="538">
        <f t="shared" si="375"/>
        <v>2.1166825946720815E-3</v>
      </c>
      <c r="AH237" s="177">
        <f t="shared" si="376"/>
        <v>0.46904157598234297</v>
      </c>
      <c r="AI237" s="177">
        <f t="shared" si="377"/>
        <v>0.46904157598234297</v>
      </c>
      <c r="AJ237" s="177">
        <f t="shared" si="378"/>
        <v>1.4363270933202541</v>
      </c>
      <c r="AL237" s="555">
        <f t="shared" si="379"/>
        <v>21</v>
      </c>
      <c r="AM237" s="469">
        <f t="shared" si="380"/>
        <v>350</v>
      </c>
      <c r="AO237">
        <f t="shared" si="381"/>
        <v>21</v>
      </c>
      <c r="AP237">
        <f t="shared" si="382"/>
        <v>350</v>
      </c>
      <c r="AR237" s="5">
        <f t="shared" si="343"/>
        <v>2.8571428571428572</v>
      </c>
      <c r="AS237" s="5">
        <f t="shared" si="335"/>
        <v>0.50254454569536755</v>
      </c>
      <c r="AT237" s="5">
        <f t="shared" si="336"/>
        <v>2.3545983114474898</v>
      </c>
      <c r="AU237" s="177">
        <f t="shared" si="337"/>
        <v>0.17589059099337864</v>
      </c>
      <c r="CI237" s="571">
        <f t="shared" si="383"/>
        <v>-50</v>
      </c>
    </row>
    <row r="238" spans="5:87" x14ac:dyDescent="0.25">
      <c r="E238" s="174">
        <v>22</v>
      </c>
      <c r="F238" s="221">
        <f t="shared" si="384"/>
        <v>2.2000000000000002E-2</v>
      </c>
      <c r="G238" s="221">
        <f t="shared" si="353"/>
        <v>0.11</v>
      </c>
      <c r="H238" s="221">
        <f t="shared" si="354"/>
        <v>0.33</v>
      </c>
      <c r="I238" s="221">
        <f t="shared" si="355"/>
        <v>0.88</v>
      </c>
      <c r="J238" s="551">
        <f t="shared" si="356"/>
        <v>28</v>
      </c>
      <c r="K238" s="451">
        <f t="shared" si="357"/>
        <v>695386.58000000007</v>
      </c>
      <c r="L238" s="451">
        <f t="shared" si="358"/>
        <v>695414.58000000007</v>
      </c>
      <c r="M238" s="451"/>
      <c r="N238" s="221">
        <f t="shared" si="359"/>
        <v>0.99995973624826795</v>
      </c>
      <c r="O238" s="176">
        <f t="shared" si="360"/>
        <v>2.577168956603491</v>
      </c>
      <c r="P238" s="176">
        <f t="shared" si="361"/>
        <v>6.8724505509426423</v>
      </c>
      <c r="Q238" s="221">
        <f t="shared" si="362"/>
        <v>0.17181126377356606</v>
      </c>
      <c r="R238" s="221">
        <f t="shared" si="363"/>
        <v>0.32214611957543637</v>
      </c>
      <c r="S238" s="221">
        <f t="shared" si="364"/>
        <v>15</v>
      </c>
      <c r="T238" s="221">
        <f t="shared" si="365"/>
        <v>9.6035612785816682E-2</v>
      </c>
      <c r="U238" s="221">
        <f t="shared" si="366"/>
        <v>0.10289529941337502</v>
      </c>
      <c r="V238" s="221">
        <f t="shared" si="367"/>
        <v>4.1431176074385854E-6</v>
      </c>
      <c r="W238" s="201">
        <f t="shared" si="368"/>
        <v>350</v>
      </c>
      <c r="X238" s="451">
        <f t="shared" si="369"/>
        <v>350</v>
      </c>
      <c r="Z238" s="221">
        <f t="shared" si="370"/>
        <v>2.6665592966620477</v>
      </c>
      <c r="AA238" s="177">
        <f t="shared" si="371"/>
        <v>1.1503929066313219E-4</v>
      </c>
      <c r="AB238" s="177">
        <f t="shared" si="372"/>
        <v>0.66892235755096752</v>
      </c>
      <c r="AC238" s="177"/>
      <c r="AD238" s="177">
        <f t="shared" si="373"/>
        <v>6.4712206554230591E-6</v>
      </c>
      <c r="AE238" s="555">
        <f t="shared" si="374"/>
        <v>3637.7679012345689</v>
      </c>
      <c r="AF238" s="538">
        <f t="shared" si="375"/>
        <v>2.1166825946720815E-3</v>
      </c>
      <c r="AH238" s="177">
        <f t="shared" si="376"/>
        <v>0.48007935851918326</v>
      </c>
      <c r="AI238" s="177">
        <f t="shared" si="377"/>
        <v>0.48007935851918326</v>
      </c>
      <c r="AJ238" s="177">
        <f t="shared" si="378"/>
        <v>1.4445032285327284</v>
      </c>
      <c r="AL238" s="555">
        <f t="shared" si="379"/>
        <v>22.000000000000004</v>
      </c>
      <c r="AM238" s="469">
        <f t="shared" si="380"/>
        <v>350</v>
      </c>
      <c r="AO238">
        <f t="shared" si="381"/>
        <v>22.000000000000004</v>
      </c>
      <c r="AP238">
        <f t="shared" si="382"/>
        <v>350</v>
      </c>
      <c r="AR238" s="5">
        <f t="shared" si="343"/>
        <v>2.8571428571428572</v>
      </c>
      <c r="AS238" s="5">
        <f t="shared" si="335"/>
        <v>0.51437074127055349</v>
      </c>
      <c r="AT238" s="5">
        <f t="shared" si="336"/>
        <v>2.3427721158723038</v>
      </c>
      <c r="AU238" s="177">
        <f t="shared" si="337"/>
        <v>0.18002975944469371</v>
      </c>
      <c r="CI238" s="571">
        <f t="shared" si="383"/>
        <v>-50</v>
      </c>
    </row>
    <row r="239" spans="5:87" x14ac:dyDescent="0.25">
      <c r="E239" s="174">
        <v>23</v>
      </c>
      <c r="F239" s="221">
        <f t="shared" si="384"/>
        <v>2.3000000000000003E-2</v>
      </c>
      <c r="G239" s="221">
        <f t="shared" si="353"/>
        <v>0.115</v>
      </c>
      <c r="H239" s="221">
        <f t="shared" si="354"/>
        <v>0.34500000000000003</v>
      </c>
      <c r="I239" s="221">
        <f t="shared" si="355"/>
        <v>0.92</v>
      </c>
      <c r="J239" s="551">
        <f t="shared" si="356"/>
        <v>28</v>
      </c>
      <c r="K239" s="451">
        <f t="shared" si="357"/>
        <v>695386.58000000007</v>
      </c>
      <c r="L239" s="451">
        <f t="shared" si="358"/>
        <v>695414.58000000007</v>
      </c>
      <c r="M239" s="451"/>
      <c r="N239" s="221">
        <f t="shared" si="359"/>
        <v>0.99995973624826795</v>
      </c>
      <c r="O239" s="176">
        <f t="shared" si="360"/>
        <v>2.577168956603491</v>
      </c>
      <c r="P239" s="176">
        <f t="shared" si="361"/>
        <v>6.8724505509426423</v>
      </c>
      <c r="Q239" s="221">
        <f t="shared" si="362"/>
        <v>0.17181126377356606</v>
      </c>
      <c r="R239" s="221">
        <f t="shared" si="363"/>
        <v>0.32214611957543637</v>
      </c>
      <c r="S239" s="221">
        <f t="shared" si="364"/>
        <v>15</v>
      </c>
      <c r="T239" s="221">
        <f t="shared" si="365"/>
        <v>0.10040086791244472</v>
      </c>
      <c r="U239" s="221">
        <f t="shared" si="366"/>
        <v>0.10757235847761935</v>
      </c>
      <c r="V239" s="221">
        <f t="shared" si="367"/>
        <v>4.3314411350494307E-6</v>
      </c>
      <c r="W239" s="201">
        <f t="shared" si="368"/>
        <v>350</v>
      </c>
      <c r="X239" s="451">
        <f t="shared" si="369"/>
        <v>350</v>
      </c>
      <c r="Z239" s="221">
        <f t="shared" si="370"/>
        <v>2.6665592966620477</v>
      </c>
      <c r="AA239" s="177">
        <f t="shared" si="371"/>
        <v>1.1503929066313219E-4</v>
      </c>
      <c r="AB239" s="177">
        <f t="shared" si="372"/>
        <v>0.66892235755096752</v>
      </c>
      <c r="AC239" s="177"/>
      <c r="AD239" s="177">
        <f t="shared" si="373"/>
        <v>6.4712206554230591E-6</v>
      </c>
      <c r="AE239" s="555">
        <f t="shared" si="374"/>
        <v>3803.1209876543221</v>
      </c>
      <c r="AF239" s="538">
        <f t="shared" si="375"/>
        <v>2.1166825946720815E-3</v>
      </c>
      <c r="AH239" s="177">
        <f t="shared" si="376"/>
        <v>0.49086900589911048</v>
      </c>
      <c r="AI239" s="177">
        <f t="shared" si="377"/>
        <v>0.49086900589911048</v>
      </c>
      <c r="AJ239" s="177">
        <f t="shared" si="378"/>
        <v>1.4524955599252669</v>
      </c>
      <c r="AL239" s="555">
        <f t="shared" si="379"/>
        <v>23.000000000000004</v>
      </c>
      <c r="AM239" s="469">
        <f t="shared" si="380"/>
        <v>350</v>
      </c>
      <c r="AO239">
        <f t="shared" si="381"/>
        <v>23.000000000000004</v>
      </c>
      <c r="AP239">
        <f t="shared" si="382"/>
        <v>350</v>
      </c>
      <c r="AR239" s="5">
        <f t="shared" si="343"/>
        <v>2.8571428571428572</v>
      </c>
      <c r="AS239" s="5">
        <f t="shared" si="335"/>
        <v>0.52593107774904702</v>
      </c>
      <c r="AT239" s="5">
        <f t="shared" si="336"/>
        <v>2.3312117793938101</v>
      </c>
      <c r="AU239" s="177">
        <f t="shared" si="337"/>
        <v>0.18407587721216645</v>
      </c>
      <c r="CI239" s="571">
        <f t="shared" si="383"/>
        <v>-50</v>
      </c>
    </row>
    <row r="240" spans="5:87" x14ac:dyDescent="0.25">
      <c r="E240" s="174">
        <v>24</v>
      </c>
      <c r="F240" s="221">
        <f t="shared" si="384"/>
        <v>2.4E-2</v>
      </c>
      <c r="G240" s="221">
        <f t="shared" si="353"/>
        <v>0.12</v>
      </c>
      <c r="H240" s="221">
        <f t="shared" si="354"/>
        <v>0.36</v>
      </c>
      <c r="I240" s="221">
        <f t="shared" si="355"/>
        <v>0.96</v>
      </c>
      <c r="J240" s="551">
        <f t="shared" si="356"/>
        <v>28</v>
      </c>
      <c r="K240" s="451">
        <f t="shared" si="357"/>
        <v>695386.58000000007</v>
      </c>
      <c r="L240" s="451">
        <f t="shared" si="358"/>
        <v>695414.58000000007</v>
      </c>
      <c r="M240" s="451"/>
      <c r="N240" s="221">
        <f t="shared" si="359"/>
        <v>0.99995973624826795</v>
      </c>
      <c r="O240" s="176">
        <f t="shared" si="360"/>
        <v>2.577168956603491</v>
      </c>
      <c r="P240" s="176">
        <f t="shared" si="361"/>
        <v>6.8724505509426423</v>
      </c>
      <c r="Q240" s="221">
        <f t="shared" si="362"/>
        <v>0.17181126377356606</v>
      </c>
      <c r="R240" s="221">
        <f t="shared" si="363"/>
        <v>0.32214611957543637</v>
      </c>
      <c r="S240" s="221">
        <f t="shared" si="364"/>
        <v>15</v>
      </c>
      <c r="T240" s="221">
        <f t="shared" si="365"/>
        <v>0.10476612303907273</v>
      </c>
      <c r="U240" s="221">
        <f t="shared" si="366"/>
        <v>0.11224941754186364</v>
      </c>
      <c r="V240" s="221">
        <f t="shared" si="367"/>
        <v>4.5197646626602743E-6</v>
      </c>
      <c r="W240" s="201">
        <f t="shared" si="368"/>
        <v>350</v>
      </c>
      <c r="X240" s="451">
        <f t="shared" si="369"/>
        <v>350</v>
      </c>
      <c r="Z240" s="221">
        <f t="shared" si="370"/>
        <v>2.6665592966620477</v>
      </c>
      <c r="AA240" s="177">
        <f t="shared" si="371"/>
        <v>1.1503929066313219E-4</v>
      </c>
      <c r="AB240" s="177">
        <f t="shared" si="372"/>
        <v>0.66892235755096752</v>
      </c>
      <c r="AC240" s="177"/>
      <c r="AD240" s="177">
        <f t="shared" si="373"/>
        <v>6.4712206554230591E-6</v>
      </c>
      <c r="AE240" s="555">
        <f t="shared" si="374"/>
        <v>3968.4740740740758</v>
      </c>
      <c r="AF240" s="538">
        <f t="shared" si="375"/>
        <v>2.1166825946720815E-3</v>
      </c>
      <c r="AH240" s="177">
        <f t="shared" si="376"/>
        <v>0.50142653642240698</v>
      </c>
      <c r="AI240" s="177">
        <f t="shared" si="377"/>
        <v>0.50142653642240698</v>
      </c>
      <c r="AJ240" s="177">
        <f t="shared" si="378"/>
        <v>1.4603159529054865</v>
      </c>
      <c r="AL240" s="555">
        <f t="shared" si="379"/>
        <v>24</v>
      </c>
      <c r="AM240" s="469">
        <f t="shared" si="380"/>
        <v>350</v>
      </c>
      <c r="AO240">
        <f t="shared" si="381"/>
        <v>24</v>
      </c>
      <c r="AP240">
        <f t="shared" si="382"/>
        <v>350</v>
      </c>
      <c r="AR240" s="5">
        <f t="shared" si="343"/>
        <v>2.8571428571428572</v>
      </c>
      <c r="AS240" s="5">
        <f t="shared" si="335"/>
        <v>0.53724271759543607</v>
      </c>
      <c r="AT240" s="5">
        <f t="shared" si="336"/>
        <v>2.3199001395474212</v>
      </c>
      <c r="AU240" s="177">
        <f t="shared" si="337"/>
        <v>0.18803495115840263</v>
      </c>
      <c r="CI240" s="571">
        <f t="shared" si="383"/>
        <v>-50</v>
      </c>
    </row>
    <row r="241" spans="5:87" x14ac:dyDescent="0.25">
      <c r="E241" s="174">
        <v>25</v>
      </c>
      <c r="F241" s="221">
        <f t="shared" si="384"/>
        <v>2.5000000000000001E-2</v>
      </c>
      <c r="G241" s="221">
        <f t="shared" si="353"/>
        <v>0.125</v>
      </c>
      <c r="H241" s="221">
        <f t="shared" si="354"/>
        <v>0.375</v>
      </c>
      <c r="I241" s="221">
        <f t="shared" si="355"/>
        <v>1</v>
      </c>
      <c r="J241" s="551">
        <f t="shared" si="356"/>
        <v>28</v>
      </c>
      <c r="K241" s="451">
        <f t="shared" si="357"/>
        <v>695386.58000000007</v>
      </c>
      <c r="L241" s="451">
        <f t="shared" si="358"/>
        <v>695414.58000000007</v>
      </c>
      <c r="M241" s="451"/>
      <c r="N241" s="221">
        <f t="shared" si="359"/>
        <v>0.99995973624826795</v>
      </c>
      <c r="O241" s="176">
        <f t="shared" si="360"/>
        <v>2.577168956603491</v>
      </c>
      <c r="P241" s="176">
        <f t="shared" si="361"/>
        <v>6.8724505509426423</v>
      </c>
      <c r="Q241" s="221">
        <f t="shared" si="362"/>
        <v>0.17181126377356606</v>
      </c>
      <c r="R241" s="221">
        <f t="shared" si="363"/>
        <v>0.32214611957543637</v>
      </c>
      <c r="S241" s="221">
        <f t="shared" si="364"/>
        <v>15</v>
      </c>
      <c r="T241" s="221">
        <f t="shared" si="365"/>
        <v>0.10913137816570077</v>
      </c>
      <c r="U241" s="221">
        <f t="shared" si="366"/>
        <v>0.11692647660610798</v>
      </c>
      <c r="V241" s="221">
        <f t="shared" si="367"/>
        <v>4.7080881902711196E-6</v>
      </c>
      <c r="W241" s="201">
        <f t="shared" si="368"/>
        <v>350</v>
      </c>
      <c r="X241" s="451">
        <f t="shared" si="369"/>
        <v>350</v>
      </c>
      <c r="Z241" s="221">
        <f t="shared" si="370"/>
        <v>2.6665592966620477</v>
      </c>
      <c r="AA241" s="177">
        <f t="shared" si="371"/>
        <v>1.1503929066313219E-4</v>
      </c>
      <c r="AB241" s="177">
        <f t="shared" si="372"/>
        <v>0.66892235755096752</v>
      </c>
      <c r="AC241" s="177"/>
      <c r="AD241" s="177">
        <f t="shared" si="373"/>
        <v>6.4712206554230591E-6</v>
      </c>
      <c r="AE241" s="555">
        <f t="shared" si="374"/>
        <v>4133.8271604938282</v>
      </c>
      <c r="AF241" s="538">
        <f t="shared" si="375"/>
        <v>2.1166825946720815E-3</v>
      </c>
      <c r="AH241" s="177">
        <f t="shared" si="376"/>
        <v>0.51176631571915898</v>
      </c>
      <c r="AI241" s="177">
        <f t="shared" si="377"/>
        <v>0.51176631571915898</v>
      </c>
      <c r="AJ241" s="177">
        <f t="shared" si="378"/>
        <v>1.4679750486808585</v>
      </c>
      <c r="AL241" s="555">
        <f t="shared" si="379"/>
        <v>25</v>
      </c>
      <c r="AM241" s="469">
        <f t="shared" si="380"/>
        <v>350</v>
      </c>
      <c r="AO241">
        <f t="shared" si="381"/>
        <v>25</v>
      </c>
      <c r="AP241">
        <f t="shared" si="382"/>
        <v>350</v>
      </c>
      <c r="AR241" s="5">
        <f t="shared" si="343"/>
        <v>2.8571428571428572</v>
      </c>
      <c r="AS241" s="5">
        <f t="shared" si="335"/>
        <v>0.54832105255624175</v>
      </c>
      <c r="AT241" s="5">
        <f t="shared" si="336"/>
        <v>2.3088218045866156</v>
      </c>
      <c r="AU241" s="177">
        <f t="shared" si="337"/>
        <v>0.19191236839468462</v>
      </c>
      <c r="CI241" s="571">
        <f t="shared" si="383"/>
        <v>-50</v>
      </c>
    </row>
    <row r="242" spans="5:87" x14ac:dyDescent="0.25">
      <c r="E242" s="174">
        <v>26</v>
      </c>
      <c r="F242" s="221">
        <f t="shared" si="384"/>
        <v>2.6000000000000002E-2</v>
      </c>
      <c r="G242" s="221">
        <f t="shared" si="353"/>
        <v>0.13</v>
      </c>
      <c r="H242" s="221">
        <f t="shared" si="354"/>
        <v>0.39</v>
      </c>
      <c r="I242" s="221">
        <f t="shared" si="355"/>
        <v>1.04</v>
      </c>
      <c r="J242" s="551">
        <f t="shared" si="356"/>
        <v>28</v>
      </c>
      <c r="K242" s="451">
        <f t="shared" si="357"/>
        <v>695386.58000000007</v>
      </c>
      <c r="L242" s="451">
        <f t="shared" si="358"/>
        <v>695414.58000000007</v>
      </c>
      <c r="M242" s="451"/>
      <c r="N242" s="221">
        <f t="shared" si="359"/>
        <v>0.99995973624826795</v>
      </c>
      <c r="O242" s="176">
        <f t="shared" si="360"/>
        <v>2.577168956603491</v>
      </c>
      <c r="P242" s="176">
        <f t="shared" si="361"/>
        <v>6.8724505509426423</v>
      </c>
      <c r="Q242" s="221">
        <f t="shared" si="362"/>
        <v>0.17181126377356606</v>
      </c>
      <c r="R242" s="221">
        <f t="shared" si="363"/>
        <v>0.32214611957543637</v>
      </c>
      <c r="S242" s="221">
        <f t="shared" si="364"/>
        <v>15</v>
      </c>
      <c r="T242" s="221">
        <f t="shared" si="365"/>
        <v>0.11349663329232881</v>
      </c>
      <c r="U242" s="221">
        <f t="shared" si="366"/>
        <v>0.12160353567035231</v>
      </c>
      <c r="V242" s="221">
        <f t="shared" si="367"/>
        <v>4.8964117178819649E-6</v>
      </c>
      <c r="W242" s="201">
        <f t="shared" si="368"/>
        <v>350</v>
      </c>
      <c r="X242" s="451">
        <f t="shared" si="369"/>
        <v>350</v>
      </c>
      <c r="Z242" s="221">
        <f t="shared" si="370"/>
        <v>2.6665592966620477</v>
      </c>
      <c r="AA242" s="177">
        <f t="shared" si="371"/>
        <v>1.1503929066313219E-4</v>
      </c>
      <c r="AB242" s="177">
        <f t="shared" si="372"/>
        <v>0.66892235755096752</v>
      </c>
      <c r="AC242" s="177"/>
      <c r="AD242" s="177">
        <f t="shared" si="373"/>
        <v>6.4712206554230591E-6</v>
      </c>
      <c r="AE242" s="555">
        <f t="shared" si="374"/>
        <v>4299.1802469135819</v>
      </c>
      <c r="AF242" s="538">
        <f t="shared" si="375"/>
        <v>2.1166825946720815E-3</v>
      </c>
      <c r="AH242" s="177">
        <f t="shared" si="376"/>
        <v>0.52190128605029551</v>
      </c>
      <c r="AI242" s="177">
        <f t="shared" si="377"/>
        <v>0.52190128605029551</v>
      </c>
      <c r="AJ242" s="177">
        <f t="shared" si="378"/>
        <v>1.47548243411133</v>
      </c>
      <c r="AL242" s="555">
        <f t="shared" si="379"/>
        <v>26.000000000000004</v>
      </c>
      <c r="AM242" s="469">
        <f t="shared" si="380"/>
        <v>350</v>
      </c>
      <c r="AO242">
        <f t="shared" si="381"/>
        <v>26.000000000000004</v>
      </c>
      <c r="AP242">
        <f t="shared" si="382"/>
        <v>350</v>
      </c>
      <c r="AR242" s="5">
        <f t="shared" si="343"/>
        <v>2.8571428571428572</v>
      </c>
      <c r="AS242" s="5">
        <f t="shared" si="335"/>
        <v>0.55917994933960236</v>
      </c>
      <c r="AT242" s="5">
        <f t="shared" si="336"/>
        <v>2.2979629078032549</v>
      </c>
      <c r="AU242" s="177">
        <f t="shared" si="337"/>
        <v>0.19571298226886083</v>
      </c>
      <c r="CI242" s="571">
        <f t="shared" si="383"/>
        <v>-50</v>
      </c>
    </row>
    <row r="243" spans="5:87" x14ac:dyDescent="0.25">
      <c r="E243" s="174">
        <v>27</v>
      </c>
      <c r="F243" s="221">
        <f t="shared" si="384"/>
        <v>2.7000000000000003E-2</v>
      </c>
      <c r="G243" s="221">
        <f t="shared" si="353"/>
        <v>0.13500000000000001</v>
      </c>
      <c r="H243" s="221">
        <f t="shared" si="354"/>
        <v>0.40500000000000003</v>
      </c>
      <c r="I243" s="221">
        <f t="shared" si="355"/>
        <v>1.08</v>
      </c>
      <c r="J243" s="551">
        <f t="shared" si="356"/>
        <v>28</v>
      </c>
      <c r="K243" s="451">
        <f t="shared" si="357"/>
        <v>695386.58000000007</v>
      </c>
      <c r="L243" s="451">
        <f t="shared" si="358"/>
        <v>695414.58000000007</v>
      </c>
      <c r="M243" s="451"/>
      <c r="N243" s="221">
        <f t="shared" si="359"/>
        <v>0.99995973624826795</v>
      </c>
      <c r="O243" s="176">
        <f t="shared" si="360"/>
        <v>2.577168956603491</v>
      </c>
      <c r="P243" s="176">
        <f t="shared" si="361"/>
        <v>6.8724505509426423</v>
      </c>
      <c r="Q243" s="221">
        <f t="shared" si="362"/>
        <v>0.17181126377356606</v>
      </c>
      <c r="R243" s="221">
        <f t="shared" si="363"/>
        <v>0.32214611957543637</v>
      </c>
      <c r="S243" s="221">
        <f t="shared" si="364"/>
        <v>15</v>
      </c>
      <c r="T243" s="221">
        <f t="shared" si="365"/>
        <v>0.11786188841895684</v>
      </c>
      <c r="U243" s="221">
        <f t="shared" si="366"/>
        <v>0.12628059473459663</v>
      </c>
      <c r="V243" s="221">
        <f t="shared" si="367"/>
        <v>5.0847352454928093E-6</v>
      </c>
      <c r="W243" s="201">
        <f t="shared" si="368"/>
        <v>350</v>
      </c>
      <c r="X243" s="451">
        <f t="shared" si="369"/>
        <v>350</v>
      </c>
      <c r="Z243" s="221">
        <f t="shared" si="370"/>
        <v>2.6665592966620477</v>
      </c>
      <c r="AA243" s="177">
        <f t="shared" si="371"/>
        <v>1.1503929066313219E-4</v>
      </c>
      <c r="AB243" s="177">
        <f t="shared" si="372"/>
        <v>0.66892235755096752</v>
      </c>
      <c r="AC243" s="177"/>
      <c r="AD243" s="177">
        <f t="shared" si="373"/>
        <v>6.4712206554230591E-6</v>
      </c>
      <c r="AE243" s="555">
        <f t="shared" si="374"/>
        <v>4464.5333333333347</v>
      </c>
      <c r="AF243" s="538">
        <f t="shared" si="375"/>
        <v>2.1166825946720815E-3</v>
      </c>
      <c r="AH243" s="177">
        <f t="shared" si="376"/>
        <v>0.53184315625675105</v>
      </c>
      <c r="AI243" s="177">
        <f t="shared" si="377"/>
        <v>0.53184315625675105</v>
      </c>
      <c r="AJ243" s="177">
        <f t="shared" si="378"/>
        <v>1.4828467824124081</v>
      </c>
      <c r="AL243" s="555">
        <f t="shared" si="379"/>
        <v>27.000000000000004</v>
      </c>
      <c r="AM243" s="469">
        <f t="shared" si="380"/>
        <v>350</v>
      </c>
      <c r="AO243">
        <f t="shared" si="381"/>
        <v>27.000000000000004</v>
      </c>
      <c r="AP243">
        <f t="shared" si="382"/>
        <v>350</v>
      </c>
      <c r="AR243" s="5">
        <f t="shared" si="343"/>
        <v>2.8571428571428572</v>
      </c>
      <c r="AS243" s="5">
        <f t="shared" ref="AS243:AS306" si="385">L*AI243/J243*1000000</f>
        <v>0.56983195313223334</v>
      </c>
      <c r="AT243" s="5">
        <f t="shared" ref="AT243:AT306" si="386">AR243-AS243</f>
        <v>2.2873109040106239</v>
      </c>
      <c r="AU243" s="177">
        <f t="shared" ref="AU243:AU306" si="387">AS243/AR243</f>
        <v>0.19944118359628166</v>
      </c>
      <c r="CI243" s="571">
        <f t="shared" si="383"/>
        <v>-50</v>
      </c>
    </row>
    <row r="244" spans="5:87" x14ac:dyDescent="0.25">
      <c r="E244" s="174">
        <v>28</v>
      </c>
      <c r="F244" s="221">
        <f t="shared" si="384"/>
        <v>2.8000000000000004E-2</v>
      </c>
      <c r="G244" s="221">
        <f t="shared" si="353"/>
        <v>0.14000000000000001</v>
      </c>
      <c r="H244" s="221">
        <f t="shared" si="354"/>
        <v>0.42000000000000004</v>
      </c>
      <c r="I244" s="221">
        <f t="shared" si="355"/>
        <v>1.1200000000000001</v>
      </c>
      <c r="J244" s="551">
        <f t="shared" si="356"/>
        <v>28</v>
      </c>
      <c r="K244" s="451">
        <f t="shared" si="357"/>
        <v>695386.58000000007</v>
      </c>
      <c r="L244" s="451">
        <f t="shared" si="358"/>
        <v>695414.58000000007</v>
      </c>
      <c r="M244" s="451"/>
      <c r="N244" s="221">
        <f t="shared" si="359"/>
        <v>0.99995973624826795</v>
      </c>
      <c r="O244" s="176">
        <f t="shared" si="360"/>
        <v>2.577168956603491</v>
      </c>
      <c r="P244" s="176">
        <f t="shared" si="361"/>
        <v>6.8724505509426423</v>
      </c>
      <c r="Q244" s="221">
        <f t="shared" si="362"/>
        <v>0.17181126377356606</v>
      </c>
      <c r="R244" s="221">
        <f t="shared" si="363"/>
        <v>0.32214611957543637</v>
      </c>
      <c r="S244" s="221">
        <f t="shared" si="364"/>
        <v>15</v>
      </c>
      <c r="T244" s="221">
        <f t="shared" si="365"/>
        <v>0.12222714354558487</v>
      </c>
      <c r="U244" s="221">
        <f t="shared" si="366"/>
        <v>0.13095765379884095</v>
      </c>
      <c r="V244" s="221">
        <f t="shared" si="367"/>
        <v>5.2730587731036538E-6</v>
      </c>
      <c r="W244" s="201">
        <f t="shared" si="368"/>
        <v>350</v>
      </c>
      <c r="X244" s="451">
        <f t="shared" si="369"/>
        <v>350</v>
      </c>
      <c r="Z244" s="221">
        <f t="shared" si="370"/>
        <v>2.6665592966620477</v>
      </c>
      <c r="AA244" s="177">
        <f t="shared" si="371"/>
        <v>1.1503929066313219E-4</v>
      </c>
      <c r="AB244" s="177">
        <f t="shared" si="372"/>
        <v>0.66892235755096752</v>
      </c>
      <c r="AC244" s="177"/>
      <c r="AD244" s="177">
        <f t="shared" si="373"/>
        <v>6.4712206554230591E-6</v>
      </c>
      <c r="AE244" s="555">
        <f t="shared" si="374"/>
        <v>4629.8864197530884</v>
      </c>
      <c r="AF244" s="538">
        <f t="shared" si="375"/>
        <v>2.1166825946720815E-3</v>
      </c>
      <c r="AH244" s="177">
        <f t="shared" si="376"/>
        <v>0.54160256030906406</v>
      </c>
      <c r="AI244" s="177">
        <f t="shared" si="377"/>
        <v>0.54160256030906406</v>
      </c>
      <c r="AJ244" s="177">
        <f t="shared" si="378"/>
        <v>1.4900759705993067</v>
      </c>
      <c r="AL244" s="555">
        <f t="shared" si="379"/>
        <v>28.000000000000004</v>
      </c>
      <c r="AM244" s="469">
        <f t="shared" si="380"/>
        <v>350</v>
      </c>
      <c r="AO244">
        <f t="shared" si="381"/>
        <v>28.000000000000004</v>
      </c>
      <c r="AP244">
        <f t="shared" si="382"/>
        <v>350</v>
      </c>
      <c r="AR244" s="5">
        <f t="shared" si="343"/>
        <v>2.8571428571428572</v>
      </c>
      <c r="AS244" s="5">
        <f t="shared" si="385"/>
        <v>0.58028845747399727</v>
      </c>
      <c r="AT244" s="5">
        <f t="shared" si="386"/>
        <v>2.2768543996688599</v>
      </c>
      <c r="AU244" s="177">
        <f t="shared" si="387"/>
        <v>0.20310096011589904</v>
      </c>
      <c r="CI244" s="571">
        <f t="shared" si="383"/>
        <v>-50</v>
      </c>
    </row>
    <row r="245" spans="5:87" x14ac:dyDescent="0.25">
      <c r="E245" s="174">
        <v>29</v>
      </c>
      <c r="F245" s="221">
        <f t="shared" si="384"/>
        <v>2.8999999999999998E-2</v>
      </c>
      <c r="G245" s="221">
        <f t="shared" si="353"/>
        <v>0.14499999999999999</v>
      </c>
      <c r="H245" s="221">
        <f t="shared" si="354"/>
        <v>0.43499999999999994</v>
      </c>
      <c r="I245" s="221">
        <f t="shared" si="355"/>
        <v>1.1599999999999999</v>
      </c>
      <c r="J245" s="551">
        <f t="shared" si="356"/>
        <v>28</v>
      </c>
      <c r="K245" s="451">
        <f t="shared" si="357"/>
        <v>695386.58000000007</v>
      </c>
      <c r="L245" s="451">
        <f t="shared" si="358"/>
        <v>695414.58000000007</v>
      </c>
      <c r="M245" s="451"/>
      <c r="N245" s="221">
        <f t="shared" si="359"/>
        <v>0.99995973624826795</v>
      </c>
      <c r="O245" s="176">
        <f t="shared" si="360"/>
        <v>2.577168956603491</v>
      </c>
      <c r="P245" s="176">
        <f t="shared" si="361"/>
        <v>6.8724505509426423</v>
      </c>
      <c r="Q245" s="221">
        <f t="shared" si="362"/>
        <v>0.17181126377356606</v>
      </c>
      <c r="R245" s="221">
        <f t="shared" si="363"/>
        <v>0.32214611957543637</v>
      </c>
      <c r="S245" s="221">
        <f t="shared" si="364"/>
        <v>15</v>
      </c>
      <c r="T245" s="221">
        <f t="shared" si="365"/>
        <v>0.12659239867221289</v>
      </c>
      <c r="U245" s="221">
        <f t="shared" si="366"/>
        <v>0.13563471286308526</v>
      </c>
      <c r="V245" s="221">
        <f t="shared" si="367"/>
        <v>5.4613823007144982E-6</v>
      </c>
      <c r="W245" s="201">
        <f t="shared" si="368"/>
        <v>350</v>
      </c>
      <c r="X245" s="451">
        <f t="shared" si="369"/>
        <v>350</v>
      </c>
      <c r="Z245" s="221">
        <f t="shared" si="370"/>
        <v>2.6665592966620477</v>
      </c>
      <c r="AA245" s="177">
        <f t="shared" si="371"/>
        <v>1.1503929066313219E-4</v>
      </c>
      <c r="AB245" s="177">
        <f t="shared" si="372"/>
        <v>0.66892235755096752</v>
      </c>
      <c r="AC245" s="177"/>
      <c r="AD245" s="177">
        <f t="shared" si="373"/>
        <v>6.4712206554230591E-6</v>
      </c>
      <c r="AE245" s="555">
        <f t="shared" si="374"/>
        <v>4795.2395061728412</v>
      </c>
      <c r="AF245" s="538">
        <f t="shared" si="375"/>
        <v>2.1166825946720815E-3</v>
      </c>
      <c r="AH245" s="177">
        <f t="shared" si="376"/>
        <v>0.55118919057754001</v>
      </c>
      <c r="AI245" s="177">
        <f t="shared" si="377"/>
        <v>0.55118919057754001</v>
      </c>
      <c r="AJ245" s="177">
        <f t="shared" si="378"/>
        <v>1.4971771782055852</v>
      </c>
      <c r="AL245" s="555">
        <f t="shared" si="379"/>
        <v>28.999999999999996</v>
      </c>
      <c r="AM245" s="469">
        <f t="shared" si="380"/>
        <v>350</v>
      </c>
      <c r="AO245">
        <f t="shared" si="381"/>
        <v>28.999999999999996</v>
      </c>
      <c r="AP245">
        <f t="shared" si="382"/>
        <v>350</v>
      </c>
      <c r="AR245" s="5">
        <f t="shared" si="343"/>
        <v>2.8571428571428572</v>
      </c>
      <c r="AS245" s="5">
        <f t="shared" si="385"/>
        <v>0.59055984704736431</v>
      </c>
      <c r="AT245" s="5">
        <f t="shared" si="386"/>
        <v>2.2665830100954931</v>
      </c>
      <c r="AU245" s="177">
        <f t="shared" si="387"/>
        <v>0.20669594646657749</v>
      </c>
      <c r="CI245" s="571">
        <f t="shared" si="383"/>
        <v>-50</v>
      </c>
    </row>
    <row r="246" spans="5:87" x14ac:dyDescent="0.25">
      <c r="E246" s="174">
        <v>30</v>
      </c>
      <c r="F246" s="221">
        <f t="shared" si="384"/>
        <v>0.03</v>
      </c>
      <c r="G246" s="221">
        <f t="shared" si="353"/>
        <v>0.15</v>
      </c>
      <c r="H246" s="221">
        <f t="shared" si="354"/>
        <v>0.44999999999999996</v>
      </c>
      <c r="I246" s="221">
        <f t="shared" si="355"/>
        <v>1.2</v>
      </c>
      <c r="J246" s="551">
        <f t="shared" si="356"/>
        <v>28</v>
      </c>
      <c r="K246" s="451">
        <f t="shared" si="357"/>
        <v>695386.58000000007</v>
      </c>
      <c r="L246" s="451">
        <f t="shared" si="358"/>
        <v>695414.58000000007</v>
      </c>
      <c r="M246" s="451"/>
      <c r="N246" s="221">
        <f t="shared" si="359"/>
        <v>0.99995973624826795</v>
      </c>
      <c r="O246" s="176">
        <f t="shared" si="360"/>
        <v>2.577168956603491</v>
      </c>
      <c r="P246" s="176">
        <f t="shared" si="361"/>
        <v>6.8724505509426423</v>
      </c>
      <c r="Q246" s="221">
        <f t="shared" si="362"/>
        <v>0.17181126377356606</v>
      </c>
      <c r="R246" s="221">
        <f t="shared" si="363"/>
        <v>0.32214611957543637</v>
      </c>
      <c r="S246" s="221">
        <f t="shared" si="364"/>
        <v>15</v>
      </c>
      <c r="T246" s="221">
        <f t="shared" si="365"/>
        <v>0.13095765379884092</v>
      </c>
      <c r="U246" s="221">
        <f t="shared" si="366"/>
        <v>0.14031177192732958</v>
      </c>
      <c r="V246" s="221">
        <f t="shared" si="367"/>
        <v>5.6497058283253427E-6</v>
      </c>
      <c r="W246" s="201">
        <f t="shared" si="368"/>
        <v>350</v>
      </c>
      <c r="X246" s="451">
        <f t="shared" si="369"/>
        <v>350</v>
      </c>
      <c r="Z246" s="221">
        <f t="shared" si="370"/>
        <v>2.6665592966620477</v>
      </c>
      <c r="AA246" s="177">
        <f t="shared" si="371"/>
        <v>1.1503929066313219E-4</v>
      </c>
      <c r="AB246" s="177">
        <f t="shared" si="372"/>
        <v>0.66892235755096752</v>
      </c>
      <c r="AC246" s="177"/>
      <c r="AD246" s="177">
        <f t="shared" si="373"/>
        <v>6.4712206554230591E-6</v>
      </c>
      <c r="AE246" s="555">
        <f t="shared" si="374"/>
        <v>4960.592592592594</v>
      </c>
      <c r="AF246" s="538">
        <f t="shared" si="375"/>
        <v>2.1166825946720815E-3</v>
      </c>
      <c r="AH246" s="177">
        <f t="shared" si="376"/>
        <v>0.56061191058138804</v>
      </c>
      <c r="AI246" s="177">
        <f t="shared" si="377"/>
        <v>0.56061191058138804</v>
      </c>
      <c r="AJ246" s="177">
        <f t="shared" si="378"/>
        <v>1.5041569708010281</v>
      </c>
      <c r="AL246" s="555">
        <f t="shared" si="379"/>
        <v>30</v>
      </c>
      <c r="AM246" s="469">
        <f t="shared" si="380"/>
        <v>350</v>
      </c>
      <c r="AO246">
        <f t="shared" si="381"/>
        <v>30</v>
      </c>
      <c r="AP246">
        <f t="shared" si="382"/>
        <v>350</v>
      </c>
      <c r="AR246" s="5">
        <f t="shared" si="343"/>
        <v>2.8571428571428572</v>
      </c>
      <c r="AS246" s="5">
        <f t="shared" si="385"/>
        <v>0.60065561848005855</v>
      </c>
      <c r="AT246" s="5">
        <f t="shared" si="386"/>
        <v>2.2564872386627988</v>
      </c>
      <c r="AU246" s="177">
        <f t="shared" si="387"/>
        <v>0.21022946646802049</v>
      </c>
      <c r="CI246" s="571">
        <f t="shared" si="383"/>
        <v>-50</v>
      </c>
    </row>
    <row r="247" spans="5:87" x14ac:dyDescent="0.25">
      <c r="E247" s="174">
        <v>31</v>
      </c>
      <c r="F247" s="221">
        <f t="shared" si="384"/>
        <v>3.1E-2</v>
      </c>
      <c r="G247" s="221">
        <f t="shared" si="353"/>
        <v>0.155</v>
      </c>
      <c r="H247" s="221">
        <f t="shared" si="354"/>
        <v>0.46499999999999997</v>
      </c>
      <c r="I247" s="221">
        <f t="shared" si="355"/>
        <v>1.24</v>
      </c>
      <c r="J247" s="551">
        <f t="shared" si="356"/>
        <v>28</v>
      </c>
      <c r="K247" s="451">
        <f t="shared" si="357"/>
        <v>695386.58000000007</v>
      </c>
      <c r="L247" s="451">
        <f t="shared" si="358"/>
        <v>695414.58000000007</v>
      </c>
      <c r="M247" s="451"/>
      <c r="N247" s="221">
        <f t="shared" si="359"/>
        <v>0.99995973624826795</v>
      </c>
      <c r="O247" s="176">
        <f t="shared" si="360"/>
        <v>2.577168956603491</v>
      </c>
      <c r="P247" s="176">
        <f t="shared" si="361"/>
        <v>6.8724505509426423</v>
      </c>
      <c r="Q247" s="221">
        <f t="shared" si="362"/>
        <v>0.17181126377356606</v>
      </c>
      <c r="R247" s="221">
        <f t="shared" si="363"/>
        <v>0.32214611957543637</v>
      </c>
      <c r="S247" s="221">
        <f t="shared" si="364"/>
        <v>15</v>
      </c>
      <c r="T247" s="221">
        <f t="shared" si="365"/>
        <v>0.13532290892546897</v>
      </c>
      <c r="U247" s="221">
        <f t="shared" si="366"/>
        <v>0.14498883099157389</v>
      </c>
      <c r="V247" s="221">
        <f t="shared" si="367"/>
        <v>5.8380293559361888E-6</v>
      </c>
      <c r="W247" s="201">
        <f t="shared" si="368"/>
        <v>350</v>
      </c>
      <c r="X247" s="451">
        <f t="shared" si="369"/>
        <v>350</v>
      </c>
      <c r="Z247" s="221">
        <f t="shared" si="370"/>
        <v>2.6665592966620477</v>
      </c>
      <c r="AA247" s="177">
        <f t="shared" si="371"/>
        <v>1.1503929066313219E-4</v>
      </c>
      <c r="AB247" s="177">
        <f t="shared" si="372"/>
        <v>0.66892235755096752</v>
      </c>
      <c r="AC247" s="177"/>
      <c r="AD247" s="177">
        <f t="shared" si="373"/>
        <v>6.4712206554230591E-6</v>
      </c>
      <c r="AE247" s="555">
        <f t="shared" si="374"/>
        <v>5125.9456790123468</v>
      </c>
      <c r="AF247" s="538">
        <f t="shared" si="375"/>
        <v>2.1166825946720815E-3</v>
      </c>
      <c r="AH247" s="177">
        <f t="shared" si="376"/>
        <v>0.56987885095159019</v>
      </c>
      <c r="AI247" s="177">
        <f t="shared" si="377"/>
        <v>0.56987885095159019</v>
      </c>
      <c r="AJ247" s="177">
        <f t="shared" si="378"/>
        <v>1.5110213710752518</v>
      </c>
      <c r="AL247" s="555">
        <f t="shared" si="379"/>
        <v>31</v>
      </c>
      <c r="AM247" s="469">
        <f t="shared" si="380"/>
        <v>350</v>
      </c>
      <c r="AO247">
        <f t="shared" si="381"/>
        <v>31</v>
      </c>
      <c r="AP247">
        <f t="shared" si="382"/>
        <v>350</v>
      </c>
      <c r="AR247" s="5">
        <f t="shared" si="343"/>
        <v>2.8571428571428572</v>
      </c>
      <c r="AS247" s="5">
        <f t="shared" si="385"/>
        <v>0.61058448316241809</v>
      </c>
      <c r="AT247" s="5">
        <f t="shared" si="386"/>
        <v>2.2465583739804389</v>
      </c>
      <c r="AU247" s="177">
        <f t="shared" si="387"/>
        <v>0.21370456910684632</v>
      </c>
      <c r="CI247" s="571">
        <f t="shared" si="383"/>
        <v>-50</v>
      </c>
    </row>
    <row r="248" spans="5:87" x14ac:dyDescent="0.25">
      <c r="E248" s="174">
        <v>32</v>
      </c>
      <c r="F248" s="221">
        <f t="shared" si="384"/>
        <v>3.2000000000000001E-2</v>
      </c>
      <c r="G248" s="221">
        <f t="shared" ref="G248:G279" si="388">IF(PLOT_TYPE=1, E248/100*Iout2, min_I*EXP(Q248*rr/100))</f>
        <v>0.16</v>
      </c>
      <c r="H248" s="221">
        <f t="shared" ref="H248:H279" si="389">F248*Vout</f>
        <v>0.48</v>
      </c>
      <c r="I248" s="221">
        <f t="shared" ref="I248:I279" si="390">Vout2*G248</f>
        <v>1.28</v>
      </c>
      <c r="J248" s="551">
        <f t="shared" si="356"/>
        <v>28</v>
      </c>
      <c r="K248" s="451">
        <f t="shared" si="357"/>
        <v>695386.58000000007</v>
      </c>
      <c r="L248" s="451">
        <f t="shared" si="358"/>
        <v>695414.58000000007</v>
      </c>
      <c r="M248" s="451"/>
      <c r="N248" s="221">
        <f t="shared" si="359"/>
        <v>0.99995973624826795</v>
      </c>
      <c r="O248" s="176">
        <f t="shared" ref="O248:O279" si="391">N248*J248*Isw_max*0.5*Efficiency*Pout/(Pout+Pout2)</f>
        <v>2.577168956603491</v>
      </c>
      <c r="P248" s="176">
        <f t="shared" ref="P248:P279" si="392">N248*J248*Isw_max*0.5*Efficiency*(Pout2/Pout_total)</f>
        <v>6.8724505509426423</v>
      </c>
      <c r="Q248" s="221">
        <f t="shared" si="362"/>
        <v>0.17181126377356606</v>
      </c>
      <c r="R248" s="221">
        <f t="shared" ref="R248:R279" si="393">O248/Vout2</f>
        <v>0.32214611957543637</v>
      </c>
      <c r="S248" s="221">
        <f t="shared" ref="S248:S279" si="394">MIN(Vout,O248/F248)</f>
        <v>15</v>
      </c>
      <c r="T248" s="221">
        <f t="shared" ref="T248:T279" si="395">MIN(2*(Vout*F248+Vout2*G248)/(Efficiency*J248*N248), Isw_max)</f>
        <v>0.139688164052097</v>
      </c>
      <c r="U248" s="221">
        <f t="shared" si="366"/>
        <v>0.14966589005581821</v>
      </c>
      <c r="V248" s="221">
        <f t="shared" si="367"/>
        <v>6.0263528835470332E-6</v>
      </c>
      <c r="W248" s="201">
        <f t="shared" si="368"/>
        <v>350</v>
      </c>
      <c r="X248" s="451">
        <f t="shared" si="369"/>
        <v>350</v>
      </c>
      <c r="Z248" s="221">
        <f t="shared" si="370"/>
        <v>2.6665592966620477</v>
      </c>
      <c r="AA248" s="177">
        <f t="shared" si="371"/>
        <v>1.1503929066313219E-4</v>
      </c>
      <c r="AB248" s="177">
        <f t="shared" ref="AB248:AB279" si="396">0.5*AA248*Z248*Nps*W248/1000*(Pout/(Pout+Pout2))</f>
        <v>0.66892235755096752</v>
      </c>
      <c r="AC248" s="177"/>
      <c r="AD248" s="177">
        <f t="shared" si="373"/>
        <v>6.4712206554230591E-6</v>
      </c>
      <c r="AE248" s="555">
        <f t="shared" ref="AE248:AE279" si="397">MAX(10, F248/(0.5*AD248/1000000*Isw_min*Nps)/1000*Pout_total/Pout)</f>
        <v>5291.2987654321005</v>
      </c>
      <c r="AF248" s="538">
        <f t="shared" ref="AF248:AF279" si="398">0.5*AD248/1000000*Isw_min*Nps*W248*1000*(Pout/Pout_total)</f>
        <v>2.1166825946720815E-3</v>
      </c>
      <c r="AH248" s="177">
        <f t="shared" ref="AH248:AH279" si="399">SQRT((H248+I248)/(0.5*L*Fsw_DCM))</f>
        <v>0.57899749156459668</v>
      </c>
      <c r="AI248" s="177">
        <f t="shared" ref="AI248:AI279" si="400">MAX(IF(F248&gt;AB248,T248,AH248),Isw_min)</f>
        <v>0.57899749156459668</v>
      </c>
      <c r="AJ248" s="177">
        <f t="shared" ref="AJ248:AJ279" si="401">IF(F248&gt;AF248, (AI248-Isw_min)/1.08*0.8+1.2, AE248*0.2/350+1)</f>
        <v>1.5177759196774789</v>
      </c>
      <c r="AL248" s="555">
        <f t="shared" ref="AL248:AL279" si="402">F248*1000</f>
        <v>32</v>
      </c>
      <c r="AM248" s="469">
        <f t="shared" ref="AM248:AM279" si="403">IF(F248&gt;AF248, X248, AE248)</f>
        <v>350</v>
      </c>
      <c r="AO248">
        <f t="shared" si="381"/>
        <v>32</v>
      </c>
      <c r="AP248">
        <f t="shared" si="382"/>
        <v>350</v>
      </c>
      <c r="AR248" s="5">
        <f t="shared" si="343"/>
        <v>2.8571428571428572</v>
      </c>
      <c r="AS248" s="5">
        <f t="shared" si="385"/>
        <v>0.62035445524778221</v>
      </c>
      <c r="AT248" s="5">
        <f t="shared" si="386"/>
        <v>2.2367884018950752</v>
      </c>
      <c r="AU248" s="177">
        <f t="shared" si="387"/>
        <v>0.21712405933672377</v>
      </c>
      <c r="CI248" s="571">
        <f t="shared" ref="CI248:CI279" si="404">IF(ABS(F248-Ioutmax_Vinmax)&lt;Iout/200, AM248, -50)</f>
        <v>-50</v>
      </c>
    </row>
    <row r="249" spans="5:87" x14ac:dyDescent="0.25">
      <c r="E249" s="174">
        <v>33</v>
      </c>
      <c r="F249" s="221">
        <f t="shared" ref="F249:F280" si="405">IF(PLOT_TYPE=1, E249/100*Iout_max, min_I*EXP(O249*rr/100))</f>
        <v>3.3000000000000002E-2</v>
      </c>
      <c r="G249" s="221">
        <f t="shared" si="388"/>
        <v>0.16500000000000001</v>
      </c>
      <c r="H249" s="221">
        <f t="shared" si="389"/>
        <v>0.495</v>
      </c>
      <c r="I249" s="221">
        <f t="shared" si="390"/>
        <v>1.32</v>
      </c>
      <c r="J249" s="551">
        <f t="shared" si="356"/>
        <v>28</v>
      </c>
      <c r="K249" s="451">
        <f t="shared" si="357"/>
        <v>695386.58000000007</v>
      </c>
      <c r="L249" s="451">
        <f t="shared" si="358"/>
        <v>695414.58000000007</v>
      </c>
      <c r="M249" s="451"/>
      <c r="N249" s="221">
        <f t="shared" si="359"/>
        <v>0.99995973624826795</v>
      </c>
      <c r="O249" s="176">
        <f t="shared" si="391"/>
        <v>2.577168956603491</v>
      </c>
      <c r="P249" s="176">
        <f t="shared" si="392"/>
        <v>6.8724505509426423</v>
      </c>
      <c r="Q249" s="221">
        <f t="shared" si="362"/>
        <v>0.17181126377356606</v>
      </c>
      <c r="R249" s="221">
        <f t="shared" si="393"/>
        <v>0.32214611957543637</v>
      </c>
      <c r="S249" s="221">
        <f t="shared" si="394"/>
        <v>15</v>
      </c>
      <c r="T249" s="221">
        <f t="shared" si="395"/>
        <v>0.14405341917872502</v>
      </c>
      <c r="U249" s="221">
        <f t="shared" si="366"/>
        <v>0.15434294912006252</v>
      </c>
      <c r="V249" s="221">
        <f t="shared" si="367"/>
        <v>6.2146764111578777E-6</v>
      </c>
      <c r="W249" s="201">
        <f t="shared" si="368"/>
        <v>350</v>
      </c>
      <c r="X249" s="451">
        <f t="shared" si="369"/>
        <v>350</v>
      </c>
      <c r="Z249" s="221">
        <f t="shared" si="370"/>
        <v>2.6665592966620477</v>
      </c>
      <c r="AA249" s="177">
        <f t="shared" si="371"/>
        <v>1.1503929066313219E-4</v>
      </c>
      <c r="AB249" s="177">
        <f t="shared" si="396"/>
        <v>0.66892235755096752</v>
      </c>
      <c r="AC249" s="177"/>
      <c r="AD249" s="177">
        <f t="shared" si="373"/>
        <v>6.4712206554230591E-6</v>
      </c>
      <c r="AE249" s="555">
        <f t="shared" si="397"/>
        <v>5456.6518518518533</v>
      </c>
      <c r="AF249" s="538">
        <f t="shared" si="398"/>
        <v>2.1166825946720815E-3</v>
      </c>
      <c r="AH249" s="177">
        <f t="shared" si="399"/>
        <v>0.58797473220733365</v>
      </c>
      <c r="AI249" s="177">
        <f t="shared" si="400"/>
        <v>0.58797473220733365</v>
      </c>
      <c r="AJ249" s="177">
        <f t="shared" si="401"/>
        <v>1.5244257275609878</v>
      </c>
      <c r="AL249" s="555">
        <f t="shared" si="402"/>
        <v>33</v>
      </c>
      <c r="AM249" s="469">
        <f t="shared" si="403"/>
        <v>350</v>
      </c>
      <c r="AO249">
        <f t="shared" si="381"/>
        <v>33</v>
      </c>
      <c r="AP249">
        <f t="shared" si="382"/>
        <v>350</v>
      </c>
      <c r="AR249" s="5">
        <f t="shared" si="343"/>
        <v>2.8571428571428572</v>
      </c>
      <c r="AS249" s="5">
        <f t="shared" si="385"/>
        <v>0.62997292736500043</v>
      </c>
      <c r="AT249" s="5">
        <f t="shared" si="386"/>
        <v>2.2271699297778569</v>
      </c>
      <c r="AU249" s="177">
        <f t="shared" si="387"/>
        <v>0.22049052457775015</v>
      </c>
      <c r="CI249" s="571">
        <f t="shared" si="404"/>
        <v>-50</v>
      </c>
    </row>
    <row r="250" spans="5:87" x14ac:dyDescent="0.25">
      <c r="E250" s="174">
        <v>34</v>
      </c>
      <c r="F250" s="221">
        <f t="shared" si="405"/>
        <v>3.4000000000000002E-2</v>
      </c>
      <c r="G250" s="221">
        <f t="shared" si="388"/>
        <v>0.17</v>
      </c>
      <c r="H250" s="221">
        <f t="shared" si="389"/>
        <v>0.51</v>
      </c>
      <c r="I250" s="221">
        <f t="shared" si="390"/>
        <v>1.36</v>
      </c>
      <c r="J250" s="551">
        <f t="shared" si="356"/>
        <v>28</v>
      </c>
      <c r="K250" s="451">
        <f t="shared" si="357"/>
        <v>695386.58000000007</v>
      </c>
      <c r="L250" s="451">
        <f t="shared" si="358"/>
        <v>695414.58000000007</v>
      </c>
      <c r="M250" s="451"/>
      <c r="N250" s="221">
        <f t="shared" si="359"/>
        <v>0.99995973624826795</v>
      </c>
      <c r="O250" s="176">
        <f t="shared" si="391"/>
        <v>2.577168956603491</v>
      </c>
      <c r="P250" s="176">
        <f t="shared" si="392"/>
        <v>6.8724505509426423</v>
      </c>
      <c r="Q250" s="221">
        <f t="shared" si="362"/>
        <v>0.17181126377356606</v>
      </c>
      <c r="R250" s="221">
        <f t="shared" si="393"/>
        <v>0.32214611957543637</v>
      </c>
      <c r="S250" s="221">
        <f t="shared" si="394"/>
        <v>15</v>
      </c>
      <c r="T250" s="221">
        <f t="shared" si="395"/>
        <v>0.14841867430535305</v>
      </c>
      <c r="U250" s="221">
        <f t="shared" si="366"/>
        <v>0.15902000818430684</v>
      </c>
      <c r="V250" s="221">
        <f t="shared" si="367"/>
        <v>6.4029999387687221E-6</v>
      </c>
      <c r="W250" s="201">
        <f t="shared" si="368"/>
        <v>350</v>
      </c>
      <c r="X250" s="451">
        <f t="shared" si="369"/>
        <v>350</v>
      </c>
      <c r="Z250" s="221">
        <f t="shared" si="370"/>
        <v>2.6665592966620477</v>
      </c>
      <c r="AA250" s="177">
        <f t="shared" si="371"/>
        <v>1.1503929066313219E-4</v>
      </c>
      <c r="AB250" s="177">
        <f t="shared" si="396"/>
        <v>0.66892235755096752</v>
      </c>
      <c r="AC250" s="177"/>
      <c r="AD250" s="177">
        <f t="shared" si="373"/>
        <v>6.4712206554230591E-6</v>
      </c>
      <c r="AE250" s="555">
        <f t="shared" si="397"/>
        <v>5622.004938271607</v>
      </c>
      <c r="AF250" s="538">
        <f t="shared" si="398"/>
        <v>2.1166825946720815E-3</v>
      </c>
      <c r="AH250" s="177">
        <f t="shared" si="399"/>
        <v>0.59681695367212573</v>
      </c>
      <c r="AI250" s="177">
        <f t="shared" si="400"/>
        <v>0.59681695367212573</v>
      </c>
      <c r="AJ250" s="177">
        <f t="shared" si="401"/>
        <v>1.5309755212386116</v>
      </c>
      <c r="AL250" s="555">
        <f t="shared" si="402"/>
        <v>34</v>
      </c>
      <c r="AM250" s="469">
        <f t="shared" si="403"/>
        <v>350</v>
      </c>
      <c r="AO250">
        <f t="shared" si="381"/>
        <v>34</v>
      </c>
      <c r="AP250">
        <f t="shared" si="382"/>
        <v>350</v>
      </c>
      <c r="AR250" s="5">
        <f t="shared" si="343"/>
        <v>2.8571428571428572</v>
      </c>
      <c r="AS250" s="5">
        <f t="shared" si="385"/>
        <v>0.63944673607727753</v>
      </c>
      <c r="AT250" s="5">
        <f t="shared" si="386"/>
        <v>2.2176961210655799</v>
      </c>
      <c r="AU250" s="177">
        <f t="shared" si="387"/>
        <v>0.22380635762704712</v>
      </c>
      <c r="CI250" s="571">
        <f t="shared" si="404"/>
        <v>-50</v>
      </c>
    </row>
    <row r="251" spans="5:87" x14ac:dyDescent="0.25">
      <c r="E251" s="174">
        <v>35</v>
      </c>
      <c r="F251" s="221">
        <f t="shared" si="405"/>
        <v>3.4999999999999996E-2</v>
      </c>
      <c r="G251" s="221">
        <f t="shared" si="388"/>
        <v>0.17499999999999999</v>
      </c>
      <c r="H251" s="221">
        <f t="shared" si="389"/>
        <v>0.52499999999999991</v>
      </c>
      <c r="I251" s="221">
        <f t="shared" si="390"/>
        <v>1.4</v>
      </c>
      <c r="J251" s="551">
        <f t="shared" si="356"/>
        <v>28</v>
      </c>
      <c r="K251" s="451">
        <f t="shared" si="357"/>
        <v>695386.58000000007</v>
      </c>
      <c r="L251" s="451">
        <f t="shared" si="358"/>
        <v>695414.58000000007</v>
      </c>
      <c r="M251" s="451"/>
      <c r="N251" s="221">
        <f t="shared" si="359"/>
        <v>0.99995973624826795</v>
      </c>
      <c r="O251" s="176">
        <f t="shared" si="391"/>
        <v>2.577168956603491</v>
      </c>
      <c r="P251" s="176">
        <f t="shared" si="392"/>
        <v>6.8724505509426423</v>
      </c>
      <c r="Q251" s="221">
        <f t="shared" si="362"/>
        <v>0.17181126377356606</v>
      </c>
      <c r="R251" s="221">
        <f t="shared" si="393"/>
        <v>0.32214611957543637</v>
      </c>
      <c r="S251" s="221">
        <f t="shared" si="394"/>
        <v>15</v>
      </c>
      <c r="T251" s="221">
        <f t="shared" si="395"/>
        <v>0.15278392943198107</v>
      </c>
      <c r="U251" s="221">
        <f t="shared" si="366"/>
        <v>0.16369706724855115</v>
      </c>
      <c r="V251" s="221">
        <f t="shared" si="367"/>
        <v>6.5913234663795657E-6</v>
      </c>
      <c r="W251" s="201">
        <f t="shared" si="368"/>
        <v>350</v>
      </c>
      <c r="X251" s="451">
        <f t="shared" si="369"/>
        <v>350</v>
      </c>
      <c r="Z251" s="221">
        <f t="shared" si="370"/>
        <v>2.6665592966620477</v>
      </c>
      <c r="AA251" s="177">
        <f t="shared" si="371"/>
        <v>1.1503929066313219E-4</v>
      </c>
      <c r="AB251" s="177">
        <f t="shared" si="396"/>
        <v>0.66892235755096752</v>
      </c>
      <c r="AC251" s="177"/>
      <c r="AD251" s="177">
        <f t="shared" si="373"/>
        <v>6.4712206554230591E-6</v>
      </c>
      <c r="AE251" s="555">
        <f t="shared" si="397"/>
        <v>5787.3580246913589</v>
      </c>
      <c r="AF251" s="538">
        <f t="shared" si="398"/>
        <v>2.1166825946720815E-3</v>
      </c>
      <c r="AH251" s="177">
        <f t="shared" si="399"/>
        <v>0.60553007081949828</v>
      </c>
      <c r="AI251" s="177">
        <f t="shared" si="400"/>
        <v>0.60553007081949828</v>
      </c>
      <c r="AJ251" s="177">
        <f t="shared" si="401"/>
        <v>1.5374296820885172</v>
      </c>
      <c r="AL251" s="555">
        <f t="shared" si="402"/>
        <v>34.999999999999993</v>
      </c>
      <c r="AM251" s="469">
        <f t="shared" si="403"/>
        <v>350</v>
      </c>
      <c r="AO251">
        <f t="shared" si="381"/>
        <v>34.999999999999993</v>
      </c>
      <c r="AP251">
        <f t="shared" si="382"/>
        <v>350</v>
      </c>
      <c r="AR251" s="5">
        <f t="shared" si="343"/>
        <v>2.8571428571428572</v>
      </c>
      <c r="AS251" s="5">
        <f t="shared" si="385"/>
        <v>0.64878221873517672</v>
      </c>
      <c r="AT251" s="5">
        <f t="shared" si="386"/>
        <v>2.2083606384076804</v>
      </c>
      <c r="AU251" s="177">
        <f t="shared" si="387"/>
        <v>0.22707377655731184</v>
      </c>
      <c r="CI251" s="571">
        <f t="shared" si="404"/>
        <v>-50</v>
      </c>
    </row>
    <row r="252" spans="5:87" x14ac:dyDescent="0.25">
      <c r="E252" s="174">
        <v>36</v>
      </c>
      <c r="F252" s="221">
        <f t="shared" si="405"/>
        <v>3.5999999999999997E-2</v>
      </c>
      <c r="G252" s="221">
        <f t="shared" si="388"/>
        <v>0.18</v>
      </c>
      <c r="H252" s="221">
        <f t="shared" si="389"/>
        <v>0.53999999999999992</v>
      </c>
      <c r="I252" s="221">
        <f t="shared" si="390"/>
        <v>1.44</v>
      </c>
      <c r="J252" s="551">
        <f t="shared" si="356"/>
        <v>28</v>
      </c>
      <c r="K252" s="451">
        <f t="shared" si="357"/>
        <v>695386.58000000007</v>
      </c>
      <c r="L252" s="451">
        <f t="shared" si="358"/>
        <v>695414.58000000007</v>
      </c>
      <c r="M252" s="451"/>
      <c r="N252" s="221">
        <f t="shared" si="359"/>
        <v>0.99995973624826795</v>
      </c>
      <c r="O252" s="176">
        <f t="shared" si="391"/>
        <v>2.577168956603491</v>
      </c>
      <c r="P252" s="176">
        <f t="shared" si="392"/>
        <v>6.8724505509426423</v>
      </c>
      <c r="Q252" s="221">
        <f t="shared" si="362"/>
        <v>0.17181126377356606</v>
      </c>
      <c r="R252" s="221">
        <f t="shared" si="393"/>
        <v>0.32214611957543637</v>
      </c>
      <c r="S252" s="221">
        <f t="shared" si="394"/>
        <v>15</v>
      </c>
      <c r="T252" s="221">
        <f t="shared" si="395"/>
        <v>0.1571491845586091</v>
      </c>
      <c r="U252" s="221">
        <f t="shared" si="366"/>
        <v>0.16837412631279544</v>
      </c>
      <c r="V252" s="221">
        <f t="shared" si="367"/>
        <v>6.779646993990411E-6</v>
      </c>
      <c r="W252" s="201">
        <f t="shared" si="368"/>
        <v>350</v>
      </c>
      <c r="X252" s="451">
        <f t="shared" si="369"/>
        <v>350</v>
      </c>
      <c r="Z252" s="221">
        <f t="shared" si="370"/>
        <v>2.6665592966620477</v>
      </c>
      <c r="AA252" s="177">
        <f t="shared" si="371"/>
        <v>1.1503929066313219E-4</v>
      </c>
      <c r="AB252" s="177">
        <f t="shared" si="396"/>
        <v>0.66892235755096752</v>
      </c>
      <c r="AC252" s="177"/>
      <c r="AD252" s="177">
        <f t="shared" si="373"/>
        <v>6.4712206554230591E-6</v>
      </c>
      <c r="AE252" s="555">
        <f t="shared" si="397"/>
        <v>5952.7111111111117</v>
      </c>
      <c r="AF252" s="538">
        <f t="shared" si="398"/>
        <v>2.1166825946720815E-3</v>
      </c>
      <c r="AH252" s="177">
        <f t="shared" si="399"/>
        <v>0.61411957886299073</v>
      </c>
      <c r="AI252" s="177">
        <f t="shared" si="400"/>
        <v>0.61411957886299073</v>
      </c>
      <c r="AJ252" s="177">
        <f t="shared" si="401"/>
        <v>1.5437922806392523</v>
      </c>
      <c r="AL252" s="555">
        <f t="shared" si="402"/>
        <v>36</v>
      </c>
      <c r="AM252" s="469">
        <f t="shared" si="403"/>
        <v>350</v>
      </c>
      <c r="AO252">
        <f t="shared" si="381"/>
        <v>36</v>
      </c>
      <c r="AP252">
        <f t="shared" si="382"/>
        <v>350</v>
      </c>
      <c r="AR252" s="5">
        <f t="shared" si="343"/>
        <v>2.8571428571428572</v>
      </c>
      <c r="AS252" s="5">
        <f t="shared" si="385"/>
        <v>0.65798526306749006</v>
      </c>
      <c r="AT252" s="5">
        <f t="shared" si="386"/>
        <v>2.1991575940753672</v>
      </c>
      <c r="AU252" s="177">
        <f t="shared" si="387"/>
        <v>0.23029484207362153</v>
      </c>
      <c r="CI252" s="571">
        <f t="shared" si="404"/>
        <v>-50</v>
      </c>
    </row>
    <row r="253" spans="5:87" x14ac:dyDescent="0.25">
      <c r="E253" s="174">
        <v>37</v>
      </c>
      <c r="F253" s="221">
        <f t="shared" si="405"/>
        <v>3.6999999999999998E-2</v>
      </c>
      <c r="G253" s="221">
        <f t="shared" si="388"/>
        <v>0.185</v>
      </c>
      <c r="H253" s="221">
        <f t="shared" si="389"/>
        <v>0.55499999999999994</v>
      </c>
      <c r="I253" s="221">
        <f t="shared" si="390"/>
        <v>1.48</v>
      </c>
      <c r="J253" s="551">
        <f t="shared" si="356"/>
        <v>28</v>
      </c>
      <c r="K253" s="451">
        <f t="shared" si="357"/>
        <v>695386.58000000007</v>
      </c>
      <c r="L253" s="451">
        <f t="shared" si="358"/>
        <v>695414.58000000007</v>
      </c>
      <c r="M253" s="451"/>
      <c r="N253" s="221">
        <f t="shared" si="359"/>
        <v>0.99995973624826795</v>
      </c>
      <c r="O253" s="176">
        <f t="shared" si="391"/>
        <v>2.577168956603491</v>
      </c>
      <c r="P253" s="176">
        <f t="shared" si="392"/>
        <v>6.8724505509426423</v>
      </c>
      <c r="Q253" s="221">
        <f t="shared" si="362"/>
        <v>0.17181126377356606</v>
      </c>
      <c r="R253" s="221">
        <f t="shared" si="393"/>
        <v>0.32214611957543637</v>
      </c>
      <c r="S253" s="221">
        <f t="shared" si="394"/>
        <v>15</v>
      </c>
      <c r="T253" s="221">
        <f t="shared" si="395"/>
        <v>0.16151443968523715</v>
      </c>
      <c r="U253" s="221">
        <f t="shared" si="366"/>
        <v>0.17305118537703978</v>
      </c>
      <c r="V253" s="221">
        <f t="shared" si="367"/>
        <v>6.9679705216012563E-6</v>
      </c>
      <c r="W253" s="201">
        <f t="shared" si="368"/>
        <v>350</v>
      </c>
      <c r="X253" s="451">
        <f t="shared" si="369"/>
        <v>350</v>
      </c>
      <c r="Z253" s="221">
        <f t="shared" si="370"/>
        <v>2.6665592966620477</v>
      </c>
      <c r="AA253" s="177">
        <f t="shared" si="371"/>
        <v>1.1503929066313219E-4</v>
      </c>
      <c r="AB253" s="177">
        <f t="shared" si="396"/>
        <v>0.66892235755096752</v>
      </c>
      <c r="AC253" s="177"/>
      <c r="AD253" s="177">
        <f t="shared" si="373"/>
        <v>6.4712206554230591E-6</v>
      </c>
      <c r="AE253" s="555">
        <f t="shared" si="397"/>
        <v>6118.0641975308654</v>
      </c>
      <c r="AF253" s="538">
        <f t="shared" si="398"/>
        <v>2.1166825946720815E-3</v>
      </c>
      <c r="AH253" s="177">
        <f t="shared" si="399"/>
        <v>0.62259059390505378</v>
      </c>
      <c r="AI253" s="177">
        <f t="shared" si="400"/>
        <v>0.62259059390505378</v>
      </c>
      <c r="AJ253" s="177">
        <f t="shared" si="401"/>
        <v>1.5500671065963361</v>
      </c>
      <c r="AL253" s="555">
        <f t="shared" si="402"/>
        <v>37</v>
      </c>
      <c r="AM253" s="469">
        <f t="shared" si="403"/>
        <v>350</v>
      </c>
      <c r="AO253">
        <f t="shared" si="381"/>
        <v>37</v>
      </c>
      <c r="AP253">
        <f t="shared" si="382"/>
        <v>350</v>
      </c>
      <c r="AR253" s="5">
        <f t="shared" si="343"/>
        <v>2.8571428571428572</v>
      </c>
      <c r="AS253" s="5">
        <f t="shared" si="385"/>
        <v>0.66706135061255767</v>
      </c>
      <c r="AT253" s="5">
        <f t="shared" si="386"/>
        <v>2.1900815065302996</v>
      </c>
      <c r="AU253" s="177">
        <f t="shared" si="387"/>
        <v>0.23347147271439517</v>
      </c>
      <c r="CI253" s="571">
        <f t="shared" si="404"/>
        <v>-50</v>
      </c>
    </row>
    <row r="254" spans="5:87" x14ac:dyDescent="0.25">
      <c r="E254" s="174">
        <v>38</v>
      </c>
      <c r="F254" s="221">
        <f t="shared" si="405"/>
        <v>3.8000000000000006E-2</v>
      </c>
      <c r="G254" s="221">
        <f t="shared" si="388"/>
        <v>0.19</v>
      </c>
      <c r="H254" s="221">
        <f t="shared" si="389"/>
        <v>0.57000000000000006</v>
      </c>
      <c r="I254" s="221">
        <f t="shared" si="390"/>
        <v>1.52</v>
      </c>
      <c r="J254" s="551">
        <f t="shared" si="356"/>
        <v>28</v>
      </c>
      <c r="K254" s="451">
        <f t="shared" si="357"/>
        <v>695386.58000000007</v>
      </c>
      <c r="L254" s="451">
        <f t="shared" si="358"/>
        <v>695414.58000000007</v>
      </c>
      <c r="M254" s="451"/>
      <c r="N254" s="221">
        <f t="shared" si="359"/>
        <v>0.99995973624826795</v>
      </c>
      <c r="O254" s="176">
        <f t="shared" si="391"/>
        <v>2.577168956603491</v>
      </c>
      <c r="P254" s="176">
        <f t="shared" si="392"/>
        <v>6.8724505509426423</v>
      </c>
      <c r="Q254" s="221">
        <f t="shared" si="362"/>
        <v>0.17181126377356606</v>
      </c>
      <c r="R254" s="221">
        <f t="shared" si="393"/>
        <v>0.32214611957543637</v>
      </c>
      <c r="S254" s="221">
        <f t="shared" si="394"/>
        <v>15</v>
      </c>
      <c r="T254" s="221">
        <f t="shared" si="395"/>
        <v>0.16587969481186515</v>
      </c>
      <c r="U254" s="221">
        <f t="shared" si="366"/>
        <v>0.17772824444128407</v>
      </c>
      <c r="V254" s="221">
        <f t="shared" si="367"/>
        <v>7.1562940492120999E-6</v>
      </c>
      <c r="W254" s="201">
        <f t="shared" si="368"/>
        <v>350</v>
      </c>
      <c r="X254" s="451">
        <f t="shared" si="369"/>
        <v>350</v>
      </c>
      <c r="Z254" s="221">
        <f t="shared" si="370"/>
        <v>2.6665592966620477</v>
      </c>
      <c r="AA254" s="177">
        <f t="shared" si="371"/>
        <v>1.1503929066313219E-4</v>
      </c>
      <c r="AB254" s="177">
        <f t="shared" si="396"/>
        <v>0.66892235755096752</v>
      </c>
      <c r="AC254" s="177"/>
      <c r="AD254" s="177">
        <f t="shared" si="373"/>
        <v>6.4712206554230591E-6</v>
      </c>
      <c r="AE254" s="555">
        <f t="shared" si="397"/>
        <v>6283.4172839506209</v>
      </c>
      <c r="AF254" s="538">
        <f t="shared" si="398"/>
        <v>2.1166825946720815E-3</v>
      </c>
      <c r="AH254" s="177">
        <f t="shared" si="399"/>
        <v>0.63094788857340511</v>
      </c>
      <c r="AI254" s="177">
        <f t="shared" si="400"/>
        <v>0.63094788857340511</v>
      </c>
      <c r="AJ254" s="177">
        <f t="shared" si="401"/>
        <v>1.5562576952395593</v>
      </c>
      <c r="AL254" s="555">
        <f t="shared" si="402"/>
        <v>38.000000000000007</v>
      </c>
      <c r="AM254" s="469">
        <f t="shared" si="403"/>
        <v>350</v>
      </c>
      <c r="AO254">
        <f t="shared" si="381"/>
        <v>38.000000000000007</v>
      </c>
      <c r="AP254">
        <f t="shared" si="382"/>
        <v>350</v>
      </c>
      <c r="AR254" s="5">
        <f t="shared" si="343"/>
        <v>2.8571428571428572</v>
      </c>
      <c r="AS254" s="5">
        <f t="shared" si="385"/>
        <v>0.6760155949000769</v>
      </c>
      <c r="AT254" s="5">
        <f t="shared" si="386"/>
        <v>2.1811272622427804</v>
      </c>
      <c r="AU254" s="177">
        <f t="shared" si="387"/>
        <v>0.2366054582150269</v>
      </c>
      <c r="CI254" s="571">
        <f t="shared" si="404"/>
        <v>-50</v>
      </c>
    </row>
    <row r="255" spans="5:87" x14ac:dyDescent="0.25">
      <c r="E255" s="174">
        <v>39</v>
      </c>
      <c r="F255" s="221">
        <f t="shared" si="405"/>
        <v>3.9000000000000007E-2</v>
      </c>
      <c r="G255" s="221">
        <f t="shared" si="388"/>
        <v>0.19500000000000001</v>
      </c>
      <c r="H255" s="221">
        <f t="shared" si="389"/>
        <v>0.58500000000000008</v>
      </c>
      <c r="I255" s="221">
        <f t="shared" si="390"/>
        <v>1.56</v>
      </c>
      <c r="J255" s="551">
        <f t="shared" si="356"/>
        <v>28</v>
      </c>
      <c r="K255" s="451">
        <f t="shared" si="357"/>
        <v>695386.58000000007</v>
      </c>
      <c r="L255" s="451">
        <f t="shared" si="358"/>
        <v>695414.58000000007</v>
      </c>
      <c r="M255" s="451"/>
      <c r="N255" s="221">
        <f t="shared" si="359"/>
        <v>0.99995973624826795</v>
      </c>
      <c r="O255" s="176">
        <f t="shared" si="391"/>
        <v>2.577168956603491</v>
      </c>
      <c r="P255" s="176">
        <f t="shared" si="392"/>
        <v>6.8724505509426423</v>
      </c>
      <c r="Q255" s="221">
        <f t="shared" si="362"/>
        <v>0.17181126377356606</v>
      </c>
      <c r="R255" s="221">
        <f t="shared" si="393"/>
        <v>0.32214611957543637</v>
      </c>
      <c r="S255" s="221">
        <f t="shared" si="394"/>
        <v>15</v>
      </c>
      <c r="T255" s="221">
        <f t="shared" si="395"/>
        <v>0.17024494993849321</v>
      </c>
      <c r="U255" s="221">
        <f t="shared" si="366"/>
        <v>0.18240530350552847</v>
      </c>
      <c r="V255" s="221">
        <f t="shared" si="367"/>
        <v>7.3446175768229477E-6</v>
      </c>
      <c r="W255" s="201">
        <f t="shared" si="368"/>
        <v>350</v>
      </c>
      <c r="X255" s="451">
        <f t="shared" si="369"/>
        <v>350</v>
      </c>
      <c r="Z255" s="221">
        <f t="shared" si="370"/>
        <v>2.6665592966620477</v>
      </c>
      <c r="AA255" s="177">
        <f t="shared" si="371"/>
        <v>1.1503929066313219E-4</v>
      </c>
      <c r="AB255" s="177">
        <f t="shared" si="396"/>
        <v>0.66892235755096752</v>
      </c>
      <c r="AC255" s="177"/>
      <c r="AD255" s="177">
        <f t="shared" si="373"/>
        <v>6.4712206554230591E-6</v>
      </c>
      <c r="AE255" s="555">
        <f t="shared" si="397"/>
        <v>6448.7703703703728</v>
      </c>
      <c r="AF255" s="538">
        <f t="shared" si="398"/>
        <v>2.1166825946720815E-3</v>
      </c>
      <c r="AH255" s="177">
        <f t="shared" si="399"/>
        <v>0.6391959234627741</v>
      </c>
      <c r="AI255" s="177">
        <f t="shared" si="400"/>
        <v>0.6391959234627741</v>
      </c>
      <c r="AJ255" s="177">
        <f t="shared" si="401"/>
        <v>1.5623673507131659</v>
      </c>
      <c r="AL255" s="555">
        <f t="shared" si="402"/>
        <v>39.000000000000007</v>
      </c>
      <c r="AM255" s="469">
        <f t="shared" si="403"/>
        <v>350</v>
      </c>
      <c r="AO255">
        <f t="shared" si="381"/>
        <v>39.000000000000007</v>
      </c>
      <c r="AP255">
        <f t="shared" si="382"/>
        <v>350</v>
      </c>
      <c r="AR255" s="5">
        <f t="shared" si="343"/>
        <v>2.8571428571428572</v>
      </c>
      <c r="AS255" s="5">
        <f t="shared" si="385"/>
        <v>0.68485277513868659</v>
      </c>
      <c r="AT255" s="5">
        <f t="shared" si="386"/>
        <v>2.1722900820041708</v>
      </c>
      <c r="AU255" s="177">
        <f t="shared" si="387"/>
        <v>0.2396984712985403</v>
      </c>
      <c r="CI255" s="571">
        <f t="shared" si="404"/>
        <v>-50</v>
      </c>
    </row>
    <row r="256" spans="5:87" x14ac:dyDescent="0.25">
      <c r="E256" s="174">
        <v>40</v>
      </c>
      <c r="F256" s="221">
        <f t="shared" si="405"/>
        <v>4.0000000000000008E-2</v>
      </c>
      <c r="G256" s="221">
        <f t="shared" si="388"/>
        <v>0.2</v>
      </c>
      <c r="H256" s="221">
        <f t="shared" si="389"/>
        <v>0.60000000000000009</v>
      </c>
      <c r="I256" s="221">
        <f t="shared" si="390"/>
        <v>1.6</v>
      </c>
      <c r="J256" s="551">
        <f t="shared" si="356"/>
        <v>28</v>
      </c>
      <c r="K256" s="451">
        <f t="shared" si="357"/>
        <v>695386.58000000007</v>
      </c>
      <c r="L256" s="451">
        <f t="shared" si="358"/>
        <v>695414.58000000007</v>
      </c>
      <c r="M256" s="451"/>
      <c r="N256" s="221">
        <f t="shared" si="359"/>
        <v>0.99995973624826795</v>
      </c>
      <c r="O256" s="176">
        <f t="shared" si="391"/>
        <v>2.577168956603491</v>
      </c>
      <c r="P256" s="176">
        <f t="shared" si="392"/>
        <v>6.8724505509426423</v>
      </c>
      <c r="Q256" s="221">
        <f t="shared" si="362"/>
        <v>0.17181126377356606</v>
      </c>
      <c r="R256" s="221">
        <f t="shared" si="393"/>
        <v>0.32214611957543637</v>
      </c>
      <c r="S256" s="221">
        <f t="shared" si="394"/>
        <v>15</v>
      </c>
      <c r="T256" s="221">
        <f t="shared" si="395"/>
        <v>0.17461020506512126</v>
      </c>
      <c r="U256" s="221">
        <f t="shared" si="366"/>
        <v>0.18708236256977281</v>
      </c>
      <c r="V256" s="221">
        <f t="shared" si="367"/>
        <v>7.5329411044337913E-6</v>
      </c>
      <c r="W256" s="201">
        <f t="shared" si="368"/>
        <v>350</v>
      </c>
      <c r="X256" s="451">
        <f t="shared" si="369"/>
        <v>350</v>
      </c>
      <c r="Z256" s="221">
        <f t="shared" si="370"/>
        <v>2.6665592966620477</v>
      </c>
      <c r="AA256" s="177">
        <f t="shared" si="371"/>
        <v>1.1503929066313219E-4</v>
      </c>
      <c r="AB256" s="177">
        <f t="shared" si="396"/>
        <v>0.66892235755096752</v>
      </c>
      <c r="AC256" s="177"/>
      <c r="AD256" s="177">
        <f t="shared" si="373"/>
        <v>6.4712206554230591E-6</v>
      </c>
      <c r="AE256" s="555">
        <f t="shared" si="397"/>
        <v>6614.1234567901265</v>
      </c>
      <c r="AF256" s="538">
        <f t="shared" si="398"/>
        <v>2.1166825946720815E-3</v>
      </c>
      <c r="AH256" s="177">
        <f t="shared" si="399"/>
        <v>0.64733887497014964</v>
      </c>
      <c r="AI256" s="177">
        <f t="shared" si="400"/>
        <v>0.64733887497014964</v>
      </c>
      <c r="AJ256" s="177">
        <f t="shared" si="401"/>
        <v>1.5683991666445551</v>
      </c>
      <c r="AL256" s="555">
        <f t="shared" si="402"/>
        <v>40.000000000000007</v>
      </c>
      <c r="AM256" s="469">
        <f t="shared" si="403"/>
        <v>350</v>
      </c>
      <c r="AO256">
        <f t="shared" si="381"/>
        <v>40.000000000000007</v>
      </c>
      <c r="AP256">
        <f t="shared" si="382"/>
        <v>350</v>
      </c>
      <c r="AR256" s="5">
        <f t="shared" si="343"/>
        <v>2.8571428571428572</v>
      </c>
      <c r="AS256" s="5">
        <f t="shared" si="385"/>
        <v>0.69357736603944609</v>
      </c>
      <c r="AT256" s="5">
        <f t="shared" si="386"/>
        <v>2.163565491103411</v>
      </c>
      <c r="AU256" s="177">
        <f t="shared" si="387"/>
        <v>0.24275207811380611</v>
      </c>
      <c r="CI256" s="571">
        <f t="shared" si="404"/>
        <v>-50</v>
      </c>
    </row>
    <row r="257" spans="5:87" x14ac:dyDescent="0.25">
      <c r="E257" s="174">
        <v>41</v>
      </c>
      <c r="F257" s="221">
        <f t="shared" si="405"/>
        <v>4.1000000000000002E-2</v>
      </c>
      <c r="G257" s="221">
        <f t="shared" si="388"/>
        <v>0.20499999999999999</v>
      </c>
      <c r="H257" s="221">
        <f t="shared" si="389"/>
        <v>0.61499999999999999</v>
      </c>
      <c r="I257" s="221">
        <f t="shared" si="390"/>
        <v>1.64</v>
      </c>
      <c r="J257" s="551">
        <f t="shared" si="356"/>
        <v>28</v>
      </c>
      <c r="K257" s="451">
        <f t="shared" si="357"/>
        <v>695386.58000000007</v>
      </c>
      <c r="L257" s="451">
        <f t="shared" si="358"/>
        <v>695414.58000000007</v>
      </c>
      <c r="M257" s="451"/>
      <c r="N257" s="221">
        <f t="shared" si="359"/>
        <v>0.99995973624826795</v>
      </c>
      <c r="O257" s="176">
        <f t="shared" si="391"/>
        <v>2.577168956603491</v>
      </c>
      <c r="P257" s="176">
        <f t="shared" si="392"/>
        <v>6.8724505509426423</v>
      </c>
      <c r="Q257" s="221">
        <f t="shared" si="362"/>
        <v>0.17181126377356606</v>
      </c>
      <c r="R257" s="221">
        <f t="shared" si="393"/>
        <v>0.32214611957543637</v>
      </c>
      <c r="S257" s="221">
        <f t="shared" si="394"/>
        <v>15</v>
      </c>
      <c r="T257" s="221">
        <f t="shared" si="395"/>
        <v>0.17897546019174926</v>
      </c>
      <c r="U257" s="221">
        <f t="shared" si="366"/>
        <v>0.19175942163401707</v>
      </c>
      <c r="V257" s="221">
        <f t="shared" si="367"/>
        <v>7.7212646320446366E-6</v>
      </c>
      <c r="W257" s="201">
        <f t="shared" si="368"/>
        <v>350</v>
      </c>
      <c r="X257" s="451">
        <f t="shared" si="369"/>
        <v>350</v>
      </c>
      <c r="Z257" s="221">
        <f t="shared" si="370"/>
        <v>2.6665592966620477</v>
      </c>
      <c r="AA257" s="177">
        <f t="shared" si="371"/>
        <v>1.1503929066313219E-4</v>
      </c>
      <c r="AB257" s="177">
        <f t="shared" si="396"/>
        <v>0.66892235755096752</v>
      </c>
      <c r="AC257" s="177"/>
      <c r="AD257" s="177">
        <f t="shared" si="373"/>
        <v>6.4712206554230591E-6</v>
      </c>
      <c r="AE257" s="555">
        <f t="shared" si="397"/>
        <v>6779.4765432098784</v>
      </c>
      <c r="AF257" s="538">
        <f t="shared" si="398"/>
        <v>2.1166825946720815E-3</v>
      </c>
      <c r="AH257" s="177">
        <f t="shared" si="399"/>
        <v>0.65538066001661166</v>
      </c>
      <c r="AI257" s="177">
        <f t="shared" si="400"/>
        <v>0.65538066001661166</v>
      </c>
      <c r="AJ257" s="177">
        <f t="shared" si="401"/>
        <v>1.5743560444567493</v>
      </c>
      <c r="AL257" s="555">
        <f t="shared" si="402"/>
        <v>41</v>
      </c>
      <c r="AM257" s="469">
        <f t="shared" si="403"/>
        <v>350</v>
      </c>
      <c r="AO257">
        <f t="shared" si="381"/>
        <v>41</v>
      </c>
      <c r="AP257">
        <f t="shared" si="382"/>
        <v>350</v>
      </c>
      <c r="AR257" s="5">
        <f t="shared" si="343"/>
        <v>2.8571428571428572</v>
      </c>
      <c r="AS257" s="5">
        <f t="shared" si="385"/>
        <v>0.70219356430351254</v>
      </c>
      <c r="AT257" s="5">
        <f t="shared" si="386"/>
        <v>2.1549492928393446</v>
      </c>
      <c r="AU257" s="177">
        <f t="shared" si="387"/>
        <v>0.24576774750622937</v>
      </c>
      <c r="CI257" s="571">
        <f t="shared" si="404"/>
        <v>-50</v>
      </c>
    </row>
    <row r="258" spans="5:87" x14ac:dyDescent="0.25">
      <c r="E258" s="174">
        <v>42</v>
      </c>
      <c r="F258" s="221">
        <f t="shared" si="405"/>
        <v>4.2000000000000003E-2</v>
      </c>
      <c r="G258" s="221">
        <f t="shared" si="388"/>
        <v>0.21</v>
      </c>
      <c r="H258" s="221">
        <f t="shared" si="389"/>
        <v>0.63</v>
      </c>
      <c r="I258" s="221">
        <f t="shared" si="390"/>
        <v>1.68</v>
      </c>
      <c r="J258" s="551">
        <f t="shared" si="356"/>
        <v>28</v>
      </c>
      <c r="K258" s="451">
        <f t="shared" si="357"/>
        <v>695386.58000000007</v>
      </c>
      <c r="L258" s="451">
        <f t="shared" si="358"/>
        <v>695414.58000000007</v>
      </c>
      <c r="M258" s="451"/>
      <c r="N258" s="221">
        <f t="shared" si="359"/>
        <v>0.99995973624826795</v>
      </c>
      <c r="O258" s="176">
        <f t="shared" si="391"/>
        <v>2.577168956603491</v>
      </c>
      <c r="P258" s="176">
        <f t="shared" si="392"/>
        <v>6.8724505509426423</v>
      </c>
      <c r="Q258" s="221">
        <f t="shared" si="362"/>
        <v>0.17181126377356606</v>
      </c>
      <c r="R258" s="221">
        <f t="shared" si="393"/>
        <v>0.32214611957543637</v>
      </c>
      <c r="S258" s="221">
        <f t="shared" si="394"/>
        <v>15</v>
      </c>
      <c r="T258" s="221">
        <f t="shared" si="395"/>
        <v>0.18334071531837731</v>
      </c>
      <c r="U258" s="221">
        <f t="shared" si="366"/>
        <v>0.19643648069826142</v>
      </c>
      <c r="V258" s="221">
        <f t="shared" si="367"/>
        <v>7.9095881596554819E-6</v>
      </c>
      <c r="W258" s="201">
        <f t="shared" si="368"/>
        <v>350</v>
      </c>
      <c r="X258" s="451">
        <f t="shared" si="369"/>
        <v>350</v>
      </c>
      <c r="Z258" s="221">
        <f t="shared" si="370"/>
        <v>2.6665592966620477</v>
      </c>
      <c r="AA258" s="177">
        <f t="shared" si="371"/>
        <v>1.1503929066313219E-4</v>
      </c>
      <c r="AB258" s="177">
        <f t="shared" si="396"/>
        <v>0.66892235755096752</v>
      </c>
      <c r="AC258" s="177"/>
      <c r="AD258" s="177">
        <f t="shared" si="373"/>
        <v>6.4712206554230591E-6</v>
      </c>
      <c r="AE258" s="555">
        <f t="shared" si="397"/>
        <v>6944.8296296296312</v>
      </c>
      <c r="AF258" s="538">
        <f t="shared" si="398"/>
        <v>2.1166825946720815E-3</v>
      </c>
      <c r="AH258" s="177">
        <f t="shared" si="399"/>
        <v>0.66332495807107994</v>
      </c>
      <c r="AI258" s="177">
        <f t="shared" si="400"/>
        <v>0.66332495807107994</v>
      </c>
      <c r="AJ258" s="177">
        <f t="shared" si="401"/>
        <v>1.5802407096822813</v>
      </c>
      <c r="AL258" s="555">
        <f t="shared" si="402"/>
        <v>42</v>
      </c>
      <c r="AM258" s="469">
        <f t="shared" si="403"/>
        <v>350</v>
      </c>
      <c r="AO258">
        <f t="shared" si="381"/>
        <v>42</v>
      </c>
      <c r="AP258">
        <f t="shared" si="382"/>
        <v>350</v>
      </c>
      <c r="AR258" s="5">
        <f t="shared" si="343"/>
        <v>2.8571428571428572</v>
      </c>
      <c r="AS258" s="5">
        <f t="shared" si="385"/>
        <v>0.71070531221901423</v>
      </c>
      <c r="AT258" s="5">
        <f t="shared" si="386"/>
        <v>2.1464375449238431</v>
      </c>
      <c r="AU258" s="177">
        <f t="shared" si="387"/>
        <v>0.24874685927665496</v>
      </c>
      <c r="CI258" s="571">
        <f t="shared" si="404"/>
        <v>-50</v>
      </c>
    </row>
    <row r="259" spans="5:87" x14ac:dyDescent="0.25">
      <c r="E259" s="174">
        <v>43</v>
      </c>
      <c r="F259" s="221">
        <f t="shared" si="405"/>
        <v>4.3000000000000003E-2</v>
      </c>
      <c r="G259" s="221">
        <f t="shared" si="388"/>
        <v>0.215</v>
      </c>
      <c r="H259" s="221">
        <f t="shared" si="389"/>
        <v>0.64500000000000002</v>
      </c>
      <c r="I259" s="221">
        <f t="shared" si="390"/>
        <v>1.72</v>
      </c>
      <c r="J259" s="551">
        <f t="shared" si="356"/>
        <v>28</v>
      </c>
      <c r="K259" s="451">
        <f t="shared" si="357"/>
        <v>695386.58000000007</v>
      </c>
      <c r="L259" s="451">
        <f t="shared" si="358"/>
        <v>695414.58000000007</v>
      </c>
      <c r="M259" s="451"/>
      <c r="N259" s="221">
        <f t="shared" si="359"/>
        <v>0.99995973624826795</v>
      </c>
      <c r="O259" s="176">
        <f t="shared" si="391"/>
        <v>2.577168956603491</v>
      </c>
      <c r="P259" s="176">
        <f t="shared" si="392"/>
        <v>6.8724505509426423</v>
      </c>
      <c r="Q259" s="221">
        <f t="shared" si="362"/>
        <v>0.17181126377356606</v>
      </c>
      <c r="R259" s="221">
        <f t="shared" si="393"/>
        <v>0.32214611957543637</v>
      </c>
      <c r="S259" s="221">
        <f t="shared" si="394"/>
        <v>15</v>
      </c>
      <c r="T259" s="221">
        <f t="shared" si="395"/>
        <v>0.18770597044500534</v>
      </c>
      <c r="U259" s="221">
        <f t="shared" si="366"/>
        <v>0.20111353976250573</v>
      </c>
      <c r="V259" s="221">
        <f t="shared" si="367"/>
        <v>8.0979116872663255E-6</v>
      </c>
      <c r="W259" s="201">
        <f t="shared" si="368"/>
        <v>350</v>
      </c>
      <c r="X259" s="451">
        <f t="shared" si="369"/>
        <v>350</v>
      </c>
      <c r="Z259" s="221">
        <f t="shared" si="370"/>
        <v>2.6665592966620477</v>
      </c>
      <c r="AA259" s="177">
        <f t="shared" si="371"/>
        <v>1.1503929066313219E-4</v>
      </c>
      <c r="AB259" s="177">
        <f t="shared" si="396"/>
        <v>0.66892235755096752</v>
      </c>
      <c r="AC259" s="177"/>
      <c r="AD259" s="177">
        <f t="shared" si="373"/>
        <v>6.4712206554230591E-6</v>
      </c>
      <c r="AE259" s="555">
        <f t="shared" si="397"/>
        <v>7110.1827160493849</v>
      </c>
      <c r="AF259" s="538">
        <f t="shared" si="398"/>
        <v>2.1166825946720815E-3</v>
      </c>
      <c r="AH259" s="177">
        <f t="shared" si="399"/>
        <v>0.67117523082738273</v>
      </c>
      <c r="AI259" s="177">
        <f t="shared" si="400"/>
        <v>0.67117523082738273</v>
      </c>
      <c r="AJ259" s="177">
        <f t="shared" si="401"/>
        <v>1.586055726538802</v>
      </c>
      <c r="AL259" s="555">
        <f t="shared" si="402"/>
        <v>43</v>
      </c>
      <c r="AM259" s="469">
        <f t="shared" si="403"/>
        <v>350</v>
      </c>
      <c r="AO259">
        <f t="shared" si="381"/>
        <v>43</v>
      </c>
      <c r="AP259">
        <f t="shared" si="382"/>
        <v>350</v>
      </c>
      <c r="AR259" s="5">
        <f t="shared" si="343"/>
        <v>2.8571428571428572</v>
      </c>
      <c r="AS259" s="5">
        <f t="shared" si="385"/>
        <v>0.71911631874362436</v>
      </c>
      <c r="AT259" s="5">
        <f t="shared" si="386"/>
        <v>2.1380265383992327</v>
      </c>
      <c r="AU259" s="177">
        <f t="shared" si="387"/>
        <v>0.25169071156026851</v>
      </c>
      <c r="CI259" s="571">
        <f t="shared" si="404"/>
        <v>-50</v>
      </c>
    </row>
    <row r="260" spans="5:87" x14ac:dyDescent="0.25">
      <c r="E260" s="174">
        <v>44</v>
      </c>
      <c r="F260" s="221">
        <f t="shared" si="405"/>
        <v>4.4000000000000004E-2</v>
      </c>
      <c r="G260" s="221">
        <f t="shared" si="388"/>
        <v>0.22</v>
      </c>
      <c r="H260" s="221">
        <f t="shared" si="389"/>
        <v>0.66</v>
      </c>
      <c r="I260" s="221">
        <f t="shared" si="390"/>
        <v>1.76</v>
      </c>
      <c r="J260" s="551">
        <f t="shared" si="356"/>
        <v>28</v>
      </c>
      <c r="K260" s="451">
        <f t="shared" si="357"/>
        <v>695386.58000000007</v>
      </c>
      <c r="L260" s="451">
        <f t="shared" si="358"/>
        <v>695414.58000000007</v>
      </c>
      <c r="M260" s="451"/>
      <c r="N260" s="221">
        <f t="shared" si="359"/>
        <v>0.99995973624826795</v>
      </c>
      <c r="O260" s="176">
        <f t="shared" si="391"/>
        <v>2.577168956603491</v>
      </c>
      <c r="P260" s="176">
        <f t="shared" si="392"/>
        <v>6.8724505509426423</v>
      </c>
      <c r="Q260" s="221">
        <f t="shared" si="362"/>
        <v>0.17181126377356606</v>
      </c>
      <c r="R260" s="221">
        <f t="shared" si="393"/>
        <v>0.32214611957543637</v>
      </c>
      <c r="S260" s="221">
        <f t="shared" si="394"/>
        <v>15</v>
      </c>
      <c r="T260" s="221">
        <f t="shared" si="395"/>
        <v>0.19207122557163336</v>
      </c>
      <c r="U260" s="221">
        <f t="shared" si="366"/>
        <v>0.20579059882675005</v>
      </c>
      <c r="V260" s="221">
        <f t="shared" si="367"/>
        <v>8.2862352148771708E-6</v>
      </c>
      <c r="W260" s="201">
        <f t="shared" si="368"/>
        <v>350</v>
      </c>
      <c r="X260" s="451">
        <f t="shared" si="369"/>
        <v>350</v>
      </c>
      <c r="Z260" s="221">
        <f t="shared" si="370"/>
        <v>2.6665592966620477</v>
      </c>
      <c r="AA260" s="177">
        <f t="shared" si="371"/>
        <v>1.1503929066313219E-4</v>
      </c>
      <c r="AB260" s="177">
        <f t="shared" si="396"/>
        <v>0.66892235755096752</v>
      </c>
      <c r="AC260" s="177"/>
      <c r="AD260" s="177">
        <f t="shared" si="373"/>
        <v>6.4712206554230591E-6</v>
      </c>
      <c r="AE260" s="555">
        <f t="shared" si="397"/>
        <v>7275.5358024691377</v>
      </c>
      <c r="AF260" s="538">
        <f t="shared" si="398"/>
        <v>2.1166825946720815E-3</v>
      </c>
      <c r="AH260" s="177">
        <f t="shared" si="399"/>
        <v>0.6789347398332044</v>
      </c>
      <c r="AI260" s="177">
        <f t="shared" si="400"/>
        <v>0.6789347398332044</v>
      </c>
      <c r="AJ260" s="177">
        <f t="shared" si="401"/>
        <v>1.5918035109875588</v>
      </c>
      <c r="AL260" s="555">
        <f t="shared" si="402"/>
        <v>44.000000000000007</v>
      </c>
      <c r="AM260" s="469">
        <f t="shared" si="403"/>
        <v>350</v>
      </c>
      <c r="AO260">
        <f t="shared" si="381"/>
        <v>44.000000000000007</v>
      </c>
      <c r="AP260">
        <f t="shared" si="382"/>
        <v>350</v>
      </c>
      <c r="AR260" s="5">
        <f t="shared" si="343"/>
        <v>2.8571428571428572</v>
      </c>
      <c r="AS260" s="5">
        <f t="shared" si="385"/>
        <v>0.727430078392719</v>
      </c>
      <c r="AT260" s="5">
        <f t="shared" si="386"/>
        <v>2.1297127787501382</v>
      </c>
      <c r="AU260" s="177">
        <f t="shared" si="387"/>
        <v>0.25460052743745165</v>
      </c>
      <c r="CI260" s="571">
        <f t="shared" si="404"/>
        <v>-50</v>
      </c>
    </row>
    <row r="261" spans="5:87" x14ac:dyDescent="0.25">
      <c r="E261" s="174">
        <v>45</v>
      </c>
      <c r="F261" s="221">
        <f t="shared" si="405"/>
        <v>4.5000000000000005E-2</v>
      </c>
      <c r="G261" s="221">
        <f t="shared" si="388"/>
        <v>0.22500000000000001</v>
      </c>
      <c r="H261" s="221">
        <f t="shared" si="389"/>
        <v>0.67500000000000004</v>
      </c>
      <c r="I261" s="221">
        <f t="shared" si="390"/>
        <v>1.8</v>
      </c>
      <c r="J261" s="551">
        <f t="shared" si="356"/>
        <v>28</v>
      </c>
      <c r="K261" s="451">
        <f t="shared" si="357"/>
        <v>695386.58000000007</v>
      </c>
      <c r="L261" s="451">
        <f t="shared" si="358"/>
        <v>695414.58000000007</v>
      </c>
      <c r="M261" s="451"/>
      <c r="N261" s="221">
        <f t="shared" si="359"/>
        <v>0.99995973624826795</v>
      </c>
      <c r="O261" s="176">
        <f t="shared" si="391"/>
        <v>2.577168956603491</v>
      </c>
      <c r="P261" s="176">
        <f t="shared" si="392"/>
        <v>6.8724505509426423</v>
      </c>
      <c r="Q261" s="221">
        <f t="shared" si="362"/>
        <v>0.17181126377356606</v>
      </c>
      <c r="R261" s="221">
        <f t="shared" si="393"/>
        <v>0.32214611957543637</v>
      </c>
      <c r="S261" s="221">
        <f t="shared" si="394"/>
        <v>15</v>
      </c>
      <c r="T261" s="221">
        <f t="shared" si="395"/>
        <v>0.19643648069826139</v>
      </c>
      <c r="U261" s="221">
        <f t="shared" si="366"/>
        <v>0.21046765789099436</v>
      </c>
      <c r="V261" s="221">
        <f t="shared" si="367"/>
        <v>8.4745587424880144E-6</v>
      </c>
      <c r="W261" s="201">
        <f t="shared" si="368"/>
        <v>350</v>
      </c>
      <c r="X261" s="451">
        <f t="shared" si="369"/>
        <v>350</v>
      </c>
      <c r="Z261" s="221">
        <f t="shared" si="370"/>
        <v>2.6665592966620477</v>
      </c>
      <c r="AA261" s="177">
        <f t="shared" si="371"/>
        <v>1.1503929066313219E-4</v>
      </c>
      <c r="AB261" s="177">
        <f t="shared" si="396"/>
        <v>0.66892235755096752</v>
      </c>
      <c r="AC261" s="177"/>
      <c r="AD261" s="177">
        <f t="shared" si="373"/>
        <v>6.4712206554230591E-6</v>
      </c>
      <c r="AE261" s="555">
        <f t="shared" si="397"/>
        <v>7440.8888888888914</v>
      </c>
      <c r="AF261" s="538">
        <f t="shared" si="398"/>
        <v>2.1166825946720815E-3</v>
      </c>
      <c r="AH261" s="177">
        <f t="shared" si="399"/>
        <v>0.68660656232559514</v>
      </c>
      <c r="AI261" s="177">
        <f t="shared" si="400"/>
        <v>0.68660656232559514</v>
      </c>
      <c r="AJ261" s="177">
        <f t="shared" si="401"/>
        <v>1.5974863424634038</v>
      </c>
      <c r="AL261" s="555">
        <f t="shared" si="402"/>
        <v>45.000000000000007</v>
      </c>
      <c r="AM261" s="469">
        <f t="shared" si="403"/>
        <v>350</v>
      </c>
      <c r="AO261">
        <f t="shared" si="381"/>
        <v>45.000000000000007</v>
      </c>
      <c r="AP261">
        <f t="shared" si="382"/>
        <v>350</v>
      </c>
      <c r="AR261" s="5">
        <f t="shared" si="343"/>
        <v>2.8571428571428572</v>
      </c>
      <c r="AS261" s="5">
        <f t="shared" si="385"/>
        <v>0.73564988820599486</v>
      </c>
      <c r="AT261" s="5">
        <f t="shared" si="386"/>
        <v>2.1214929689368622</v>
      </c>
      <c r="AU261" s="177">
        <f t="shared" si="387"/>
        <v>0.25747746087209822</v>
      </c>
      <c r="CI261" s="571">
        <f t="shared" si="404"/>
        <v>-50</v>
      </c>
    </row>
    <row r="262" spans="5:87" x14ac:dyDescent="0.25">
      <c r="E262" s="174">
        <v>46</v>
      </c>
      <c r="F262" s="221">
        <f t="shared" si="405"/>
        <v>4.6000000000000006E-2</v>
      </c>
      <c r="G262" s="221">
        <f t="shared" si="388"/>
        <v>0.23</v>
      </c>
      <c r="H262" s="221">
        <f t="shared" si="389"/>
        <v>0.69000000000000006</v>
      </c>
      <c r="I262" s="221">
        <f t="shared" si="390"/>
        <v>1.84</v>
      </c>
      <c r="J262" s="551">
        <f t="shared" si="356"/>
        <v>28</v>
      </c>
      <c r="K262" s="451">
        <f t="shared" si="357"/>
        <v>695386.58000000007</v>
      </c>
      <c r="L262" s="451">
        <f t="shared" si="358"/>
        <v>695414.58000000007</v>
      </c>
      <c r="M262" s="451"/>
      <c r="N262" s="221">
        <f t="shared" si="359"/>
        <v>0.99995973624826795</v>
      </c>
      <c r="O262" s="176">
        <f t="shared" si="391"/>
        <v>2.577168956603491</v>
      </c>
      <c r="P262" s="176">
        <f t="shared" si="392"/>
        <v>6.8724505509426423</v>
      </c>
      <c r="Q262" s="221">
        <f t="shared" si="362"/>
        <v>0.17181126377356606</v>
      </c>
      <c r="R262" s="221">
        <f t="shared" si="393"/>
        <v>0.32214611957543637</v>
      </c>
      <c r="S262" s="221">
        <f t="shared" si="394"/>
        <v>15</v>
      </c>
      <c r="T262" s="221">
        <f t="shared" si="395"/>
        <v>0.20080173582488944</v>
      </c>
      <c r="U262" s="221">
        <f t="shared" si="366"/>
        <v>0.21514471695523871</v>
      </c>
      <c r="V262" s="221">
        <f t="shared" si="367"/>
        <v>8.6628822700988614E-6</v>
      </c>
      <c r="W262" s="201">
        <f t="shared" si="368"/>
        <v>350</v>
      </c>
      <c r="X262" s="451">
        <f t="shared" si="369"/>
        <v>350</v>
      </c>
      <c r="Z262" s="221">
        <f t="shared" si="370"/>
        <v>2.6665592966620477</v>
      </c>
      <c r="AA262" s="177">
        <f t="shared" si="371"/>
        <v>1.1503929066313219E-4</v>
      </c>
      <c r="AB262" s="177">
        <f t="shared" si="396"/>
        <v>0.66892235755096752</v>
      </c>
      <c r="AC262" s="177"/>
      <c r="AD262" s="177">
        <f t="shared" si="373"/>
        <v>6.4712206554230591E-6</v>
      </c>
      <c r="AE262" s="555">
        <f t="shared" si="397"/>
        <v>7606.2419753086442</v>
      </c>
      <c r="AF262" s="538">
        <f t="shared" si="398"/>
        <v>2.1166825946720815E-3</v>
      </c>
      <c r="AH262" s="177">
        <f t="shared" si="399"/>
        <v>0.69419360549112086</v>
      </c>
      <c r="AI262" s="177">
        <f t="shared" si="400"/>
        <v>0.69419360549112086</v>
      </c>
      <c r="AJ262" s="177">
        <f t="shared" si="401"/>
        <v>1.6031063744378673</v>
      </c>
      <c r="AL262" s="555">
        <f t="shared" si="402"/>
        <v>46.000000000000007</v>
      </c>
      <c r="AM262" s="469">
        <f t="shared" si="403"/>
        <v>350</v>
      </c>
      <c r="AO262">
        <f t="shared" si="381"/>
        <v>46.000000000000007</v>
      </c>
      <c r="AP262">
        <f t="shared" si="382"/>
        <v>350</v>
      </c>
      <c r="AR262" s="5">
        <f t="shared" si="343"/>
        <v>2.8571428571428572</v>
      </c>
      <c r="AS262" s="5">
        <f t="shared" si="385"/>
        <v>0.74377886302620089</v>
      </c>
      <c r="AT262" s="5">
        <f t="shared" si="386"/>
        <v>2.1133639941166562</v>
      </c>
      <c r="AU262" s="177">
        <f t="shared" si="387"/>
        <v>0.26032260205917029</v>
      </c>
      <c r="CI262" s="571">
        <f t="shared" si="404"/>
        <v>-50</v>
      </c>
    </row>
    <row r="263" spans="5:87" x14ac:dyDescent="0.25">
      <c r="E263" s="174">
        <v>47</v>
      </c>
      <c r="F263" s="221">
        <f t="shared" si="405"/>
        <v>4.7E-2</v>
      </c>
      <c r="G263" s="221">
        <f t="shared" si="388"/>
        <v>0.23499999999999999</v>
      </c>
      <c r="H263" s="221">
        <f t="shared" si="389"/>
        <v>0.70499999999999996</v>
      </c>
      <c r="I263" s="221">
        <f t="shared" si="390"/>
        <v>1.88</v>
      </c>
      <c r="J263" s="551">
        <f t="shared" si="356"/>
        <v>28</v>
      </c>
      <c r="K263" s="451">
        <f t="shared" si="357"/>
        <v>695386.58000000007</v>
      </c>
      <c r="L263" s="451">
        <f t="shared" si="358"/>
        <v>695414.58000000007</v>
      </c>
      <c r="M263" s="451"/>
      <c r="N263" s="221">
        <f t="shared" si="359"/>
        <v>0.99995973624826795</v>
      </c>
      <c r="O263" s="176">
        <f t="shared" si="391"/>
        <v>2.577168956603491</v>
      </c>
      <c r="P263" s="176">
        <f t="shared" si="392"/>
        <v>6.8724505509426423</v>
      </c>
      <c r="Q263" s="221">
        <f t="shared" si="362"/>
        <v>0.17181126377356606</v>
      </c>
      <c r="R263" s="221">
        <f t="shared" si="393"/>
        <v>0.32214611957543637</v>
      </c>
      <c r="S263" s="221">
        <f t="shared" si="394"/>
        <v>15</v>
      </c>
      <c r="T263" s="221">
        <f t="shared" si="395"/>
        <v>0.20516699095151744</v>
      </c>
      <c r="U263" s="221">
        <f t="shared" si="366"/>
        <v>0.21982177601948297</v>
      </c>
      <c r="V263" s="221">
        <f t="shared" si="367"/>
        <v>8.8512057977097033E-6</v>
      </c>
      <c r="W263" s="201">
        <f t="shared" si="368"/>
        <v>350</v>
      </c>
      <c r="X263" s="451">
        <f t="shared" si="369"/>
        <v>350</v>
      </c>
      <c r="Z263" s="221">
        <f t="shared" si="370"/>
        <v>2.6665592966620477</v>
      </c>
      <c r="AA263" s="177">
        <f t="shared" si="371"/>
        <v>1.1503929066313219E-4</v>
      </c>
      <c r="AB263" s="177">
        <f t="shared" si="396"/>
        <v>0.66892235755096752</v>
      </c>
      <c r="AC263" s="177"/>
      <c r="AD263" s="177">
        <f t="shared" si="373"/>
        <v>6.4712206554230591E-6</v>
      </c>
      <c r="AE263" s="555">
        <f t="shared" si="397"/>
        <v>7771.595061728397</v>
      </c>
      <c r="AF263" s="538">
        <f t="shared" si="398"/>
        <v>2.1166825946720815E-3</v>
      </c>
      <c r="AH263" s="177">
        <f t="shared" si="399"/>
        <v>0.7016986193380691</v>
      </c>
      <c r="AI263" s="177">
        <f t="shared" si="400"/>
        <v>0.7016986193380691</v>
      </c>
      <c r="AJ263" s="177">
        <f t="shared" si="401"/>
        <v>1.6086656439541251</v>
      </c>
      <c r="AL263" s="555">
        <f t="shared" si="402"/>
        <v>47</v>
      </c>
      <c r="AM263" s="469">
        <f t="shared" si="403"/>
        <v>350</v>
      </c>
      <c r="AO263">
        <f t="shared" si="381"/>
        <v>47</v>
      </c>
      <c r="AP263">
        <f t="shared" si="382"/>
        <v>350</v>
      </c>
      <c r="AR263" s="5">
        <f t="shared" ref="AR263:AR316" si="406">1/AM263*1000</f>
        <v>2.8571428571428572</v>
      </c>
      <c r="AS263" s="5">
        <f t="shared" si="385"/>
        <v>0.75181994929078833</v>
      </c>
      <c r="AT263" s="5">
        <f t="shared" si="386"/>
        <v>2.1053229078520688</v>
      </c>
      <c r="AU263" s="177">
        <f t="shared" si="387"/>
        <v>0.2631369822517759</v>
      </c>
      <c r="CI263" s="571">
        <f t="shared" si="404"/>
        <v>-50</v>
      </c>
    </row>
    <row r="264" spans="5:87" x14ac:dyDescent="0.25">
      <c r="E264" s="174">
        <v>48</v>
      </c>
      <c r="F264" s="221">
        <f t="shared" si="405"/>
        <v>4.8000000000000001E-2</v>
      </c>
      <c r="G264" s="221">
        <f t="shared" si="388"/>
        <v>0.24</v>
      </c>
      <c r="H264" s="221">
        <f t="shared" si="389"/>
        <v>0.72</v>
      </c>
      <c r="I264" s="221">
        <f t="shared" si="390"/>
        <v>1.92</v>
      </c>
      <c r="J264" s="551">
        <f t="shared" si="356"/>
        <v>28</v>
      </c>
      <c r="K264" s="451">
        <f t="shared" si="357"/>
        <v>695386.58000000007</v>
      </c>
      <c r="L264" s="451">
        <f t="shared" si="358"/>
        <v>695414.58000000007</v>
      </c>
      <c r="M264" s="451"/>
      <c r="N264" s="221">
        <f t="shared" si="359"/>
        <v>0.99995973624826795</v>
      </c>
      <c r="O264" s="176">
        <f t="shared" si="391"/>
        <v>2.577168956603491</v>
      </c>
      <c r="P264" s="176">
        <f t="shared" si="392"/>
        <v>6.8724505509426423</v>
      </c>
      <c r="Q264" s="221">
        <f t="shared" si="362"/>
        <v>0.17181126377356606</v>
      </c>
      <c r="R264" s="221">
        <f t="shared" si="393"/>
        <v>0.32214611957543637</v>
      </c>
      <c r="S264" s="221">
        <f t="shared" si="394"/>
        <v>15</v>
      </c>
      <c r="T264" s="221">
        <f t="shared" si="395"/>
        <v>0.20953224607814547</v>
      </c>
      <c r="U264" s="221">
        <f t="shared" si="366"/>
        <v>0.22449883508372728</v>
      </c>
      <c r="V264" s="221">
        <f t="shared" si="367"/>
        <v>9.0395293253205486E-6</v>
      </c>
      <c r="W264" s="201">
        <f t="shared" si="368"/>
        <v>350</v>
      </c>
      <c r="X264" s="451">
        <f t="shared" si="369"/>
        <v>350</v>
      </c>
      <c r="Z264" s="221">
        <f t="shared" si="370"/>
        <v>2.6665592966620477</v>
      </c>
      <c r="AA264" s="177">
        <f t="shared" si="371"/>
        <v>1.1503929066313219E-4</v>
      </c>
      <c r="AB264" s="177">
        <f t="shared" si="396"/>
        <v>0.66892235755096752</v>
      </c>
      <c r="AC264" s="177"/>
      <c r="AD264" s="177">
        <f t="shared" si="373"/>
        <v>6.4712206554230591E-6</v>
      </c>
      <c r="AE264" s="555">
        <f t="shared" si="397"/>
        <v>7936.9481481481516</v>
      </c>
      <c r="AF264" s="538">
        <f t="shared" si="398"/>
        <v>2.1166825946720815E-3</v>
      </c>
      <c r="AH264" s="177">
        <f t="shared" si="399"/>
        <v>0.70912420834233458</v>
      </c>
      <c r="AI264" s="177">
        <f t="shared" si="400"/>
        <v>0.70912420834233458</v>
      </c>
      <c r="AJ264" s="177">
        <f t="shared" si="401"/>
        <v>1.6141660802535811</v>
      </c>
      <c r="AL264" s="555">
        <f t="shared" si="402"/>
        <v>48</v>
      </c>
      <c r="AM264" s="469">
        <f t="shared" si="403"/>
        <v>350</v>
      </c>
      <c r="AO264">
        <f t="shared" si="381"/>
        <v>48</v>
      </c>
      <c r="AP264">
        <f t="shared" si="382"/>
        <v>350</v>
      </c>
      <c r="AR264" s="5">
        <f t="shared" si="406"/>
        <v>2.8571428571428572</v>
      </c>
      <c r="AS264" s="5">
        <f t="shared" si="385"/>
        <v>0.75977593750964412</v>
      </c>
      <c r="AT264" s="5">
        <f t="shared" si="386"/>
        <v>2.0973669196332132</v>
      </c>
      <c r="AU264" s="177">
        <f t="shared" si="387"/>
        <v>0.26592157812837541</v>
      </c>
      <c r="CI264" s="571">
        <f t="shared" si="404"/>
        <v>-50</v>
      </c>
    </row>
    <row r="265" spans="5:87" x14ac:dyDescent="0.25">
      <c r="E265" s="174">
        <v>49</v>
      </c>
      <c r="F265" s="221">
        <f t="shared" si="405"/>
        <v>4.9000000000000002E-2</v>
      </c>
      <c r="G265" s="221">
        <f t="shared" si="388"/>
        <v>0.245</v>
      </c>
      <c r="H265" s="221">
        <f t="shared" si="389"/>
        <v>0.73499999999999999</v>
      </c>
      <c r="I265" s="221">
        <f t="shared" si="390"/>
        <v>1.96</v>
      </c>
      <c r="J265" s="551">
        <f t="shared" si="356"/>
        <v>28</v>
      </c>
      <c r="K265" s="451">
        <f t="shared" si="357"/>
        <v>695386.58000000007</v>
      </c>
      <c r="L265" s="451">
        <f t="shared" si="358"/>
        <v>695414.58000000007</v>
      </c>
      <c r="M265" s="451"/>
      <c r="N265" s="221">
        <f t="shared" si="359"/>
        <v>0.99995973624826795</v>
      </c>
      <c r="O265" s="176">
        <f t="shared" si="391"/>
        <v>2.577168956603491</v>
      </c>
      <c r="P265" s="176">
        <f t="shared" si="392"/>
        <v>6.8724505509426423</v>
      </c>
      <c r="Q265" s="221">
        <f t="shared" si="362"/>
        <v>0.17181126377356606</v>
      </c>
      <c r="R265" s="221">
        <f t="shared" si="393"/>
        <v>0.32214611957543637</v>
      </c>
      <c r="S265" s="221">
        <f t="shared" si="394"/>
        <v>15</v>
      </c>
      <c r="T265" s="221">
        <f t="shared" si="395"/>
        <v>0.21389750120477349</v>
      </c>
      <c r="U265" s="221">
        <f t="shared" si="366"/>
        <v>0.2291758941479716</v>
      </c>
      <c r="V265" s="221">
        <f t="shared" si="367"/>
        <v>9.2278528529313922E-6</v>
      </c>
      <c r="W265" s="201">
        <f t="shared" si="368"/>
        <v>350</v>
      </c>
      <c r="X265" s="451">
        <f t="shared" si="369"/>
        <v>350</v>
      </c>
      <c r="Z265" s="221">
        <f t="shared" si="370"/>
        <v>2.6665592966620477</v>
      </c>
      <c r="AA265" s="177">
        <f t="shared" si="371"/>
        <v>1.1503929066313219E-4</v>
      </c>
      <c r="AB265" s="177">
        <f t="shared" si="396"/>
        <v>0.66892235755096752</v>
      </c>
      <c r="AC265" s="177"/>
      <c r="AD265" s="177">
        <f t="shared" si="373"/>
        <v>6.4712206554230591E-6</v>
      </c>
      <c r="AE265" s="555">
        <f t="shared" si="397"/>
        <v>8102.3012345679026</v>
      </c>
      <c r="AF265" s="538">
        <f t="shared" si="398"/>
        <v>2.1166825946720815E-3</v>
      </c>
      <c r="AH265" s="177">
        <f t="shared" si="399"/>
        <v>0.7164728420068226</v>
      </c>
      <c r="AI265" s="177">
        <f t="shared" si="400"/>
        <v>0.7164728420068226</v>
      </c>
      <c r="AJ265" s="177">
        <f t="shared" si="401"/>
        <v>1.6196095125976464</v>
      </c>
      <c r="AL265" s="555">
        <f t="shared" si="402"/>
        <v>49</v>
      </c>
      <c r="AM265" s="469">
        <f t="shared" si="403"/>
        <v>350</v>
      </c>
      <c r="AO265">
        <f t="shared" si="381"/>
        <v>49</v>
      </c>
      <c r="AP265">
        <f t="shared" si="382"/>
        <v>350</v>
      </c>
      <c r="AR265" s="5">
        <f t="shared" si="406"/>
        <v>2.8571428571428572</v>
      </c>
      <c r="AS265" s="5">
        <f t="shared" si="385"/>
        <v>0.76764947357873858</v>
      </c>
      <c r="AT265" s="5">
        <f t="shared" si="386"/>
        <v>2.0894933835641187</v>
      </c>
      <c r="AU265" s="177">
        <f t="shared" si="387"/>
        <v>0.26867731575255849</v>
      </c>
      <c r="CI265" s="571">
        <f t="shared" si="404"/>
        <v>-50</v>
      </c>
    </row>
    <row r="266" spans="5:87" x14ac:dyDescent="0.25">
      <c r="E266" s="174">
        <v>50</v>
      </c>
      <c r="F266" s="221">
        <f t="shared" si="405"/>
        <v>0.05</v>
      </c>
      <c r="G266" s="221">
        <f t="shared" si="388"/>
        <v>0.25</v>
      </c>
      <c r="H266" s="221">
        <f t="shared" si="389"/>
        <v>0.75</v>
      </c>
      <c r="I266" s="221">
        <f t="shared" si="390"/>
        <v>2</v>
      </c>
      <c r="J266" s="551">
        <f t="shared" si="356"/>
        <v>28</v>
      </c>
      <c r="K266" s="451">
        <f t="shared" si="357"/>
        <v>695386.58000000007</v>
      </c>
      <c r="L266" s="451">
        <f t="shared" si="358"/>
        <v>695414.58000000007</v>
      </c>
      <c r="M266" s="451"/>
      <c r="N266" s="221">
        <f t="shared" si="359"/>
        <v>0.99995973624826795</v>
      </c>
      <c r="O266" s="176">
        <f t="shared" si="391"/>
        <v>2.577168956603491</v>
      </c>
      <c r="P266" s="176">
        <f t="shared" si="392"/>
        <v>6.8724505509426423</v>
      </c>
      <c r="Q266" s="221">
        <f t="shared" si="362"/>
        <v>0.17181126377356606</v>
      </c>
      <c r="R266" s="221">
        <f t="shared" si="393"/>
        <v>0.32214611957543637</v>
      </c>
      <c r="S266" s="221">
        <f t="shared" si="394"/>
        <v>15</v>
      </c>
      <c r="T266" s="221">
        <f t="shared" si="395"/>
        <v>0.21826275633140155</v>
      </c>
      <c r="U266" s="221">
        <f t="shared" si="366"/>
        <v>0.23385295321221597</v>
      </c>
      <c r="V266" s="221">
        <f t="shared" si="367"/>
        <v>9.4161763805422392E-6</v>
      </c>
      <c r="W266" s="201">
        <f t="shared" si="368"/>
        <v>350</v>
      </c>
      <c r="X266" s="451">
        <f t="shared" si="369"/>
        <v>350</v>
      </c>
      <c r="Z266" s="221">
        <f t="shared" si="370"/>
        <v>2.6665592966620477</v>
      </c>
      <c r="AA266" s="177">
        <f t="shared" si="371"/>
        <v>1.1503929066313219E-4</v>
      </c>
      <c r="AB266" s="177">
        <f t="shared" si="396"/>
        <v>0.66892235755096752</v>
      </c>
      <c r="AC266" s="177"/>
      <c r="AD266" s="177">
        <f t="shared" si="373"/>
        <v>6.4712206554230591E-6</v>
      </c>
      <c r="AE266" s="555">
        <f t="shared" si="397"/>
        <v>8267.6543209876563</v>
      </c>
      <c r="AF266" s="538">
        <f t="shared" si="398"/>
        <v>2.1166825946720815E-3</v>
      </c>
      <c r="AH266" s="177">
        <f t="shared" si="399"/>
        <v>0.72374686445574588</v>
      </c>
      <c r="AI266" s="177">
        <f t="shared" si="400"/>
        <v>0.72374686445574588</v>
      </c>
      <c r="AJ266" s="177">
        <f t="shared" si="401"/>
        <v>1.6249976773746266</v>
      </c>
      <c r="AL266" s="555">
        <f t="shared" si="402"/>
        <v>50</v>
      </c>
      <c r="AM266" s="469">
        <f t="shared" si="403"/>
        <v>350</v>
      </c>
      <c r="AO266">
        <f t="shared" si="381"/>
        <v>50</v>
      </c>
      <c r="AP266">
        <f t="shared" si="382"/>
        <v>350</v>
      </c>
      <c r="AR266" s="5">
        <f t="shared" si="406"/>
        <v>2.8571428571428572</v>
      </c>
      <c r="AS266" s="5">
        <f t="shared" si="385"/>
        <v>0.77544306905972771</v>
      </c>
      <c r="AT266" s="5">
        <f t="shared" si="386"/>
        <v>2.0816997880831294</v>
      </c>
      <c r="AU266" s="177">
        <f t="shared" si="387"/>
        <v>0.2714050741709047</v>
      </c>
      <c r="CI266" s="571">
        <f t="shared" si="404"/>
        <v>-50</v>
      </c>
    </row>
    <row r="267" spans="5:87" x14ac:dyDescent="0.25">
      <c r="E267" s="174">
        <v>51</v>
      </c>
      <c r="F267" s="221">
        <f t="shared" si="405"/>
        <v>5.1000000000000004E-2</v>
      </c>
      <c r="G267" s="221">
        <f t="shared" si="388"/>
        <v>0.255</v>
      </c>
      <c r="H267" s="221">
        <f t="shared" si="389"/>
        <v>0.76500000000000001</v>
      </c>
      <c r="I267" s="221">
        <f t="shared" si="390"/>
        <v>2.04</v>
      </c>
      <c r="J267" s="551">
        <f t="shared" si="356"/>
        <v>28</v>
      </c>
      <c r="K267" s="451">
        <f t="shared" si="357"/>
        <v>695386.58000000007</v>
      </c>
      <c r="L267" s="451">
        <f t="shared" si="358"/>
        <v>695414.58000000007</v>
      </c>
      <c r="M267" s="451"/>
      <c r="N267" s="221">
        <f t="shared" si="359"/>
        <v>0.99995973624826795</v>
      </c>
      <c r="O267" s="176">
        <f t="shared" si="391"/>
        <v>2.577168956603491</v>
      </c>
      <c r="P267" s="176">
        <f t="shared" si="392"/>
        <v>6.8724505509426423</v>
      </c>
      <c r="Q267" s="221">
        <f t="shared" si="362"/>
        <v>0.17181126377356606</v>
      </c>
      <c r="R267" s="221">
        <f t="shared" si="393"/>
        <v>0.32214611957543637</v>
      </c>
      <c r="S267" s="221">
        <f t="shared" si="394"/>
        <v>15</v>
      </c>
      <c r="T267" s="221">
        <f t="shared" si="395"/>
        <v>0.2226280114580296</v>
      </c>
      <c r="U267" s="221">
        <f t="shared" si="366"/>
        <v>0.23853001227646034</v>
      </c>
      <c r="V267" s="221">
        <f t="shared" si="367"/>
        <v>9.6044999081530862E-6</v>
      </c>
      <c r="W267" s="201">
        <f t="shared" si="368"/>
        <v>350</v>
      </c>
      <c r="X267" s="451">
        <f t="shared" si="369"/>
        <v>350</v>
      </c>
      <c r="Z267" s="221">
        <f t="shared" si="370"/>
        <v>2.6665592966620477</v>
      </c>
      <c r="AA267" s="177">
        <f t="shared" si="371"/>
        <v>1.1503929066313219E-4</v>
      </c>
      <c r="AB267" s="177">
        <f t="shared" si="396"/>
        <v>0.66892235755096752</v>
      </c>
      <c r="AC267" s="177"/>
      <c r="AD267" s="177">
        <f t="shared" si="373"/>
        <v>6.4712206554230591E-6</v>
      </c>
      <c r="AE267" s="555">
        <f t="shared" si="397"/>
        <v>8433.0074074074109</v>
      </c>
      <c r="AF267" s="538">
        <f t="shared" si="398"/>
        <v>2.1166825946720815E-3</v>
      </c>
      <c r="AH267" s="177">
        <f t="shared" si="399"/>
        <v>0.73094850316948756</v>
      </c>
      <c r="AI267" s="177">
        <f t="shared" si="400"/>
        <v>0.73094850316948756</v>
      </c>
      <c r="AJ267" s="177">
        <f t="shared" si="401"/>
        <v>1.6303322245699907</v>
      </c>
      <c r="AL267" s="555">
        <f t="shared" si="402"/>
        <v>51.000000000000007</v>
      </c>
      <c r="AM267" s="469">
        <f t="shared" si="403"/>
        <v>350</v>
      </c>
      <c r="AO267">
        <f t="shared" si="381"/>
        <v>51.000000000000007</v>
      </c>
      <c r="AP267">
        <f t="shared" si="382"/>
        <v>350</v>
      </c>
      <c r="AR267" s="5">
        <f t="shared" si="406"/>
        <v>2.8571428571428572</v>
      </c>
      <c r="AS267" s="5">
        <f t="shared" si="385"/>
        <v>0.78315911053873666</v>
      </c>
      <c r="AT267" s="5">
        <f t="shared" si="386"/>
        <v>2.0739837466041204</v>
      </c>
      <c r="AU267" s="177">
        <f t="shared" si="387"/>
        <v>0.27410568868855784</v>
      </c>
      <c r="CI267" s="571">
        <f t="shared" si="404"/>
        <v>-50</v>
      </c>
    </row>
    <row r="268" spans="5:87" x14ac:dyDescent="0.25">
      <c r="E268" s="174">
        <v>52</v>
      </c>
      <c r="F268" s="221">
        <f t="shared" si="405"/>
        <v>5.2000000000000005E-2</v>
      </c>
      <c r="G268" s="221">
        <f t="shared" si="388"/>
        <v>0.26</v>
      </c>
      <c r="H268" s="221">
        <f t="shared" si="389"/>
        <v>0.78</v>
      </c>
      <c r="I268" s="221">
        <f t="shared" si="390"/>
        <v>2.08</v>
      </c>
      <c r="J268" s="551">
        <f t="shared" si="356"/>
        <v>28</v>
      </c>
      <c r="K268" s="451">
        <f t="shared" si="357"/>
        <v>695386.58000000007</v>
      </c>
      <c r="L268" s="451">
        <f t="shared" si="358"/>
        <v>695414.58000000007</v>
      </c>
      <c r="M268" s="451"/>
      <c r="N268" s="221">
        <f t="shared" si="359"/>
        <v>0.99995973624826795</v>
      </c>
      <c r="O268" s="176">
        <f t="shared" si="391"/>
        <v>2.577168956603491</v>
      </c>
      <c r="P268" s="176">
        <f t="shared" si="392"/>
        <v>6.8724505509426423</v>
      </c>
      <c r="Q268" s="221">
        <f t="shared" si="362"/>
        <v>0.17181126377356606</v>
      </c>
      <c r="R268" s="221">
        <f t="shared" si="393"/>
        <v>0.32214611957543637</v>
      </c>
      <c r="S268" s="221">
        <f t="shared" si="394"/>
        <v>15</v>
      </c>
      <c r="T268" s="221">
        <f t="shared" si="395"/>
        <v>0.22699326658465763</v>
      </c>
      <c r="U268" s="221">
        <f t="shared" si="366"/>
        <v>0.24320707134070463</v>
      </c>
      <c r="V268" s="221">
        <f t="shared" si="367"/>
        <v>9.7928234357639298E-6</v>
      </c>
      <c r="W268" s="201">
        <f t="shared" si="368"/>
        <v>350</v>
      </c>
      <c r="X268" s="451">
        <f t="shared" si="369"/>
        <v>350</v>
      </c>
      <c r="Z268" s="221">
        <f t="shared" si="370"/>
        <v>2.6665592966620477</v>
      </c>
      <c r="AA268" s="177">
        <f t="shared" si="371"/>
        <v>1.1503929066313219E-4</v>
      </c>
      <c r="AB268" s="177">
        <f t="shared" si="396"/>
        <v>0.66892235755096752</v>
      </c>
      <c r="AC268" s="177"/>
      <c r="AD268" s="177">
        <f t="shared" si="373"/>
        <v>6.4712206554230591E-6</v>
      </c>
      <c r="AE268" s="555">
        <f t="shared" si="397"/>
        <v>8598.3604938271637</v>
      </c>
      <c r="AF268" s="538">
        <f t="shared" si="398"/>
        <v>2.1166825946720815E-3</v>
      </c>
      <c r="AH268" s="177">
        <f t="shared" si="399"/>
        <v>0.73807987695228816</v>
      </c>
      <c r="AI268" s="177">
        <f t="shared" si="400"/>
        <v>0.73807987695228816</v>
      </c>
      <c r="AJ268" s="177">
        <f t="shared" si="401"/>
        <v>1.6356147236683616</v>
      </c>
      <c r="AL268" s="555">
        <f t="shared" si="402"/>
        <v>52.000000000000007</v>
      </c>
      <c r="AM268" s="469">
        <f t="shared" si="403"/>
        <v>350</v>
      </c>
      <c r="AO268">
        <f t="shared" si="381"/>
        <v>52.000000000000007</v>
      </c>
      <c r="AP268">
        <f t="shared" si="382"/>
        <v>350</v>
      </c>
      <c r="AR268" s="5">
        <f t="shared" si="406"/>
        <v>2.8571428571428572</v>
      </c>
      <c r="AS268" s="5">
        <f t="shared" si="385"/>
        <v>0.79079986816316594</v>
      </c>
      <c r="AT268" s="5">
        <f t="shared" si="386"/>
        <v>2.0663429889796912</v>
      </c>
      <c r="AU268" s="177">
        <f t="shared" si="387"/>
        <v>0.27677995385710807</v>
      </c>
      <c r="CI268" s="571">
        <f t="shared" si="404"/>
        <v>-50</v>
      </c>
    </row>
    <row r="269" spans="5:87" x14ac:dyDescent="0.25">
      <c r="E269" s="174">
        <v>53</v>
      </c>
      <c r="F269" s="221">
        <f t="shared" si="405"/>
        <v>5.3000000000000005E-2</v>
      </c>
      <c r="G269" s="221">
        <f t="shared" si="388"/>
        <v>0.26500000000000001</v>
      </c>
      <c r="H269" s="221">
        <f t="shared" si="389"/>
        <v>0.79500000000000004</v>
      </c>
      <c r="I269" s="221">
        <f t="shared" si="390"/>
        <v>2.12</v>
      </c>
      <c r="J269" s="551">
        <f t="shared" si="356"/>
        <v>28</v>
      </c>
      <c r="K269" s="451">
        <f t="shared" si="357"/>
        <v>695386.58000000007</v>
      </c>
      <c r="L269" s="451">
        <f t="shared" si="358"/>
        <v>695414.58000000007</v>
      </c>
      <c r="M269" s="451"/>
      <c r="N269" s="221">
        <f t="shared" si="359"/>
        <v>0.99995973624826795</v>
      </c>
      <c r="O269" s="176">
        <f t="shared" si="391"/>
        <v>2.577168956603491</v>
      </c>
      <c r="P269" s="176">
        <f t="shared" si="392"/>
        <v>6.8724505509426423</v>
      </c>
      <c r="Q269" s="221">
        <f t="shared" si="362"/>
        <v>0.17181126377356606</v>
      </c>
      <c r="R269" s="221">
        <f t="shared" si="393"/>
        <v>0.32214611957543637</v>
      </c>
      <c r="S269" s="221">
        <f t="shared" si="394"/>
        <v>15</v>
      </c>
      <c r="T269" s="221">
        <f t="shared" si="395"/>
        <v>0.23135852171128565</v>
      </c>
      <c r="U269" s="221">
        <f t="shared" si="366"/>
        <v>0.24788413040494894</v>
      </c>
      <c r="V269" s="221">
        <f t="shared" si="367"/>
        <v>9.9811469633747734E-6</v>
      </c>
      <c r="W269" s="201">
        <f t="shared" si="368"/>
        <v>350</v>
      </c>
      <c r="X269" s="451">
        <f t="shared" si="369"/>
        <v>350</v>
      </c>
      <c r="Z269" s="221">
        <f t="shared" si="370"/>
        <v>2.6665592966620477</v>
      </c>
      <c r="AA269" s="177">
        <f t="shared" si="371"/>
        <v>1.1503929066313219E-4</v>
      </c>
      <c r="AB269" s="177">
        <f t="shared" si="396"/>
        <v>0.66892235755096752</v>
      </c>
      <c r="AC269" s="177"/>
      <c r="AD269" s="177">
        <f t="shared" si="373"/>
        <v>6.4712206554230591E-6</v>
      </c>
      <c r="AE269" s="555">
        <f t="shared" si="397"/>
        <v>8763.7135802469184</v>
      </c>
      <c r="AF269" s="538">
        <f t="shared" si="398"/>
        <v>2.1166825946720815E-3</v>
      </c>
      <c r="AH269" s="177">
        <f t="shared" si="399"/>
        <v>0.74514300321354099</v>
      </c>
      <c r="AI269" s="177">
        <f t="shared" si="400"/>
        <v>0.74514300321354099</v>
      </c>
      <c r="AJ269" s="177">
        <f t="shared" si="401"/>
        <v>1.6408466690470673</v>
      </c>
      <c r="AL269" s="555">
        <f t="shared" si="402"/>
        <v>53.000000000000007</v>
      </c>
      <c r="AM269" s="469">
        <f t="shared" si="403"/>
        <v>350</v>
      </c>
      <c r="AO269">
        <f t="shared" si="381"/>
        <v>53.000000000000007</v>
      </c>
      <c r="AP269">
        <f t="shared" si="382"/>
        <v>350</v>
      </c>
      <c r="AR269" s="5">
        <f t="shared" si="406"/>
        <v>2.8571428571428572</v>
      </c>
      <c r="AS269" s="5">
        <f t="shared" si="385"/>
        <v>0.79836750344307972</v>
      </c>
      <c r="AT269" s="5">
        <f t="shared" si="386"/>
        <v>2.0587753536997777</v>
      </c>
      <c r="AU269" s="177">
        <f t="shared" si="387"/>
        <v>0.27942862620507791</v>
      </c>
      <c r="CI269" s="571">
        <f t="shared" si="404"/>
        <v>-50</v>
      </c>
    </row>
    <row r="270" spans="5:87" x14ac:dyDescent="0.25">
      <c r="E270" s="174">
        <v>54</v>
      </c>
      <c r="F270" s="221">
        <f t="shared" si="405"/>
        <v>5.4000000000000006E-2</v>
      </c>
      <c r="G270" s="221">
        <f t="shared" si="388"/>
        <v>0.27</v>
      </c>
      <c r="H270" s="221">
        <f t="shared" si="389"/>
        <v>0.81</v>
      </c>
      <c r="I270" s="221">
        <f t="shared" si="390"/>
        <v>2.16</v>
      </c>
      <c r="J270" s="551">
        <f t="shared" si="356"/>
        <v>28</v>
      </c>
      <c r="K270" s="451">
        <f t="shared" si="357"/>
        <v>695386.58000000007</v>
      </c>
      <c r="L270" s="451">
        <f t="shared" si="358"/>
        <v>695414.58000000007</v>
      </c>
      <c r="M270" s="451"/>
      <c r="N270" s="221">
        <f t="shared" si="359"/>
        <v>0.99995973624826795</v>
      </c>
      <c r="O270" s="176">
        <f t="shared" si="391"/>
        <v>2.577168956603491</v>
      </c>
      <c r="P270" s="176">
        <f t="shared" si="392"/>
        <v>6.8724505509426423</v>
      </c>
      <c r="Q270" s="221">
        <f t="shared" si="362"/>
        <v>0.17181126377356606</v>
      </c>
      <c r="R270" s="221">
        <f t="shared" si="393"/>
        <v>0.32214611957543637</v>
      </c>
      <c r="S270" s="221">
        <f t="shared" si="394"/>
        <v>15</v>
      </c>
      <c r="T270" s="221">
        <f t="shared" si="395"/>
        <v>0.23572377683791368</v>
      </c>
      <c r="U270" s="221">
        <f t="shared" si="366"/>
        <v>0.25256118946919326</v>
      </c>
      <c r="V270" s="221">
        <f t="shared" si="367"/>
        <v>1.0169470490985619E-5</v>
      </c>
      <c r="W270" s="201">
        <f t="shared" si="368"/>
        <v>350</v>
      </c>
      <c r="X270" s="451">
        <f t="shared" si="369"/>
        <v>350</v>
      </c>
      <c r="Z270" s="221">
        <f t="shared" si="370"/>
        <v>2.6665592966620477</v>
      </c>
      <c r="AA270" s="177">
        <f t="shared" si="371"/>
        <v>1.1503929066313219E-4</v>
      </c>
      <c r="AB270" s="177">
        <f t="shared" si="396"/>
        <v>0.66892235755096752</v>
      </c>
      <c r="AC270" s="177"/>
      <c r="AD270" s="177">
        <f t="shared" si="373"/>
        <v>6.4712206554230591E-6</v>
      </c>
      <c r="AE270" s="555">
        <f t="shared" si="397"/>
        <v>8929.0666666666693</v>
      </c>
      <c r="AF270" s="538">
        <f t="shared" si="398"/>
        <v>2.1166825946720815E-3</v>
      </c>
      <c r="AH270" s="177">
        <f t="shared" si="399"/>
        <v>0.75213980463361052</v>
      </c>
      <c r="AI270" s="177">
        <f t="shared" si="400"/>
        <v>0.75213980463361052</v>
      </c>
      <c r="AJ270" s="177">
        <f t="shared" si="401"/>
        <v>1.6460294849137855</v>
      </c>
      <c r="AL270" s="555">
        <f t="shared" si="402"/>
        <v>54.000000000000007</v>
      </c>
      <c r="AM270" s="469">
        <f t="shared" si="403"/>
        <v>350</v>
      </c>
      <c r="AO270">
        <f t="shared" si="381"/>
        <v>54.000000000000007</v>
      </c>
      <c r="AP270">
        <f t="shared" si="382"/>
        <v>350</v>
      </c>
      <c r="AR270" s="5">
        <f t="shared" si="406"/>
        <v>2.8571428571428572</v>
      </c>
      <c r="AS270" s="5">
        <f t="shared" si="385"/>
        <v>0.80586407639315416</v>
      </c>
      <c r="AT270" s="5">
        <f t="shared" si="386"/>
        <v>2.051278780749703</v>
      </c>
      <c r="AU270" s="177">
        <f t="shared" si="387"/>
        <v>0.28205242673760395</v>
      </c>
      <c r="CI270" s="571">
        <f t="shared" si="404"/>
        <v>-50</v>
      </c>
    </row>
    <row r="271" spans="5:87" x14ac:dyDescent="0.25">
      <c r="E271" s="174">
        <v>55</v>
      </c>
      <c r="F271" s="221">
        <f t="shared" si="405"/>
        <v>5.5000000000000007E-2</v>
      </c>
      <c r="G271" s="221">
        <f t="shared" si="388"/>
        <v>0.27500000000000002</v>
      </c>
      <c r="H271" s="221">
        <f t="shared" si="389"/>
        <v>0.82500000000000007</v>
      </c>
      <c r="I271" s="221">
        <f t="shared" si="390"/>
        <v>2.2000000000000002</v>
      </c>
      <c r="J271" s="551">
        <f t="shared" si="356"/>
        <v>28</v>
      </c>
      <c r="K271" s="451">
        <f t="shared" si="357"/>
        <v>695386.58000000007</v>
      </c>
      <c r="L271" s="451">
        <f t="shared" si="358"/>
        <v>695414.58000000007</v>
      </c>
      <c r="M271" s="451"/>
      <c r="N271" s="221">
        <f t="shared" si="359"/>
        <v>0.99995973624826795</v>
      </c>
      <c r="O271" s="176">
        <f t="shared" si="391"/>
        <v>2.577168956603491</v>
      </c>
      <c r="P271" s="176">
        <f t="shared" si="392"/>
        <v>6.8724505509426423</v>
      </c>
      <c r="Q271" s="221">
        <f t="shared" si="362"/>
        <v>0.17181126377356606</v>
      </c>
      <c r="R271" s="221">
        <f t="shared" si="393"/>
        <v>0.32214611957543637</v>
      </c>
      <c r="S271" s="221">
        <f t="shared" si="394"/>
        <v>15</v>
      </c>
      <c r="T271" s="221">
        <f t="shared" si="395"/>
        <v>0.24008903196454173</v>
      </c>
      <c r="U271" s="221">
        <f t="shared" si="366"/>
        <v>0.25723824853343757</v>
      </c>
      <c r="V271" s="221">
        <f t="shared" si="367"/>
        <v>1.0357794018596464E-5</v>
      </c>
      <c r="W271" s="201">
        <f t="shared" si="368"/>
        <v>350</v>
      </c>
      <c r="X271" s="451">
        <f t="shared" si="369"/>
        <v>350</v>
      </c>
      <c r="Z271" s="221">
        <f t="shared" si="370"/>
        <v>2.6665592966620477</v>
      </c>
      <c r="AA271" s="177">
        <f t="shared" si="371"/>
        <v>1.1503929066313219E-4</v>
      </c>
      <c r="AB271" s="177">
        <f t="shared" si="396"/>
        <v>0.66892235755096752</v>
      </c>
      <c r="AC271" s="177"/>
      <c r="AD271" s="177">
        <f t="shared" si="373"/>
        <v>6.4712206554230591E-6</v>
      </c>
      <c r="AE271" s="555">
        <f t="shared" si="397"/>
        <v>9094.4197530864221</v>
      </c>
      <c r="AF271" s="538">
        <f t="shared" si="398"/>
        <v>2.1166825946720815E-3</v>
      </c>
      <c r="AH271" s="177">
        <f t="shared" si="399"/>
        <v>0.75907211527658969</v>
      </c>
      <c r="AI271" s="177">
        <f t="shared" si="400"/>
        <v>0.75907211527658969</v>
      </c>
      <c r="AJ271" s="177">
        <f t="shared" si="401"/>
        <v>1.6511645298345108</v>
      </c>
      <c r="AL271" s="555">
        <f t="shared" si="402"/>
        <v>55.000000000000007</v>
      </c>
      <c r="AM271" s="469">
        <f t="shared" si="403"/>
        <v>350</v>
      </c>
      <c r="AO271">
        <f t="shared" si="381"/>
        <v>55.000000000000007</v>
      </c>
      <c r="AP271">
        <f t="shared" si="382"/>
        <v>350</v>
      </c>
      <c r="AR271" s="5">
        <f t="shared" si="406"/>
        <v>2.8571428571428572</v>
      </c>
      <c r="AS271" s="5">
        <f t="shared" si="385"/>
        <v>0.81329155208206039</v>
      </c>
      <c r="AT271" s="5">
        <f t="shared" si="386"/>
        <v>2.0438513050607967</v>
      </c>
      <c r="AU271" s="177">
        <f t="shared" si="387"/>
        <v>0.28465204322872112</v>
      </c>
      <c r="CI271" s="571">
        <f t="shared" si="404"/>
        <v>-50</v>
      </c>
    </row>
    <row r="272" spans="5:87" x14ac:dyDescent="0.25">
      <c r="E272" s="174">
        <v>56</v>
      </c>
      <c r="F272" s="221">
        <f t="shared" si="405"/>
        <v>5.6000000000000008E-2</v>
      </c>
      <c r="G272" s="221">
        <f t="shared" si="388"/>
        <v>0.28000000000000003</v>
      </c>
      <c r="H272" s="221">
        <f t="shared" si="389"/>
        <v>0.84000000000000008</v>
      </c>
      <c r="I272" s="221">
        <f t="shared" si="390"/>
        <v>2.2400000000000002</v>
      </c>
      <c r="J272" s="551">
        <f t="shared" si="356"/>
        <v>28</v>
      </c>
      <c r="K272" s="451">
        <f t="shared" si="357"/>
        <v>695386.58000000007</v>
      </c>
      <c r="L272" s="451">
        <f t="shared" si="358"/>
        <v>695414.58000000007</v>
      </c>
      <c r="M272" s="451"/>
      <c r="N272" s="221">
        <f t="shared" si="359"/>
        <v>0.99995973624826795</v>
      </c>
      <c r="O272" s="176">
        <f t="shared" si="391"/>
        <v>2.577168956603491</v>
      </c>
      <c r="P272" s="176">
        <f t="shared" si="392"/>
        <v>6.8724505509426423</v>
      </c>
      <c r="Q272" s="221">
        <f t="shared" si="362"/>
        <v>0.17181126377356606</v>
      </c>
      <c r="R272" s="221">
        <f t="shared" si="393"/>
        <v>0.32214611957543637</v>
      </c>
      <c r="S272" s="221">
        <f t="shared" si="394"/>
        <v>15</v>
      </c>
      <c r="T272" s="221">
        <f t="shared" si="395"/>
        <v>0.24445428709116973</v>
      </c>
      <c r="U272" s="221">
        <f t="shared" si="366"/>
        <v>0.26191530759768189</v>
      </c>
      <c r="V272" s="221">
        <f t="shared" si="367"/>
        <v>1.0546117546207308E-5</v>
      </c>
      <c r="W272" s="201">
        <f t="shared" si="368"/>
        <v>350</v>
      </c>
      <c r="X272" s="451">
        <f t="shared" si="369"/>
        <v>350</v>
      </c>
      <c r="Z272" s="221">
        <f t="shared" si="370"/>
        <v>2.6665592966620477</v>
      </c>
      <c r="AA272" s="177">
        <f t="shared" si="371"/>
        <v>1.1503929066313219E-4</v>
      </c>
      <c r="AB272" s="177">
        <f t="shared" si="396"/>
        <v>0.66892235755096752</v>
      </c>
      <c r="AC272" s="177"/>
      <c r="AD272" s="177">
        <f t="shared" si="373"/>
        <v>6.4712206554230591E-6</v>
      </c>
      <c r="AE272" s="555">
        <f t="shared" si="397"/>
        <v>9259.7728395061768</v>
      </c>
      <c r="AF272" s="538">
        <f t="shared" si="398"/>
        <v>2.1166825946720815E-3</v>
      </c>
      <c r="AH272" s="177">
        <f t="shared" si="399"/>
        <v>0.76594168620507053</v>
      </c>
      <c r="AI272" s="177">
        <f t="shared" si="400"/>
        <v>0.76594168620507053</v>
      </c>
      <c r="AJ272" s="177">
        <f t="shared" si="401"/>
        <v>1.6562531008926449</v>
      </c>
      <c r="AL272" s="555">
        <f t="shared" si="402"/>
        <v>56.000000000000007</v>
      </c>
      <c r="AM272" s="469">
        <f t="shared" si="403"/>
        <v>350</v>
      </c>
      <c r="AO272">
        <f t="shared" si="381"/>
        <v>56.000000000000007</v>
      </c>
      <c r="AP272">
        <f t="shared" si="382"/>
        <v>350</v>
      </c>
      <c r="AR272" s="5">
        <f t="shared" si="406"/>
        <v>2.8571428571428572</v>
      </c>
      <c r="AS272" s="5">
        <f t="shared" si="385"/>
        <v>0.82065180664828985</v>
      </c>
      <c r="AT272" s="5">
        <f t="shared" si="386"/>
        <v>2.0364910504945675</v>
      </c>
      <c r="AU272" s="177">
        <f t="shared" si="387"/>
        <v>0.28722813232690142</v>
      </c>
      <c r="CI272" s="571">
        <f t="shared" si="404"/>
        <v>-50</v>
      </c>
    </row>
    <row r="273" spans="5:87" x14ac:dyDescent="0.25">
      <c r="E273" s="174">
        <v>57</v>
      </c>
      <c r="F273" s="221">
        <f t="shared" si="405"/>
        <v>5.6999999999999995E-2</v>
      </c>
      <c r="G273" s="221">
        <f t="shared" si="388"/>
        <v>0.28499999999999998</v>
      </c>
      <c r="H273" s="221">
        <f t="shared" si="389"/>
        <v>0.85499999999999998</v>
      </c>
      <c r="I273" s="221">
        <f t="shared" si="390"/>
        <v>2.2799999999999998</v>
      </c>
      <c r="J273" s="551">
        <f t="shared" si="356"/>
        <v>28</v>
      </c>
      <c r="K273" s="451">
        <f t="shared" si="357"/>
        <v>695386.58000000007</v>
      </c>
      <c r="L273" s="451">
        <f t="shared" si="358"/>
        <v>695414.58000000007</v>
      </c>
      <c r="M273" s="451"/>
      <c r="N273" s="221">
        <f t="shared" si="359"/>
        <v>0.99995973624826795</v>
      </c>
      <c r="O273" s="176">
        <f t="shared" si="391"/>
        <v>2.577168956603491</v>
      </c>
      <c r="P273" s="176">
        <f t="shared" si="392"/>
        <v>6.8724505509426423</v>
      </c>
      <c r="Q273" s="221">
        <f t="shared" si="362"/>
        <v>0.17181126377356606</v>
      </c>
      <c r="R273" s="221">
        <f t="shared" si="393"/>
        <v>0.32214611957543637</v>
      </c>
      <c r="S273" s="221">
        <f t="shared" si="394"/>
        <v>15</v>
      </c>
      <c r="T273" s="221">
        <f t="shared" si="395"/>
        <v>0.24881954221779776</v>
      </c>
      <c r="U273" s="221">
        <f t="shared" si="366"/>
        <v>0.26659236666192621</v>
      </c>
      <c r="V273" s="221">
        <f t="shared" si="367"/>
        <v>1.0734441073818151E-5</v>
      </c>
      <c r="W273" s="201">
        <f t="shared" si="368"/>
        <v>350</v>
      </c>
      <c r="X273" s="451">
        <f t="shared" si="369"/>
        <v>350</v>
      </c>
      <c r="Z273" s="221">
        <f t="shared" si="370"/>
        <v>2.6665592966620477</v>
      </c>
      <c r="AA273" s="177">
        <f t="shared" si="371"/>
        <v>1.1503929066313219E-4</v>
      </c>
      <c r="AB273" s="177">
        <f t="shared" si="396"/>
        <v>0.66892235755096752</v>
      </c>
      <c r="AC273" s="177"/>
      <c r="AD273" s="177">
        <f t="shared" si="373"/>
        <v>6.4712206554230591E-6</v>
      </c>
      <c r="AE273" s="555">
        <f t="shared" si="397"/>
        <v>9425.1259259259277</v>
      </c>
      <c r="AF273" s="538">
        <f t="shared" si="398"/>
        <v>2.1166825946720815E-3</v>
      </c>
      <c r="AH273" s="177">
        <f t="shared" si="399"/>
        <v>0.77275019064562978</v>
      </c>
      <c r="AI273" s="177">
        <f t="shared" si="400"/>
        <v>0.77275019064562978</v>
      </c>
      <c r="AJ273" s="177">
        <f t="shared" si="401"/>
        <v>1.6612964375152812</v>
      </c>
      <c r="AL273" s="555">
        <f t="shared" si="402"/>
        <v>56.999999999999993</v>
      </c>
      <c r="AM273" s="469">
        <f t="shared" si="403"/>
        <v>350</v>
      </c>
      <c r="AO273">
        <f t="shared" si="381"/>
        <v>56.999999999999993</v>
      </c>
      <c r="AP273">
        <f t="shared" si="382"/>
        <v>350</v>
      </c>
      <c r="AR273" s="5">
        <f t="shared" si="406"/>
        <v>2.8571428571428572</v>
      </c>
      <c r="AS273" s="5">
        <f t="shared" si="385"/>
        <v>0.82794663283460335</v>
      </c>
      <c r="AT273" s="5">
        <f t="shared" si="386"/>
        <v>2.029196224308254</v>
      </c>
      <c r="AU273" s="177">
        <f t="shared" si="387"/>
        <v>0.28978132149211117</v>
      </c>
      <c r="CI273" s="571">
        <f t="shared" si="404"/>
        <v>-50</v>
      </c>
    </row>
    <row r="274" spans="5:87" x14ac:dyDescent="0.25">
      <c r="E274" s="174">
        <v>58</v>
      </c>
      <c r="F274" s="221">
        <f t="shared" si="405"/>
        <v>5.7999999999999996E-2</v>
      </c>
      <c r="G274" s="221">
        <f t="shared" si="388"/>
        <v>0.28999999999999998</v>
      </c>
      <c r="H274" s="221">
        <f t="shared" si="389"/>
        <v>0.86999999999999988</v>
      </c>
      <c r="I274" s="221">
        <f t="shared" si="390"/>
        <v>2.3199999999999998</v>
      </c>
      <c r="J274" s="551">
        <f t="shared" si="356"/>
        <v>28</v>
      </c>
      <c r="K274" s="451">
        <f t="shared" si="357"/>
        <v>695386.58000000007</v>
      </c>
      <c r="L274" s="451">
        <f t="shared" si="358"/>
        <v>695414.58000000007</v>
      </c>
      <c r="M274" s="451"/>
      <c r="N274" s="221">
        <f t="shared" si="359"/>
        <v>0.99995973624826795</v>
      </c>
      <c r="O274" s="176">
        <f t="shared" si="391"/>
        <v>2.577168956603491</v>
      </c>
      <c r="P274" s="176">
        <f t="shared" si="392"/>
        <v>6.8724505509426423</v>
      </c>
      <c r="Q274" s="221">
        <f t="shared" si="362"/>
        <v>0.17181126377356606</v>
      </c>
      <c r="R274" s="221">
        <f t="shared" si="393"/>
        <v>0.32214611957543637</v>
      </c>
      <c r="S274" s="221">
        <f t="shared" si="394"/>
        <v>15</v>
      </c>
      <c r="T274" s="221">
        <f t="shared" si="395"/>
        <v>0.25318479734442578</v>
      </c>
      <c r="U274" s="221">
        <f t="shared" si="366"/>
        <v>0.27126942572617052</v>
      </c>
      <c r="V274" s="221">
        <f t="shared" si="367"/>
        <v>1.0922764601428996E-5</v>
      </c>
      <c r="W274" s="201">
        <f t="shared" si="368"/>
        <v>350</v>
      </c>
      <c r="X274" s="451">
        <f t="shared" si="369"/>
        <v>350</v>
      </c>
      <c r="Z274" s="221">
        <f t="shared" si="370"/>
        <v>2.6665592966620477</v>
      </c>
      <c r="AA274" s="177">
        <f t="shared" si="371"/>
        <v>1.1503929066313219E-4</v>
      </c>
      <c r="AB274" s="177">
        <f t="shared" si="396"/>
        <v>0.66892235755096752</v>
      </c>
      <c r="AC274" s="177"/>
      <c r="AD274" s="177">
        <f t="shared" si="373"/>
        <v>6.4712206554230591E-6</v>
      </c>
      <c r="AE274" s="555">
        <f t="shared" si="397"/>
        <v>9590.4790123456823</v>
      </c>
      <c r="AF274" s="538">
        <f t="shared" si="398"/>
        <v>2.1166825946720815E-3</v>
      </c>
      <c r="AH274" s="177">
        <f t="shared" si="399"/>
        <v>0.77949922874820565</v>
      </c>
      <c r="AI274" s="177">
        <f t="shared" si="400"/>
        <v>0.77949922874820565</v>
      </c>
      <c r="AJ274" s="177">
        <f t="shared" si="401"/>
        <v>1.6662957249986707</v>
      </c>
      <c r="AL274" s="555">
        <f t="shared" si="402"/>
        <v>57.999999999999993</v>
      </c>
      <c r="AM274" s="469">
        <f t="shared" si="403"/>
        <v>350</v>
      </c>
      <c r="AO274">
        <f t="shared" si="381"/>
        <v>57.999999999999993</v>
      </c>
      <c r="AP274">
        <f t="shared" si="382"/>
        <v>350</v>
      </c>
      <c r="AR274" s="5">
        <f t="shared" si="406"/>
        <v>2.8571428571428572</v>
      </c>
      <c r="AS274" s="5">
        <f t="shared" si="385"/>
        <v>0.8351777450873632</v>
      </c>
      <c r="AT274" s="5">
        <f t="shared" si="386"/>
        <v>2.021965112055494</v>
      </c>
      <c r="AU274" s="177">
        <f t="shared" si="387"/>
        <v>0.29231221078057712</v>
      </c>
      <c r="CI274" s="571">
        <f t="shared" si="404"/>
        <v>-50</v>
      </c>
    </row>
    <row r="275" spans="5:87" x14ac:dyDescent="0.25">
      <c r="E275" s="174">
        <v>59</v>
      </c>
      <c r="F275" s="221">
        <f t="shared" si="405"/>
        <v>5.8999999999999997E-2</v>
      </c>
      <c r="G275" s="221">
        <f t="shared" si="388"/>
        <v>0.29499999999999998</v>
      </c>
      <c r="H275" s="221">
        <f t="shared" si="389"/>
        <v>0.88500000000000001</v>
      </c>
      <c r="I275" s="221">
        <f t="shared" si="390"/>
        <v>2.36</v>
      </c>
      <c r="J275" s="551">
        <f t="shared" si="356"/>
        <v>28</v>
      </c>
      <c r="K275" s="451">
        <f t="shared" si="357"/>
        <v>695386.58000000007</v>
      </c>
      <c r="L275" s="451">
        <f t="shared" si="358"/>
        <v>695414.58000000007</v>
      </c>
      <c r="M275" s="451"/>
      <c r="N275" s="221">
        <f t="shared" si="359"/>
        <v>0.99995973624826795</v>
      </c>
      <c r="O275" s="176">
        <f t="shared" si="391"/>
        <v>2.577168956603491</v>
      </c>
      <c r="P275" s="176">
        <f t="shared" si="392"/>
        <v>6.8724505509426423</v>
      </c>
      <c r="Q275" s="221">
        <f t="shared" si="362"/>
        <v>0.17181126377356606</v>
      </c>
      <c r="R275" s="221">
        <f t="shared" si="393"/>
        <v>0.32214611957543637</v>
      </c>
      <c r="S275" s="221">
        <f t="shared" si="394"/>
        <v>15</v>
      </c>
      <c r="T275" s="221">
        <f t="shared" si="395"/>
        <v>0.25755005247105384</v>
      </c>
      <c r="U275" s="221">
        <f t="shared" si="366"/>
        <v>0.27594648479041489</v>
      </c>
      <c r="V275" s="221">
        <f t="shared" si="367"/>
        <v>1.1111088129039843E-5</v>
      </c>
      <c r="W275" s="201">
        <f t="shared" si="368"/>
        <v>350</v>
      </c>
      <c r="X275" s="451">
        <f t="shared" si="369"/>
        <v>350</v>
      </c>
      <c r="Z275" s="221">
        <f t="shared" si="370"/>
        <v>2.6665592966620477</v>
      </c>
      <c r="AA275" s="177">
        <f t="shared" si="371"/>
        <v>1.1503929066313219E-4</v>
      </c>
      <c r="AB275" s="177">
        <f t="shared" si="396"/>
        <v>0.66892235755096752</v>
      </c>
      <c r="AC275" s="177"/>
      <c r="AD275" s="177">
        <f t="shared" si="373"/>
        <v>6.4712206554230591E-6</v>
      </c>
      <c r="AE275" s="555">
        <f t="shared" si="397"/>
        <v>9755.8320987654351</v>
      </c>
      <c r="AF275" s="538">
        <f t="shared" si="398"/>
        <v>2.1166825946720815E-3</v>
      </c>
      <c r="AH275" s="177">
        <f t="shared" si="399"/>
        <v>0.78619033197772037</v>
      </c>
      <c r="AI275" s="177">
        <f t="shared" si="400"/>
        <v>0.78619033197772037</v>
      </c>
      <c r="AJ275" s="177">
        <f t="shared" si="401"/>
        <v>1.6712520977612744</v>
      </c>
      <c r="AL275" s="555">
        <f t="shared" si="402"/>
        <v>59</v>
      </c>
      <c r="AM275" s="469">
        <f t="shared" si="403"/>
        <v>350</v>
      </c>
      <c r="AO275">
        <f t="shared" si="381"/>
        <v>59</v>
      </c>
      <c r="AP275">
        <f t="shared" si="382"/>
        <v>350</v>
      </c>
      <c r="AR275" s="5">
        <f t="shared" si="406"/>
        <v>2.8571428571428572</v>
      </c>
      <c r="AS275" s="5">
        <f t="shared" si="385"/>
        <v>0.84234678426184328</v>
      </c>
      <c r="AT275" s="5">
        <f t="shared" si="386"/>
        <v>2.0147960728810137</v>
      </c>
      <c r="AU275" s="177">
        <f t="shared" si="387"/>
        <v>0.29482137449164514</v>
      </c>
      <c r="CI275" s="571">
        <f t="shared" si="404"/>
        <v>-50</v>
      </c>
    </row>
    <row r="276" spans="5:87" x14ac:dyDescent="0.25">
      <c r="E276" s="174">
        <v>60</v>
      </c>
      <c r="F276" s="221">
        <f t="shared" si="405"/>
        <v>0.06</v>
      </c>
      <c r="G276" s="221">
        <f t="shared" si="388"/>
        <v>0.3</v>
      </c>
      <c r="H276" s="221">
        <f t="shared" si="389"/>
        <v>0.89999999999999991</v>
      </c>
      <c r="I276" s="221">
        <f t="shared" si="390"/>
        <v>2.4</v>
      </c>
      <c r="J276" s="551">
        <f t="shared" si="356"/>
        <v>28</v>
      </c>
      <c r="K276" s="451">
        <f t="shared" si="357"/>
        <v>695386.58000000007</v>
      </c>
      <c r="L276" s="451">
        <f t="shared" si="358"/>
        <v>695414.58000000007</v>
      </c>
      <c r="M276" s="451"/>
      <c r="N276" s="221">
        <f t="shared" si="359"/>
        <v>0.99995973624826795</v>
      </c>
      <c r="O276" s="176">
        <f t="shared" si="391"/>
        <v>2.577168956603491</v>
      </c>
      <c r="P276" s="176">
        <f t="shared" si="392"/>
        <v>6.8724505509426423</v>
      </c>
      <c r="Q276" s="221">
        <f t="shared" si="362"/>
        <v>0.17181126377356606</v>
      </c>
      <c r="R276" s="221">
        <f t="shared" si="393"/>
        <v>0.32214611957543637</v>
      </c>
      <c r="S276" s="221">
        <f t="shared" si="394"/>
        <v>15</v>
      </c>
      <c r="T276" s="221">
        <f t="shared" si="395"/>
        <v>0.26191530759768183</v>
      </c>
      <c r="U276" s="221">
        <f t="shared" si="366"/>
        <v>0.28062354385465915</v>
      </c>
      <c r="V276" s="221">
        <f t="shared" si="367"/>
        <v>1.1299411656650685E-5</v>
      </c>
      <c r="W276" s="201">
        <f t="shared" si="368"/>
        <v>350</v>
      </c>
      <c r="X276" s="451">
        <f t="shared" si="369"/>
        <v>350</v>
      </c>
      <c r="Z276" s="221">
        <f t="shared" si="370"/>
        <v>2.6665592966620477</v>
      </c>
      <c r="AA276" s="177">
        <f t="shared" si="371"/>
        <v>1.1503929066313219E-4</v>
      </c>
      <c r="AB276" s="177">
        <f t="shared" si="396"/>
        <v>0.66892235755096752</v>
      </c>
      <c r="AC276" s="177"/>
      <c r="AD276" s="177">
        <f t="shared" si="373"/>
        <v>6.4712206554230591E-6</v>
      </c>
      <c r="AE276" s="555">
        <f t="shared" si="397"/>
        <v>9921.1851851851879</v>
      </c>
      <c r="AF276" s="538">
        <f t="shared" si="398"/>
        <v>2.1166825946720815E-3</v>
      </c>
      <c r="AH276" s="177">
        <f t="shared" si="399"/>
        <v>0.79282496717209183</v>
      </c>
      <c r="AI276" s="177">
        <f t="shared" si="400"/>
        <v>0.79282496717209183</v>
      </c>
      <c r="AJ276" s="177">
        <f t="shared" si="401"/>
        <v>1.6761666423496977</v>
      </c>
      <c r="AL276" s="555">
        <f t="shared" si="402"/>
        <v>60</v>
      </c>
      <c r="AM276" s="469">
        <f t="shared" si="403"/>
        <v>350</v>
      </c>
      <c r="AO276">
        <f t="shared" si="381"/>
        <v>60</v>
      </c>
      <c r="AP276">
        <f t="shared" si="382"/>
        <v>350</v>
      </c>
      <c r="AR276" s="5">
        <f t="shared" si="406"/>
        <v>2.8571428571428572</v>
      </c>
      <c r="AS276" s="5">
        <f t="shared" si="385"/>
        <v>0.84945532197009832</v>
      </c>
      <c r="AT276" s="5">
        <f t="shared" si="386"/>
        <v>2.0076875351727588</v>
      </c>
      <c r="AU276" s="177">
        <f t="shared" si="387"/>
        <v>0.2973093626895344</v>
      </c>
      <c r="CI276" s="571">
        <f t="shared" si="404"/>
        <v>-50</v>
      </c>
    </row>
    <row r="277" spans="5:87" x14ac:dyDescent="0.25">
      <c r="E277" s="174">
        <v>61</v>
      </c>
      <c r="F277" s="221">
        <f t="shared" si="405"/>
        <v>6.0999999999999999E-2</v>
      </c>
      <c r="G277" s="221">
        <f t="shared" si="388"/>
        <v>0.30499999999999999</v>
      </c>
      <c r="H277" s="221">
        <f t="shared" si="389"/>
        <v>0.91500000000000004</v>
      </c>
      <c r="I277" s="221">
        <f t="shared" si="390"/>
        <v>2.44</v>
      </c>
      <c r="J277" s="551">
        <f t="shared" si="356"/>
        <v>28</v>
      </c>
      <c r="K277" s="451">
        <f t="shared" si="357"/>
        <v>695386.58000000007</v>
      </c>
      <c r="L277" s="451">
        <f t="shared" si="358"/>
        <v>695414.58000000007</v>
      </c>
      <c r="M277" s="451"/>
      <c r="N277" s="221">
        <f t="shared" si="359"/>
        <v>0.99995973624826795</v>
      </c>
      <c r="O277" s="176">
        <f t="shared" si="391"/>
        <v>2.577168956603491</v>
      </c>
      <c r="P277" s="176">
        <f t="shared" si="392"/>
        <v>6.8724505509426423</v>
      </c>
      <c r="Q277" s="221">
        <f t="shared" si="362"/>
        <v>0.17181126377356606</v>
      </c>
      <c r="R277" s="221">
        <f t="shared" si="393"/>
        <v>0.32214611957543637</v>
      </c>
      <c r="S277" s="221">
        <f t="shared" si="394"/>
        <v>15</v>
      </c>
      <c r="T277" s="221">
        <f t="shared" si="395"/>
        <v>0.26628056272430989</v>
      </c>
      <c r="U277" s="221">
        <f t="shared" si="366"/>
        <v>0.28530060291890347</v>
      </c>
      <c r="V277" s="221">
        <f t="shared" si="367"/>
        <v>1.1487735184261532E-5</v>
      </c>
      <c r="W277" s="201">
        <f t="shared" si="368"/>
        <v>350</v>
      </c>
      <c r="X277" s="451">
        <f t="shared" si="369"/>
        <v>350</v>
      </c>
      <c r="Z277" s="221">
        <f t="shared" si="370"/>
        <v>2.6665592966620477</v>
      </c>
      <c r="AA277" s="177">
        <f t="shared" si="371"/>
        <v>1.1503929066313219E-4</v>
      </c>
      <c r="AB277" s="177">
        <f t="shared" si="396"/>
        <v>0.66892235755096752</v>
      </c>
      <c r="AC277" s="177"/>
      <c r="AD277" s="177">
        <f t="shared" si="373"/>
        <v>6.4712206554230591E-6</v>
      </c>
      <c r="AE277" s="555">
        <f t="shared" si="397"/>
        <v>10086.538271604941</v>
      </c>
      <c r="AF277" s="538">
        <f t="shared" si="398"/>
        <v>2.1166825946720815E-3</v>
      </c>
      <c r="AH277" s="177">
        <f t="shared" si="399"/>
        <v>0.79940454029710084</v>
      </c>
      <c r="AI277" s="177">
        <f t="shared" si="400"/>
        <v>0.79940454029710084</v>
      </c>
      <c r="AJ277" s="177">
        <f t="shared" si="401"/>
        <v>1.6810404002200747</v>
      </c>
      <c r="AL277" s="555">
        <f t="shared" si="402"/>
        <v>61</v>
      </c>
      <c r="AM277" s="469">
        <f t="shared" si="403"/>
        <v>350</v>
      </c>
      <c r="AO277">
        <f t="shared" si="381"/>
        <v>61</v>
      </c>
      <c r="AP277">
        <f t="shared" si="382"/>
        <v>350</v>
      </c>
      <c r="AR277" s="5">
        <f t="shared" si="406"/>
        <v>2.8571428571428572</v>
      </c>
      <c r="AS277" s="5">
        <f t="shared" si="385"/>
        <v>0.85650486460403674</v>
      </c>
      <c r="AT277" s="5">
        <f t="shared" si="386"/>
        <v>2.0006379925388202</v>
      </c>
      <c r="AU277" s="177">
        <f t="shared" si="387"/>
        <v>0.29977670261141287</v>
      </c>
      <c r="CI277" s="571">
        <f t="shared" si="404"/>
        <v>-50</v>
      </c>
    </row>
    <row r="278" spans="5:87" x14ac:dyDescent="0.25">
      <c r="E278" s="174">
        <v>62</v>
      </c>
      <c r="F278" s="221">
        <f t="shared" si="405"/>
        <v>6.2E-2</v>
      </c>
      <c r="G278" s="221">
        <f t="shared" si="388"/>
        <v>0.31</v>
      </c>
      <c r="H278" s="221">
        <f t="shared" si="389"/>
        <v>0.92999999999999994</v>
      </c>
      <c r="I278" s="221">
        <f t="shared" si="390"/>
        <v>2.48</v>
      </c>
      <c r="J278" s="551">
        <f t="shared" si="356"/>
        <v>28</v>
      </c>
      <c r="K278" s="451">
        <f t="shared" si="357"/>
        <v>695386.58000000007</v>
      </c>
      <c r="L278" s="451">
        <f t="shared" si="358"/>
        <v>695414.58000000007</v>
      </c>
      <c r="M278" s="451"/>
      <c r="N278" s="221">
        <f t="shared" si="359"/>
        <v>0.99995973624826795</v>
      </c>
      <c r="O278" s="176">
        <f t="shared" si="391"/>
        <v>2.577168956603491</v>
      </c>
      <c r="P278" s="176">
        <f t="shared" si="392"/>
        <v>6.8724505509426423</v>
      </c>
      <c r="Q278" s="221">
        <f t="shared" si="362"/>
        <v>0.17181126377356606</v>
      </c>
      <c r="R278" s="221">
        <f t="shared" si="393"/>
        <v>0.32214611957543637</v>
      </c>
      <c r="S278" s="221">
        <f t="shared" si="394"/>
        <v>15</v>
      </c>
      <c r="T278" s="221">
        <f t="shared" si="395"/>
        <v>0.27064581785093794</v>
      </c>
      <c r="U278" s="221">
        <f t="shared" si="366"/>
        <v>0.28997766198314778</v>
      </c>
      <c r="V278" s="221">
        <f t="shared" si="367"/>
        <v>1.1676058711872378E-5</v>
      </c>
      <c r="W278" s="201">
        <f t="shared" si="368"/>
        <v>350</v>
      </c>
      <c r="X278" s="451">
        <f t="shared" si="369"/>
        <v>350</v>
      </c>
      <c r="Z278" s="221">
        <f t="shared" si="370"/>
        <v>2.6665592966620477</v>
      </c>
      <c r="AA278" s="177">
        <f t="shared" si="371"/>
        <v>1.1503929066313219E-4</v>
      </c>
      <c r="AB278" s="177">
        <f t="shared" si="396"/>
        <v>0.66892235755096752</v>
      </c>
      <c r="AC278" s="177"/>
      <c r="AD278" s="177">
        <f t="shared" si="373"/>
        <v>6.4712206554230591E-6</v>
      </c>
      <c r="AE278" s="555">
        <f t="shared" si="397"/>
        <v>10251.891358024694</v>
      </c>
      <c r="AF278" s="538">
        <f t="shared" si="398"/>
        <v>2.1166825946720815E-3</v>
      </c>
      <c r="AH278" s="177">
        <f t="shared" si="399"/>
        <v>0.80593039992533444</v>
      </c>
      <c r="AI278" s="177">
        <f t="shared" si="400"/>
        <v>0.80593039992533444</v>
      </c>
      <c r="AJ278" s="177">
        <f t="shared" si="401"/>
        <v>1.6858743703150625</v>
      </c>
      <c r="AL278" s="555">
        <f t="shared" si="402"/>
        <v>62</v>
      </c>
      <c r="AM278" s="469">
        <f t="shared" si="403"/>
        <v>350</v>
      </c>
      <c r="AO278">
        <f t="shared" si="381"/>
        <v>62</v>
      </c>
      <c r="AP278">
        <f t="shared" si="382"/>
        <v>350</v>
      </c>
      <c r="AR278" s="5">
        <f t="shared" si="406"/>
        <v>2.8571428571428572</v>
      </c>
      <c r="AS278" s="5">
        <f t="shared" si="385"/>
        <v>0.86349685706285839</v>
      </c>
      <c r="AT278" s="5">
        <f t="shared" si="386"/>
        <v>1.9936460000799987</v>
      </c>
      <c r="AU278" s="177">
        <f t="shared" si="387"/>
        <v>0.30222389997200044</v>
      </c>
      <c r="CI278" s="571">
        <f t="shared" si="404"/>
        <v>-50</v>
      </c>
    </row>
    <row r="279" spans="5:87" x14ac:dyDescent="0.25">
      <c r="E279" s="174">
        <v>63</v>
      </c>
      <c r="F279" s="221">
        <f t="shared" si="405"/>
        <v>6.3E-2</v>
      </c>
      <c r="G279" s="221">
        <f t="shared" si="388"/>
        <v>0.315</v>
      </c>
      <c r="H279" s="221">
        <f t="shared" si="389"/>
        <v>0.94500000000000006</v>
      </c>
      <c r="I279" s="221">
        <f t="shared" si="390"/>
        <v>2.52</v>
      </c>
      <c r="J279" s="551">
        <f t="shared" si="356"/>
        <v>28</v>
      </c>
      <c r="K279" s="451">
        <f t="shared" si="357"/>
        <v>695386.58000000007</v>
      </c>
      <c r="L279" s="451">
        <f t="shared" si="358"/>
        <v>695414.58000000007</v>
      </c>
      <c r="M279" s="451"/>
      <c r="N279" s="221">
        <f t="shared" si="359"/>
        <v>0.99995973624826795</v>
      </c>
      <c r="O279" s="176">
        <f t="shared" si="391"/>
        <v>2.577168956603491</v>
      </c>
      <c r="P279" s="176">
        <f t="shared" si="392"/>
        <v>6.8724505509426423</v>
      </c>
      <c r="Q279" s="221">
        <f t="shared" si="362"/>
        <v>0.17181126377356606</v>
      </c>
      <c r="R279" s="221">
        <f t="shared" si="393"/>
        <v>0.32214611957543637</v>
      </c>
      <c r="S279" s="221">
        <f t="shared" si="394"/>
        <v>15</v>
      </c>
      <c r="T279" s="221">
        <f t="shared" si="395"/>
        <v>0.27501107297756594</v>
      </c>
      <c r="U279" s="221">
        <f t="shared" si="366"/>
        <v>0.2946547210473921</v>
      </c>
      <c r="V279" s="221">
        <f t="shared" si="367"/>
        <v>1.1864382239483221E-5</v>
      </c>
      <c r="W279" s="201">
        <f t="shared" si="368"/>
        <v>350</v>
      </c>
      <c r="X279" s="451">
        <f t="shared" si="369"/>
        <v>350</v>
      </c>
      <c r="Z279" s="221">
        <f t="shared" si="370"/>
        <v>2.6665592966620477</v>
      </c>
      <c r="AA279" s="177">
        <f t="shared" si="371"/>
        <v>1.1503929066313219E-4</v>
      </c>
      <c r="AB279" s="177">
        <f t="shared" si="396"/>
        <v>0.66892235755096752</v>
      </c>
      <c r="AC279" s="177"/>
      <c r="AD279" s="177">
        <f t="shared" si="373"/>
        <v>6.4712206554230591E-6</v>
      </c>
      <c r="AE279" s="555">
        <f t="shared" si="397"/>
        <v>10417.244444444448</v>
      </c>
      <c r="AF279" s="538">
        <f t="shared" si="398"/>
        <v>2.1166825946720815E-3</v>
      </c>
      <c r="AH279" s="177">
        <f t="shared" si="399"/>
        <v>0.81240384046359604</v>
      </c>
      <c r="AI279" s="177">
        <f t="shared" si="400"/>
        <v>0.81240384046359604</v>
      </c>
      <c r="AJ279" s="177">
        <f t="shared" si="401"/>
        <v>1.6906695114545156</v>
      </c>
      <c r="AL279" s="555">
        <f t="shared" si="402"/>
        <v>63</v>
      </c>
      <c r="AM279" s="469">
        <f t="shared" si="403"/>
        <v>350</v>
      </c>
      <c r="AO279">
        <f t="shared" si="381"/>
        <v>63</v>
      </c>
      <c r="AP279">
        <f t="shared" si="382"/>
        <v>350</v>
      </c>
      <c r="AR279" s="5">
        <f t="shared" si="406"/>
        <v>2.8571428571428572</v>
      </c>
      <c r="AS279" s="5">
        <f t="shared" si="385"/>
        <v>0.87043268621099579</v>
      </c>
      <c r="AT279" s="5">
        <f t="shared" si="386"/>
        <v>1.9867101709318615</v>
      </c>
      <c r="AU279" s="177">
        <f t="shared" si="387"/>
        <v>0.30465144017384854</v>
      </c>
      <c r="CI279" s="571">
        <f t="shared" si="404"/>
        <v>-50</v>
      </c>
    </row>
    <row r="280" spans="5:87" x14ac:dyDescent="0.25">
      <c r="E280" s="174">
        <v>64</v>
      </c>
      <c r="F280" s="221">
        <f t="shared" si="405"/>
        <v>6.4000000000000001E-2</v>
      </c>
      <c r="G280" s="221">
        <f t="shared" ref="G280:G316" si="407">IF(PLOT_TYPE=1, E280/100*Iout2, min_I*EXP(Q280*rr/100))</f>
        <v>0.32</v>
      </c>
      <c r="H280" s="221">
        <f t="shared" ref="H280:H316" si="408">F280*Vout</f>
        <v>0.96</v>
      </c>
      <c r="I280" s="221">
        <f t="shared" ref="I280:I316" si="409">Vout2*G280</f>
        <v>2.56</v>
      </c>
      <c r="J280" s="551">
        <f t="shared" ref="J280:J316" si="410">VIN_max</f>
        <v>28</v>
      </c>
      <c r="K280" s="451">
        <f t="shared" ref="K280:K316" si="411">(S280+Vfwd1)*Nps</f>
        <v>695386.58000000007</v>
      </c>
      <c r="L280" s="451">
        <f t="shared" ref="L280:L316" si="412">(Vout+Vfwd1)*Nps+J280</f>
        <v>695414.58000000007</v>
      </c>
      <c r="M280" s="451"/>
      <c r="N280" s="221">
        <f t="shared" ref="N280:N316" si="413">(Vout+Vfwd1)*Nps/((Vout+Vfwd1)*Nps+J280)</f>
        <v>0.99995973624826795</v>
      </c>
      <c r="O280" s="176">
        <f t="shared" ref="O280:O311" si="414">N280*J280*Isw_max*0.5*Efficiency*Pout/(Pout+Pout2)</f>
        <v>2.577168956603491</v>
      </c>
      <c r="P280" s="176">
        <f t="shared" ref="P280:P316" si="415">N280*J280*Isw_max*0.5*Efficiency*(Pout2/Pout_total)</f>
        <v>6.8724505509426423</v>
      </c>
      <c r="Q280" s="221">
        <f t="shared" ref="Q280:Q316" si="416">O280/Vout</f>
        <v>0.17181126377356606</v>
      </c>
      <c r="R280" s="221">
        <f t="shared" ref="R280:R316" si="417">O280/Vout2</f>
        <v>0.32214611957543637</v>
      </c>
      <c r="S280" s="221">
        <f t="shared" ref="S280:S316" si="418">MIN(Vout,O280/F280)</f>
        <v>15</v>
      </c>
      <c r="T280" s="221">
        <f t="shared" ref="T280:T316" si="419">MIN(2*(Vout*F280+Vout2*G280)/(Efficiency*J280*N280), Isw_max)</f>
        <v>0.27937632810419399</v>
      </c>
      <c r="U280" s="221">
        <f t="shared" ref="U280:U316" si="420">L*T280/J280*1000000</f>
        <v>0.29933178011163641</v>
      </c>
      <c r="V280" s="221">
        <f t="shared" ref="V280:V316" si="421">L*T280/K280*1000000</f>
        <v>1.2052705767094066E-5</v>
      </c>
      <c r="W280" s="201">
        <f t="shared" ref="W280:W316" si="422">IF(1/((350000*L)*(1/J280+1/K280))&gt;Isw_min, 350, 0.001/((Isw_min*L)*(1/J280+1/K280)))</f>
        <v>350</v>
      </c>
      <c r="X280" s="451">
        <f t="shared" ref="X280:X316" si="423">MIN(1/(U280+V280)*1000, 350)</f>
        <v>350</v>
      </c>
      <c r="Z280" s="221">
        <f t="shared" ref="Z280:Z316" si="424">1/((W280*1000*L)*(1/J280+1/K280))</f>
        <v>2.6665592966620477</v>
      </c>
      <c r="AA280" s="177">
        <f t="shared" ref="AA280:AA316" si="425">L*Z280/K280*1000000</f>
        <v>1.1503929066313219E-4</v>
      </c>
      <c r="AB280" s="177">
        <f t="shared" ref="AB280:AB311" si="426">0.5*AA280*Z280*Nps*W280/1000*(Pout/(Pout+Pout2))</f>
        <v>0.66892235755096752</v>
      </c>
      <c r="AC280" s="177"/>
      <c r="AD280" s="177">
        <f t="shared" ref="AD280:AD316" si="427">L*Isw_min/K280*1000000</f>
        <v>6.4712206554230591E-6</v>
      </c>
      <c r="AE280" s="555">
        <f t="shared" ref="AE280:AE311" si="428">MAX(10, F280/(0.5*AD280/1000000*Isw_min*Nps)/1000*Pout_total/Pout)</f>
        <v>10582.597530864201</v>
      </c>
      <c r="AF280" s="538">
        <f t="shared" ref="AF280:AF316" si="429">0.5*AD280/1000000*Isw_min*Nps*W280*1000*(Pout/Pout_total)</f>
        <v>2.1166825946720815E-3</v>
      </c>
      <c r="AH280" s="177">
        <f t="shared" ref="AH280:AH316" si="430">SQRT((H280+I280)/(0.5*L*Fsw_DCM))</f>
        <v>0.81882610515065435</v>
      </c>
      <c r="AI280" s="177">
        <f t="shared" ref="AI280:AI311" si="431">MAX(IF(F280&gt;AB280,T280,AH280),Isw_min)</f>
        <v>0.81882610515065435</v>
      </c>
      <c r="AJ280" s="177">
        <f t="shared" ref="AJ280:AJ311" si="432">IF(F280&gt;AF280, (AI280-Isw_min)/1.08*0.8+1.2, AE280*0.2/350+1)</f>
        <v>1.6954267445560403</v>
      </c>
      <c r="AL280" s="555">
        <f t="shared" ref="AL280:AL316" si="433">F280*1000</f>
        <v>64</v>
      </c>
      <c r="AM280" s="469">
        <f t="shared" ref="AM280:AM316" si="434">IF(F280&gt;AF280, X280, AE280)</f>
        <v>350</v>
      </c>
      <c r="AO280">
        <f t="shared" ref="AO280:AO316" si="435">IF(H280&gt;O280, "",AL280)</f>
        <v>64</v>
      </c>
      <c r="AP280">
        <f t="shared" ref="AP280:AP316" si="436">IF(H280&gt;O280, "",AM280)</f>
        <v>350</v>
      </c>
      <c r="AR280" s="5">
        <f t="shared" si="406"/>
        <v>2.8571428571428572</v>
      </c>
      <c r="AS280" s="5">
        <f t="shared" si="385"/>
        <v>0.87731368408998689</v>
      </c>
      <c r="AT280" s="5">
        <f t="shared" si="386"/>
        <v>1.9798291730528703</v>
      </c>
      <c r="AU280" s="177">
        <f t="shared" si="387"/>
        <v>0.30705978943149542</v>
      </c>
      <c r="CI280" s="571">
        <f t="shared" ref="CI280:CI316" si="437">IF(ABS(F280-Ioutmax_Vinmax)&lt;Iout/200, AM280, -50)</f>
        <v>-50</v>
      </c>
    </row>
    <row r="281" spans="5:87" x14ac:dyDescent="0.25">
      <c r="E281" s="174">
        <v>65</v>
      </c>
      <c r="F281" s="221">
        <f t="shared" ref="F281:F312" si="438">IF(PLOT_TYPE=1, E281/100*Iout_max, min_I*EXP(O281*rr/100))</f>
        <v>6.5000000000000002E-2</v>
      </c>
      <c r="G281" s="221">
        <f t="shared" si="407"/>
        <v>0.32500000000000001</v>
      </c>
      <c r="H281" s="221">
        <f t="shared" si="408"/>
        <v>0.97500000000000009</v>
      </c>
      <c r="I281" s="221">
        <f t="shared" si="409"/>
        <v>2.6</v>
      </c>
      <c r="J281" s="551">
        <f t="shared" si="410"/>
        <v>28</v>
      </c>
      <c r="K281" s="451">
        <f t="shared" si="411"/>
        <v>695386.58000000007</v>
      </c>
      <c r="L281" s="451">
        <f t="shared" si="412"/>
        <v>695414.58000000007</v>
      </c>
      <c r="M281" s="451"/>
      <c r="N281" s="221">
        <f t="shared" si="413"/>
        <v>0.99995973624826795</v>
      </c>
      <c r="O281" s="176">
        <f t="shared" si="414"/>
        <v>2.577168956603491</v>
      </c>
      <c r="P281" s="176">
        <f t="shared" si="415"/>
        <v>6.8724505509426423</v>
      </c>
      <c r="Q281" s="221">
        <f t="shared" si="416"/>
        <v>0.17181126377356606</v>
      </c>
      <c r="R281" s="221">
        <f t="shared" si="417"/>
        <v>0.32214611957543637</v>
      </c>
      <c r="S281" s="221">
        <f t="shared" si="418"/>
        <v>15</v>
      </c>
      <c r="T281" s="221">
        <f t="shared" si="419"/>
        <v>0.28374158323082205</v>
      </c>
      <c r="U281" s="221">
        <f t="shared" si="420"/>
        <v>0.30400883917588079</v>
      </c>
      <c r="V281" s="221">
        <f t="shared" si="421"/>
        <v>1.2241029294704912E-5</v>
      </c>
      <c r="W281" s="201">
        <f t="shared" si="422"/>
        <v>350</v>
      </c>
      <c r="X281" s="451">
        <f t="shared" si="423"/>
        <v>350</v>
      </c>
      <c r="Z281" s="221">
        <f t="shared" si="424"/>
        <v>2.6665592966620477</v>
      </c>
      <c r="AA281" s="177">
        <f t="shared" si="425"/>
        <v>1.1503929066313219E-4</v>
      </c>
      <c r="AB281" s="177">
        <f t="shared" si="426"/>
        <v>0.66892235755096752</v>
      </c>
      <c r="AC281" s="177"/>
      <c r="AD281" s="177">
        <f t="shared" si="427"/>
        <v>6.4712206554230591E-6</v>
      </c>
      <c r="AE281" s="555">
        <f t="shared" si="428"/>
        <v>10747.950617283954</v>
      </c>
      <c r="AF281" s="538">
        <f t="shared" si="429"/>
        <v>2.1166825946720815E-3</v>
      </c>
      <c r="AH281" s="177">
        <f t="shared" si="430"/>
        <v>0.8251983888449983</v>
      </c>
      <c r="AI281" s="177">
        <f t="shared" si="431"/>
        <v>0.8251983888449983</v>
      </c>
      <c r="AJ281" s="177">
        <f t="shared" si="432"/>
        <v>1.7001469546999988</v>
      </c>
      <c r="AL281" s="555">
        <f t="shared" si="433"/>
        <v>65</v>
      </c>
      <c r="AM281" s="469">
        <f t="shared" si="434"/>
        <v>350</v>
      </c>
      <c r="AO281">
        <f t="shared" si="435"/>
        <v>65</v>
      </c>
      <c r="AP281">
        <f t="shared" si="436"/>
        <v>350</v>
      </c>
      <c r="AR281" s="5">
        <f t="shared" si="406"/>
        <v>2.8571428571428572</v>
      </c>
      <c r="AS281" s="5">
        <f t="shared" si="385"/>
        <v>0.8841411309053554</v>
      </c>
      <c r="AT281" s="5">
        <f t="shared" si="386"/>
        <v>1.9730017262375017</v>
      </c>
      <c r="AU281" s="177">
        <f t="shared" si="387"/>
        <v>0.30944939581687436</v>
      </c>
      <c r="CI281" s="571">
        <f t="shared" si="437"/>
        <v>-50</v>
      </c>
    </row>
    <row r="282" spans="5:87" x14ac:dyDescent="0.25">
      <c r="E282" s="174">
        <v>66</v>
      </c>
      <c r="F282" s="221">
        <f t="shared" si="438"/>
        <v>6.6000000000000003E-2</v>
      </c>
      <c r="G282" s="221">
        <f t="shared" si="407"/>
        <v>0.33</v>
      </c>
      <c r="H282" s="221">
        <f t="shared" si="408"/>
        <v>0.99</v>
      </c>
      <c r="I282" s="221">
        <f t="shared" si="409"/>
        <v>2.64</v>
      </c>
      <c r="J282" s="551">
        <f t="shared" si="410"/>
        <v>28</v>
      </c>
      <c r="K282" s="451">
        <f t="shared" si="411"/>
        <v>695386.58000000007</v>
      </c>
      <c r="L282" s="451">
        <f t="shared" si="412"/>
        <v>695414.58000000007</v>
      </c>
      <c r="M282" s="451"/>
      <c r="N282" s="221">
        <f t="shared" si="413"/>
        <v>0.99995973624826795</v>
      </c>
      <c r="O282" s="176">
        <f t="shared" si="414"/>
        <v>2.577168956603491</v>
      </c>
      <c r="P282" s="176">
        <f t="shared" si="415"/>
        <v>6.8724505509426423</v>
      </c>
      <c r="Q282" s="221">
        <f t="shared" si="416"/>
        <v>0.17181126377356606</v>
      </c>
      <c r="R282" s="221">
        <f t="shared" si="417"/>
        <v>0.32214611957543637</v>
      </c>
      <c r="S282" s="221">
        <f t="shared" si="418"/>
        <v>15</v>
      </c>
      <c r="T282" s="221">
        <f t="shared" si="419"/>
        <v>0.28810683835745005</v>
      </c>
      <c r="U282" s="221">
        <f t="shared" si="420"/>
        <v>0.30868589824012505</v>
      </c>
      <c r="V282" s="221">
        <f t="shared" si="421"/>
        <v>1.2429352822315755E-5</v>
      </c>
      <c r="W282" s="201">
        <f t="shared" si="422"/>
        <v>350</v>
      </c>
      <c r="X282" s="451">
        <f t="shared" si="423"/>
        <v>350</v>
      </c>
      <c r="Z282" s="221">
        <f t="shared" si="424"/>
        <v>2.6665592966620477</v>
      </c>
      <c r="AA282" s="177">
        <f t="shared" si="425"/>
        <v>1.1503929066313219E-4</v>
      </c>
      <c r="AB282" s="177">
        <f t="shared" si="426"/>
        <v>0.66892235755096752</v>
      </c>
      <c r="AC282" s="177"/>
      <c r="AD282" s="177">
        <f t="shared" si="427"/>
        <v>6.4712206554230591E-6</v>
      </c>
      <c r="AE282" s="555">
        <f t="shared" si="428"/>
        <v>10913.303703703707</v>
      </c>
      <c r="AF282" s="538">
        <f t="shared" si="429"/>
        <v>2.1166825946720815E-3</v>
      </c>
      <c r="AH282" s="177">
        <f t="shared" si="430"/>
        <v>0.83152184062029988</v>
      </c>
      <c r="AI282" s="177">
        <f t="shared" si="431"/>
        <v>0.83152184062029988</v>
      </c>
      <c r="AJ282" s="177">
        <f t="shared" si="432"/>
        <v>1.7048309930520738</v>
      </c>
      <c r="AL282" s="555">
        <f t="shared" si="433"/>
        <v>66</v>
      </c>
      <c r="AM282" s="469">
        <f t="shared" si="434"/>
        <v>350</v>
      </c>
      <c r="AO282">
        <f t="shared" si="435"/>
        <v>66</v>
      </c>
      <c r="AP282">
        <f t="shared" si="436"/>
        <v>350</v>
      </c>
      <c r="AR282" s="5">
        <f t="shared" si="406"/>
        <v>2.8571428571428572</v>
      </c>
      <c r="AS282" s="5">
        <f t="shared" si="385"/>
        <v>0.89091625780746408</v>
      </c>
      <c r="AT282" s="5">
        <f t="shared" si="386"/>
        <v>1.9662265993353931</v>
      </c>
      <c r="AU282" s="177">
        <f t="shared" si="387"/>
        <v>0.31182069023261244</v>
      </c>
      <c r="CI282" s="571">
        <f t="shared" si="437"/>
        <v>-50</v>
      </c>
    </row>
    <row r="283" spans="5:87" x14ac:dyDescent="0.25">
      <c r="E283" s="174">
        <v>67</v>
      </c>
      <c r="F283" s="221">
        <f t="shared" si="438"/>
        <v>6.7000000000000004E-2</v>
      </c>
      <c r="G283" s="221">
        <f t="shared" si="407"/>
        <v>0.33500000000000002</v>
      </c>
      <c r="H283" s="221">
        <f t="shared" si="408"/>
        <v>1.0050000000000001</v>
      </c>
      <c r="I283" s="221">
        <f t="shared" si="409"/>
        <v>2.68</v>
      </c>
      <c r="J283" s="551">
        <f t="shared" si="410"/>
        <v>28</v>
      </c>
      <c r="K283" s="451">
        <f t="shared" si="411"/>
        <v>695386.58000000007</v>
      </c>
      <c r="L283" s="451">
        <f t="shared" si="412"/>
        <v>695414.58000000007</v>
      </c>
      <c r="M283" s="451"/>
      <c r="N283" s="221">
        <f t="shared" si="413"/>
        <v>0.99995973624826795</v>
      </c>
      <c r="O283" s="176">
        <f t="shared" si="414"/>
        <v>2.577168956603491</v>
      </c>
      <c r="P283" s="176">
        <f t="shared" si="415"/>
        <v>6.8724505509426423</v>
      </c>
      <c r="Q283" s="221">
        <f t="shared" si="416"/>
        <v>0.17181126377356606</v>
      </c>
      <c r="R283" s="221">
        <f t="shared" si="417"/>
        <v>0.32214611957543637</v>
      </c>
      <c r="S283" s="221">
        <f t="shared" si="418"/>
        <v>15</v>
      </c>
      <c r="T283" s="221">
        <f t="shared" si="419"/>
        <v>0.2924720934840781</v>
      </c>
      <c r="U283" s="221">
        <f t="shared" si="420"/>
        <v>0.31336295730436942</v>
      </c>
      <c r="V283" s="221">
        <f t="shared" si="421"/>
        <v>1.2617676349926601E-5</v>
      </c>
      <c r="W283" s="201">
        <f t="shared" si="422"/>
        <v>350</v>
      </c>
      <c r="X283" s="451">
        <f t="shared" si="423"/>
        <v>350</v>
      </c>
      <c r="Z283" s="221">
        <f t="shared" si="424"/>
        <v>2.6665592966620477</v>
      </c>
      <c r="AA283" s="177">
        <f t="shared" si="425"/>
        <v>1.1503929066313219E-4</v>
      </c>
      <c r="AB283" s="177">
        <f t="shared" si="426"/>
        <v>0.66892235755096752</v>
      </c>
      <c r="AC283" s="177"/>
      <c r="AD283" s="177">
        <f t="shared" si="427"/>
        <v>6.4712206554230591E-6</v>
      </c>
      <c r="AE283" s="555">
        <f t="shared" si="428"/>
        <v>11078.656790123459</v>
      </c>
      <c r="AF283" s="538">
        <f t="shared" si="429"/>
        <v>2.1166825946720815E-3</v>
      </c>
      <c r="AH283" s="177">
        <f t="shared" si="430"/>
        <v>0.83779756618455392</v>
      </c>
      <c r="AI283" s="177">
        <f t="shared" si="431"/>
        <v>0.83779756618455392</v>
      </c>
      <c r="AJ283" s="177">
        <f t="shared" si="432"/>
        <v>1.7094796786552249</v>
      </c>
      <c r="AL283" s="555">
        <f t="shared" si="433"/>
        <v>67</v>
      </c>
      <c r="AM283" s="469">
        <f t="shared" si="434"/>
        <v>350</v>
      </c>
      <c r="AO283">
        <f t="shared" si="435"/>
        <v>67</v>
      </c>
      <c r="AP283">
        <f t="shared" si="436"/>
        <v>350</v>
      </c>
      <c r="AR283" s="5">
        <f t="shared" si="406"/>
        <v>2.8571428571428572</v>
      </c>
      <c r="AS283" s="5">
        <f t="shared" si="385"/>
        <v>0.89764024948345056</v>
      </c>
      <c r="AT283" s="5">
        <f t="shared" si="386"/>
        <v>1.9595026076594066</v>
      </c>
      <c r="AU283" s="177">
        <f t="shared" si="387"/>
        <v>0.31417408731920771</v>
      </c>
      <c r="CI283" s="571">
        <f t="shared" si="437"/>
        <v>-50</v>
      </c>
    </row>
    <row r="284" spans="5:87" x14ac:dyDescent="0.25">
      <c r="E284" s="174">
        <v>68</v>
      </c>
      <c r="F284" s="221">
        <f t="shared" si="438"/>
        <v>6.8000000000000005E-2</v>
      </c>
      <c r="G284" s="221">
        <f t="shared" si="407"/>
        <v>0.34</v>
      </c>
      <c r="H284" s="221">
        <f t="shared" si="408"/>
        <v>1.02</v>
      </c>
      <c r="I284" s="221">
        <f t="shared" si="409"/>
        <v>2.72</v>
      </c>
      <c r="J284" s="551">
        <f t="shared" si="410"/>
        <v>28</v>
      </c>
      <c r="K284" s="451">
        <f t="shared" si="411"/>
        <v>695386.58000000007</v>
      </c>
      <c r="L284" s="451">
        <f t="shared" si="412"/>
        <v>695414.58000000007</v>
      </c>
      <c r="M284" s="451"/>
      <c r="N284" s="221">
        <f t="shared" si="413"/>
        <v>0.99995973624826795</v>
      </c>
      <c r="O284" s="176">
        <f t="shared" si="414"/>
        <v>2.577168956603491</v>
      </c>
      <c r="P284" s="176">
        <f t="shared" si="415"/>
        <v>6.8724505509426423</v>
      </c>
      <c r="Q284" s="221">
        <f t="shared" si="416"/>
        <v>0.17181126377356606</v>
      </c>
      <c r="R284" s="221">
        <f t="shared" si="417"/>
        <v>0.32214611957543637</v>
      </c>
      <c r="S284" s="221">
        <f t="shared" si="418"/>
        <v>15</v>
      </c>
      <c r="T284" s="221">
        <f t="shared" si="419"/>
        <v>0.2968373486107061</v>
      </c>
      <c r="U284" s="221">
        <f t="shared" si="420"/>
        <v>0.31804001636861368</v>
      </c>
      <c r="V284" s="221">
        <f t="shared" si="421"/>
        <v>1.2805999877537444E-5</v>
      </c>
      <c r="W284" s="201">
        <f t="shared" si="422"/>
        <v>350</v>
      </c>
      <c r="X284" s="451">
        <f t="shared" si="423"/>
        <v>350</v>
      </c>
      <c r="Z284" s="221">
        <f t="shared" si="424"/>
        <v>2.6665592966620477</v>
      </c>
      <c r="AA284" s="177">
        <f t="shared" si="425"/>
        <v>1.1503929066313219E-4</v>
      </c>
      <c r="AB284" s="177">
        <f t="shared" si="426"/>
        <v>0.66892235755096752</v>
      </c>
      <c r="AC284" s="177"/>
      <c r="AD284" s="177">
        <f t="shared" si="427"/>
        <v>6.4712206554230591E-6</v>
      </c>
      <c r="AE284" s="555">
        <f t="shared" si="428"/>
        <v>11244.009876543214</v>
      </c>
      <c r="AF284" s="538">
        <f t="shared" si="429"/>
        <v>2.1166825946720815E-3</v>
      </c>
      <c r="AH284" s="177">
        <f t="shared" si="430"/>
        <v>0.84402663013731527</v>
      </c>
      <c r="AI284" s="177">
        <f t="shared" si="431"/>
        <v>0.84402663013731527</v>
      </c>
      <c r="AJ284" s="177">
        <f t="shared" si="432"/>
        <v>1.7140938001017147</v>
      </c>
      <c r="AL284" s="555">
        <f t="shared" si="433"/>
        <v>68</v>
      </c>
      <c r="AM284" s="469">
        <f t="shared" si="434"/>
        <v>350</v>
      </c>
      <c r="AO284">
        <f t="shared" si="435"/>
        <v>68</v>
      </c>
      <c r="AP284">
        <f t="shared" si="436"/>
        <v>350</v>
      </c>
      <c r="AR284" s="5">
        <f t="shared" si="406"/>
        <v>2.8571428571428572</v>
      </c>
      <c r="AS284" s="5">
        <f t="shared" si="385"/>
        <v>0.90431424657569492</v>
      </c>
      <c r="AT284" s="5">
        <f t="shared" si="386"/>
        <v>1.9528286105671624</v>
      </c>
      <c r="AU284" s="177">
        <f t="shared" si="387"/>
        <v>0.31650998630149324</v>
      </c>
      <c r="CI284" s="571">
        <f t="shared" si="437"/>
        <v>-50</v>
      </c>
    </row>
    <row r="285" spans="5:87" x14ac:dyDescent="0.25">
      <c r="E285" s="174">
        <v>69</v>
      </c>
      <c r="F285" s="221">
        <f t="shared" si="438"/>
        <v>6.8999999999999992E-2</v>
      </c>
      <c r="G285" s="221">
        <f t="shared" si="407"/>
        <v>0.34499999999999997</v>
      </c>
      <c r="H285" s="221">
        <f t="shared" si="408"/>
        <v>1.0349999999999999</v>
      </c>
      <c r="I285" s="221">
        <f t="shared" si="409"/>
        <v>2.76</v>
      </c>
      <c r="J285" s="551">
        <f t="shared" si="410"/>
        <v>28</v>
      </c>
      <c r="K285" s="451">
        <f t="shared" si="411"/>
        <v>695386.58000000007</v>
      </c>
      <c r="L285" s="451">
        <f t="shared" si="412"/>
        <v>695414.58000000007</v>
      </c>
      <c r="M285" s="451"/>
      <c r="N285" s="221">
        <f t="shared" si="413"/>
        <v>0.99995973624826795</v>
      </c>
      <c r="O285" s="176">
        <f t="shared" si="414"/>
        <v>2.577168956603491</v>
      </c>
      <c r="P285" s="176">
        <f t="shared" si="415"/>
        <v>6.8724505509426423</v>
      </c>
      <c r="Q285" s="221">
        <f t="shared" si="416"/>
        <v>0.17181126377356606</v>
      </c>
      <c r="R285" s="221">
        <f t="shared" si="417"/>
        <v>0.32214611957543637</v>
      </c>
      <c r="S285" s="221">
        <f t="shared" si="418"/>
        <v>15</v>
      </c>
      <c r="T285" s="221">
        <f t="shared" si="419"/>
        <v>0.30120260373733415</v>
      </c>
      <c r="U285" s="221">
        <f t="shared" si="420"/>
        <v>0.32271707543285805</v>
      </c>
      <c r="V285" s="221">
        <f t="shared" si="421"/>
        <v>1.299432340514829E-5</v>
      </c>
      <c r="W285" s="201">
        <f t="shared" si="422"/>
        <v>350</v>
      </c>
      <c r="X285" s="451">
        <f t="shared" si="423"/>
        <v>350</v>
      </c>
      <c r="Z285" s="221">
        <f t="shared" si="424"/>
        <v>2.6665592966620477</v>
      </c>
      <c r="AA285" s="177">
        <f t="shared" si="425"/>
        <v>1.1503929066313219E-4</v>
      </c>
      <c r="AB285" s="177">
        <f t="shared" si="426"/>
        <v>0.66892235755096752</v>
      </c>
      <c r="AC285" s="177"/>
      <c r="AD285" s="177">
        <f t="shared" si="427"/>
        <v>6.4712206554230591E-6</v>
      </c>
      <c r="AE285" s="555">
        <f t="shared" si="428"/>
        <v>11409.362962962965</v>
      </c>
      <c r="AF285" s="538">
        <f t="shared" si="429"/>
        <v>2.1166825946720815E-3</v>
      </c>
      <c r="AH285" s="177">
        <f t="shared" si="430"/>
        <v>0.85021005807808625</v>
      </c>
      <c r="AI285" s="177">
        <f t="shared" si="431"/>
        <v>0.85021005807808625</v>
      </c>
      <c r="AJ285" s="177">
        <f t="shared" si="432"/>
        <v>1.7186741170948787</v>
      </c>
      <c r="AL285" s="555">
        <f t="shared" si="433"/>
        <v>68.999999999999986</v>
      </c>
      <c r="AM285" s="469">
        <f t="shared" si="434"/>
        <v>350</v>
      </c>
      <c r="AO285">
        <f t="shared" si="435"/>
        <v>68.999999999999986</v>
      </c>
      <c r="AP285">
        <f t="shared" si="436"/>
        <v>350</v>
      </c>
      <c r="AR285" s="5">
        <f t="shared" si="406"/>
        <v>2.8571428571428572</v>
      </c>
      <c r="AS285" s="5">
        <f t="shared" si="385"/>
        <v>0.91093934794080678</v>
      </c>
      <c r="AT285" s="5">
        <f t="shared" si="386"/>
        <v>1.9462035092020504</v>
      </c>
      <c r="AU285" s="177">
        <f t="shared" si="387"/>
        <v>0.31882877177928237</v>
      </c>
      <c r="CI285" s="571">
        <f t="shared" si="437"/>
        <v>-50</v>
      </c>
    </row>
    <row r="286" spans="5:87" x14ac:dyDescent="0.25">
      <c r="E286" s="174">
        <v>70</v>
      </c>
      <c r="F286" s="221">
        <f t="shared" si="438"/>
        <v>6.9999999999999993E-2</v>
      </c>
      <c r="G286" s="221">
        <f t="shared" si="407"/>
        <v>0.35</v>
      </c>
      <c r="H286" s="221">
        <f t="shared" si="408"/>
        <v>1.0499999999999998</v>
      </c>
      <c r="I286" s="221">
        <f t="shared" si="409"/>
        <v>2.8</v>
      </c>
      <c r="J286" s="551">
        <f t="shared" si="410"/>
        <v>28</v>
      </c>
      <c r="K286" s="451">
        <f t="shared" si="411"/>
        <v>695386.58000000007</v>
      </c>
      <c r="L286" s="451">
        <f t="shared" si="412"/>
        <v>695414.58000000007</v>
      </c>
      <c r="M286" s="451"/>
      <c r="N286" s="221">
        <f t="shared" si="413"/>
        <v>0.99995973624826795</v>
      </c>
      <c r="O286" s="176">
        <f t="shared" si="414"/>
        <v>2.577168956603491</v>
      </c>
      <c r="P286" s="176">
        <f t="shared" si="415"/>
        <v>6.8724505509426423</v>
      </c>
      <c r="Q286" s="221">
        <f t="shared" si="416"/>
        <v>0.17181126377356606</v>
      </c>
      <c r="R286" s="221">
        <f t="shared" si="417"/>
        <v>0.32214611957543637</v>
      </c>
      <c r="S286" s="221">
        <f t="shared" si="418"/>
        <v>15</v>
      </c>
      <c r="T286" s="221">
        <f t="shared" si="419"/>
        <v>0.30556785886396215</v>
      </c>
      <c r="U286" s="221">
        <f t="shared" si="420"/>
        <v>0.32739413449710231</v>
      </c>
      <c r="V286" s="221">
        <f t="shared" si="421"/>
        <v>1.3182646932759131E-5</v>
      </c>
      <c r="W286" s="201">
        <f t="shared" si="422"/>
        <v>350</v>
      </c>
      <c r="X286" s="451">
        <f t="shared" si="423"/>
        <v>350</v>
      </c>
      <c r="Z286" s="221">
        <f t="shared" si="424"/>
        <v>2.6665592966620477</v>
      </c>
      <c r="AA286" s="177">
        <f t="shared" si="425"/>
        <v>1.1503929066313219E-4</v>
      </c>
      <c r="AB286" s="177">
        <f t="shared" si="426"/>
        <v>0.66892235755096752</v>
      </c>
      <c r="AC286" s="177"/>
      <c r="AD286" s="177">
        <f t="shared" si="427"/>
        <v>6.4712206554230591E-6</v>
      </c>
      <c r="AE286" s="555">
        <f t="shared" si="428"/>
        <v>11574.716049382718</v>
      </c>
      <c r="AF286" s="538">
        <f t="shared" si="429"/>
        <v>2.1166825946720815E-3</v>
      </c>
      <c r="AH286" s="177">
        <f t="shared" si="430"/>
        <v>0.85634883857767519</v>
      </c>
      <c r="AI286" s="177">
        <f t="shared" si="431"/>
        <v>0.85634883857767519</v>
      </c>
      <c r="AJ286" s="177">
        <f t="shared" si="432"/>
        <v>1.7232213619093888</v>
      </c>
      <c r="AL286" s="555">
        <f t="shared" si="433"/>
        <v>69.999999999999986</v>
      </c>
      <c r="AM286" s="469">
        <f t="shared" si="434"/>
        <v>350</v>
      </c>
      <c r="AO286">
        <f t="shared" si="435"/>
        <v>69.999999999999986</v>
      </c>
      <c r="AP286">
        <f t="shared" si="436"/>
        <v>350</v>
      </c>
      <c r="AR286" s="5">
        <f t="shared" si="406"/>
        <v>2.8571428571428572</v>
      </c>
      <c r="AS286" s="5">
        <f t="shared" si="385"/>
        <v>0.91751661276179486</v>
      </c>
      <c r="AT286" s="5">
        <f t="shared" si="386"/>
        <v>1.9396262443810623</v>
      </c>
      <c r="AU286" s="177">
        <f t="shared" si="387"/>
        <v>0.32113081446662817</v>
      </c>
      <c r="CI286" s="571">
        <f t="shared" si="437"/>
        <v>-50</v>
      </c>
    </row>
    <row r="287" spans="5:87" x14ac:dyDescent="0.25">
      <c r="E287" s="174">
        <v>71</v>
      </c>
      <c r="F287" s="221">
        <f t="shared" si="438"/>
        <v>7.0999999999999994E-2</v>
      </c>
      <c r="G287" s="221">
        <f t="shared" si="407"/>
        <v>0.35499999999999998</v>
      </c>
      <c r="H287" s="221">
        <f t="shared" si="408"/>
        <v>1.0649999999999999</v>
      </c>
      <c r="I287" s="221">
        <f t="shared" si="409"/>
        <v>2.84</v>
      </c>
      <c r="J287" s="551">
        <f t="shared" si="410"/>
        <v>28</v>
      </c>
      <c r="K287" s="451">
        <f t="shared" si="411"/>
        <v>695386.58000000007</v>
      </c>
      <c r="L287" s="451">
        <f t="shared" si="412"/>
        <v>695414.58000000007</v>
      </c>
      <c r="M287" s="451"/>
      <c r="N287" s="221">
        <f t="shared" si="413"/>
        <v>0.99995973624826795</v>
      </c>
      <c r="O287" s="176">
        <f t="shared" si="414"/>
        <v>2.577168956603491</v>
      </c>
      <c r="P287" s="176">
        <f t="shared" si="415"/>
        <v>6.8724505509426423</v>
      </c>
      <c r="Q287" s="221">
        <f t="shared" si="416"/>
        <v>0.17181126377356606</v>
      </c>
      <c r="R287" s="221">
        <f t="shared" si="417"/>
        <v>0.32214611957543637</v>
      </c>
      <c r="S287" s="221">
        <f t="shared" si="418"/>
        <v>15</v>
      </c>
      <c r="T287" s="221">
        <f t="shared" si="419"/>
        <v>0.3099331139905902</v>
      </c>
      <c r="U287" s="221">
        <f t="shared" si="420"/>
        <v>0.33207119356134662</v>
      </c>
      <c r="V287" s="221">
        <f t="shared" si="421"/>
        <v>1.3370970460369978E-5</v>
      </c>
      <c r="W287" s="201">
        <f t="shared" si="422"/>
        <v>350</v>
      </c>
      <c r="X287" s="451">
        <f t="shared" si="423"/>
        <v>350</v>
      </c>
      <c r="Z287" s="221">
        <f t="shared" si="424"/>
        <v>2.6665592966620477</v>
      </c>
      <c r="AA287" s="177">
        <f t="shared" si="425"/>
        <v>1.1503929066313219E-4</v>
      </c>
      <c r="AB287" s="177">
        <f t="shared" si="426"/>
        <v>0.66892235755096752</v>
      </c>
      <c r="AC287" s="177"/>
      <c r="AD287" s="177">
        <f t="shared" si="427"/>
        <v>6.4712206554230591E-6</v>
      </c>
      <c r="AE287" s="555">
        <f t="shared" si="428"/>
        <v>11740.069135802471</v>
      </c>
      <c r="AF287" s="538">
        <f t="shared" si="429"/>
        <v>2.1166825946720815E-3</v>
      </c>
      <c r="AH287" s="177">
        <f t="shared" si="430"/>
        <v>0.8624439250232584</v>
      </c>
      <c r="AI287" s="177">
        <f t="shared" si="431"/>
        <v>0.8624439250232584</v>
      </c>
      <c r="AJ287" s="177">
        <f t="shared" si="432"/>
        <v>1.7277362407579691</v>
      </c>
      <c r="AL287" s="555">
        <f t="shared" si="433"/>
        <v>71</v>
      </c>
      <c r="AM287" s="469">
        <f t="shared" si="434"/>
        <v>350</v>
      </c>
      <c r="AO287">
        <f t="shared" si="435"/>
        <v>71</v>
      </c>
      <c r="AP287">
        <f t="shared" si="436"/>
        <v>350</v>
      </c>
      <c r="AR287" s="5">
        <f t="shared" si="406"/>
        <v>2.8571428571428572</v>
      </c>
      <c r="AS287" s="5">
        <f t="shared" si="385"/>
        <v>0.92404706252491975</v>
      </c>
      <c r="AT287" s="5">
        <f t="shared" si="386"/>
        <v>1.9330957946179375</v>
      </c>
      <c r="AU287" s="177">
        <f t="shared" si="387"/>
        <v>0.32341647188372191</v>
      </c>
      <c r="CI287" s="571">
        <f t="shared" si="437"/>
        <v>-50</v>
      </c>
    </row>
    <row r="288" spans="5:87" x14ac:dyDescent="0.25">
      <c r="E288" s="174">
        <v>72</v>
      </c>
      <c r="F288" s="221">
        <f t="shared" si="438"/>
        <v>7.1999999999999995E-2</v>
      </c>
      <c r="G288" s="221">
        <f t="shared" si="407"/>
        <v>0.36</v>
      </c>
      <c r="H288" s="221">
        <f t="shared" si="408"/>
        <v>1.0799999999999998</v>
      </c>
      <c r="I288" s="221">
        <f t="shared" si="409"/>
        <v>2.88</v>
      </c>
      <c r="J288" s="551">
        <f t="shared" si="410"/>
        <v>28</v>
      </c>
      <c r="K288" s="451">
        <f t="shared" si="411"/>
        <v>695386.58000000007</v>
      </c>
      <c r="L288" s="451">
        <f t="shared" si="412"/>
        <v>695414.58000000007</v>
      </c>
      <c r="M288" s="451"/>
      <c r="N288" s="221">
        <f t="shared" si="413"/>
        <v>0.99995973624826795</v>
      </c>
      <c r="O288" s="176">
        <f t="shared" si="414"/>
        <v>2.577168956603491</v>
      </c>
      <c r="P288" s="176">
        <f t="shared" si="415"/>
        <v>6.8724505509426423</v>
      </c>
      <c r="Q288" s="221">
        <f t="shared" si="416"/>
        <v>0.17181126377356606</v>
      </c>
      <c r="R288" s="221">
        <f t="shared" si="417"/>
        <v>0.32214611957543637</v>
      </c>
      <c r="S288" s="221">
        <f t="shared" si="418"/>
        <v>15</v>
      </c>
      <c r="T288" s="221">
        <f t="shared" si="419"/>
        <v>0.3142983691172182</v>
      </c>
      <c r="U288" s="221">
        <f t="shared" si="420"/>
        <v>0.33674825262559088</v>
      </c>
      <c r="V288" s="221">
        <f t="shared" si="421"/>
        <v>1.3559293987980822E-5</v>
      </c>
      <c r="W288" s="201">
        <f t="shared" si="422"/>
        <v>350</v>
      </c>
      <c r="X288" s="451">
        <f t="shared" si="423"/>
        <v>350</v>
      </c>
      <c r="Z288" s="221">
        <f t="shared" si="424"/>
        <v>2.6665592966620477</v>
      </c>
      <c r="AA288" s="177">
        <f t="shared" si="425"/>
        <v>1.1503929066313219E-4</v>
      </c>
      <c r="AB288" s="177">
        <f t="shared" si="426"/>
        <v>0.66892235755096752</v>
      </c>
      <c r="AC288" s="177"/>
      <c r="AD288" s="177">
        <f t="shared" si="427"/>
        <v>6.4712206554230591E-6</v>
      </c>
      <c r="AE288" s="555">
        <f t="shared" si="428"/>
        <v>11905.422222222223</v>
      </c>
      <c r="AF288" s="538">
        <f t="shared" si="429"/>
        <v>2.1166825946720815E-3</v>
      </c>
      <c r="AH288" s="177">
        <f t="shared" si="430"/>
        <v>0.86849623734689507</v>
      </c>
      <c r="AI288" s="177">
        <f t="shared" si="431"/>
        <v>0.86849623734689507</v>
      </c>
      <c r="AJ288" s="177">
        <f t="shared" si="432"/>
        <v>1.7322194350717739</v>
      </c>
      <c r="AL288" s="555">
        <f t="shared" si="433"/>
        <v>72</v>
      </c>
      <c r="AM288" s="469">
        <f t="shared" si="434"/>
        <v>350</v>
      </c>
      <c r="AO288">
        <f t="shared" si="435"/>
        <v>72</v>
      </c>
      <c r="AP288">
        <f t="shared" si="436"/>
        <v>350</v>
      </c>
      <c r="AR288" s="5">
        <f t="shared" si="406"/>
        <v>2.8571428571428572</v>
      </c>
      <c r="AS288" s="5">
        <f t="shared" si="385"/>
        <v>0.93053168287167332</v>
      </c>
      <c r="AT288" s="5">
        <f t="shared" si="386"/>
        <v>1.926611174271184</v>
      </c>
      <c r="AU288" s="177">
        <f t="shared" si="387"/>
        <v>0.32568608900508567</v>
      </c>
      <c r="CI288" s="571">
        <f t="shared" si="437"/>
        <v>-50</v>
      </c>
    </row>
    <row r="289" spans="5:87" x14ac:dyDescent="0.25">
      <c r="E289" s="174">
        <v>73</v>
      </c>
      <c r="F289" s="221">
        <f t="shared" si="438"/>
        <v>7.2999999999999995E-2</v>
      </c>
      <c r="G289" s="221">
        <f t="shared" si="407"/>
        <v>0.36499999999999999</v>
      </c>
      <c r="H289" s="221">
        <f t="shared" si="408"/>
        <v>1.095</v>
      </c>
      <c r="I289" s="221">
        <f t="shared" si="409"/>
        <v>2.92</v>
      </c>
      <c r="J289" s="551">
        <f t="shared" si="410"/>
        <v>28</v>
      </c>
      <c r="K289" s="451">
        <f t="shared" si="411"/>
        <v>695386.58000000007</v>
      </c>
      <c r="L289" s="451">
        <f t="shared" si="412"/>
        <v>695414.58000000007</v>
      </c>
      <c r="M289" s="451"/>
      <c r="N289" s="221">
        <f t="shared" si="413"/>
        <v>0.99995973624826795</v>
      </c>
      <c r="O289" s="176">
        <f t="shared" si="414"/>
        <v>2.577168956603491</v>
      </c>
      <c r="P289" s="176">
        <f t="shared" si="415"/>
        <v>6.8724505509426423</v>
      </c>
      <c r="Q289" s="221">
        <f t="shared" si="416"/>
        <v>0.17181126377356606</v>
      </c>
      <c r="R289" s="221">
        <f t="shared" si="417"/>
        <v>0.32214611957543637</v>
      </c>
      <c r="S289" s="221">
        <f t="shared" si="418"/>
        <v>15</v>
      </c>
      <c r="T289" s="221">
        <f t="shared" si="419"/>
        <v>0.31866362424384626</v>
      </c>
      <c r="U289" s="221">
        <f t="shared" si="420"/>
        <v>0.34142531168983525</v>
      </c>
      <c r="V289" s="221">
        <f t="shared" si="421"/>
        <v>1.3747617515591667E-5</v>
      </c>
      <c r="W289" s="201">
        <f t="shared" si="422"/>
        <v>350</v>
      </c>
      <c r="X289" s="451">
        <f t="shared" si="423"/>
        <v>350</v>
      </c>
      <c r="Z289" s="221">
        <f t="shared" si="424"/>
        <v>2.6665592966620477</v>
      </c>
      <c r="AA289" s="177">
        <f t="shared" si="425"/>
        <v>1.1503929066313219E-4</v>
      </c>
      <c r="AB289" s="177">
        <f t="shared" si="426"/>
        <v>0.66892235755096752</v>
      </c>
      <c r="AC289" s="177"/>
      <c r="AD289" s="177">
        <f t="shared" si="427"/>
        <v>6.4712206554230591E-6</v>
      </c>
      <c r="AE289" s="555">
        <f t="shared" si="428"/>
        <v>12070.775308641976</v>
      </c>
      <c r="AF289" s="538">
        <f t="shared" si="429"/>
        <v>2.1166825946720815E-3</v>
      </c>
      <c r="AH289" s="177">
        <f t="shared" si="430"/>
        <v>0.87450666364636964</v>
      </c>
      <c r="AI289" s="177">
        <f t="shared" si="431"/>
        <v>0.87450666364636964</v>
      </c>
      <c r="AJ289" s="177">
        <f t="shared" si="432"/>
        <v>1.7366716027010143</v>
      </c>
      <c r="AL289" s="555">
        <f t="shared" si="433"/>
        <v>73</v>
      </c>
      <c r="AM289" s="469">
        <f t="shared" si="434"/>
        <v>350</v>
      </c>
      <c r="AO289">
        <f t="shared" si="435"/>
        <v>73</v>
      </c>
      <c r="AP289">
        <f t="shared" si="436"/>
        <v>350</v>
      </c>
      <c r="AR289" s="5">
        <f t="shared" si="406"/>
        <v>2.8571428571428572</v>
      </c>
      <c r="AS289" s="5">
        <f t="shared" si="385"/>
        <v>0.93697142533539601</v>
      </c>
      <c r="AT289" s="5">
        <f t="shared" si="386"/>
        <v>1.9201714318074612</v>
      </c>
      <c r="AU289" s="177">
        <f t="shared" si="387"/>
        <v>0.32793999886738862</v>
      </c>
      <c r="CI289" s="571">
        <f t="shared" si="437"/>
        <v>-50</v>
      </c>
    </row>
    <row r="290" spans="5:87" x14ac:dyDescent="0.25">
      <c r="E290" s="174">
        <v>74</v>
      </c>
      <c r="F290" s="221">
        <f t="shared" si="438"/>
        <v>7.3999999999999996E-2</v>
      </c>
      <c r="G290" s="221">
        <f t="shared" si="407"/>
        <v>0.37</v>
      </c>
      <c r="H290" s="221">
        <f t="shared" si="408"/>
        <v>1.1099999999999999</v>
      </c>
      <c r="I290" s="221">
        <f t="shared" si="409"/>
        <v>2.96</v>
      </c>
      <c r="J290" s="551">
        <f t="shared" si="410"/>
        <v>28</v>
      </c>
      <c r="K290" s="451">
        <f t="shared" si="411"/>
        <v>695386.58000000007</v>
      </c>
      <c r="L290" s="451">
        <f t="shared" si="412"/>
        <v>695414.58000000007</v>
      </c>
      <c r="M290" s="451"/>
      <c r="N290" s="221">
        <f t="shared" si="413"/>
        <v>0.99995973624826795</v>
      </c>
      <c r="O290" s="176">
        <f t="shared" si="414"/>
        <v>2.577168956603491</v>
      </c>
      <c r="P290" s="176">
        <f t="shared" si="415"/>
        <v>6.8724505509426423</v>
      </c>
      <c r="Q290" s="221">
        <f t="shared" si="416"/>
        <v>0.17181126377356606</v>
      </c>
      <c r="R290" s="221">
        <f t="shared" si="417"/>
        <v>0.32214611957543637</v>
      </c>
      <c r="S290" s="221">
        <f t="shared" si="418"/>
        <v>15</v>
      </c>
      <c r="T290" s="221">
        <f t="shared" si="419"/>
        <v>0.32302887937047431</v>
      </c>
      <c r="U290" s="221">
        <f t="shared" si="420"/>
        <v>0.34610237075407957</v>
      </c>
      <c r="V290" s="221">
        <f t="shared" si="421"/>
        <v>1.3935941043202513E-5</v>
      </c>
      <c r="W290" s="201">
        <f t="shared" si="422"/>
        <v>350</v>
      </c>
      <c r="X290" s="451">
        <f t="shared" si="423"/>
        <v>350</v>
      </c>
      <c r="Z290" s="221">
        <f t="shared" si="424"/>
        <v>2.6665592966620477</v>
      </c>
      <c r="AA290" s="177">
        <f t="shared" si="425"/>
        <v>1.1503929066313219E-4</v>
      </c>
      <c r="AB290" s="177">
        <f t="shared" si="426"/>
        <v>0.66892235755096752</v>
      </c>
      <c r="AC290" s="177"/>
      <c r="AD290" s="177">
        <f t="shared" si="427"/>
        <v>6.4712206554230591E-6</v>
      </c>
      <c r="AE290" s="555">
        <f t="shared" si="428"/>
        <v>12236.128395061731</v>
      </c>
      <c r="AF290" s="538">
        <f t="shared" si="429"/>
        <v>2.1166825946720815E-3</v>
      </c>
      <c r="AH290" s="177">
        <f t="shared" si="430"/>
        <v>0.8804760617064471</v>
      </c>
      <c r="AI290" s="177">
        <f t="shared" si="431"/>
        <v>0.8804760617064471</v>
      </c>
      <c r="AJ290" s="177">
        <f t="shared" si="432"/>
        <v>1.7410933790418126</v>
      </c>
      <c r="AL290" s="555">
        <f t="shared" si="433"/>
        <v>74</v>
      </c>
      <c r="AM290" s="469">
        <f t="shared" si="434"/>
        <v>350</v>
      </c>
      <c r="AO290">
        <f t="shared" si="435"/>
        <v>74</v>
      </c>
      <c r="AP290">
        <f t="shared" si="436"/>
        <v>350</v>
      </c>
      <c r="AR290" s="5">
        <f t="shared" si="406"/>
        <v>2.8571428571428572</v>
      </c>
      <c r="AS290" s="5">
        <f t="shared" si="385"/>
        <v>0.94336720897119331</v>
      </c>
      <c r="AT290" s="5">
        <f t="shared" si="386"/>
        <v>1.9137756481716639</v>
      </c>
      <c r="AU290" s="177">
        <f t="shared" si="387"/>
        <v>0.33017852313991763</v>
      </c>
      <c r="CI290" s="571">
        <f t="shared" si="437"/>
        <v>-50</v>
      </c>
    </row>
    <row r="291" spans="5:87" x14ac:dyDescent="0.25">
      <c r="E291" s="174">
        <v>75</v>
      </c>
      <c r="F291" s="221">
        <f t="shared" si="438"/>
        <v>7.5000000000000011E-2</v>
      </c>
      <c r="G291" s="221">
        <f t="shared" si="407"/>
        <v>0.375</v>
      </c>
      <c r="H291" s="221">
        <f t="shared" si="408"/>
        <v>1.1250000000000002</v>
      </c>
      <c r="I291" s="221">
        <f t="shared" si="409"/>
        <v>3</v>
      </c>
      <c r="J291" s="551">
        <f t="shared" si="410"/>
        <v>28</v>
      </c>
      <c r="K291" s="451">
        <f t="shared" si="411"/>
        <v>695386.58000000007</v>
      </c>
      <c r="L291" s="451">
        <f t="shared" si="412"/>
        <v>695414.58000000007</v>
      </c>
      <c r="M291" s="451"/>
      <c r="N291" s="221">
        <f t="shared" si="413"/>
        <v>0.99995973624826795</v>
      </c>
      <c r="O291" s="176">
        <f t="shared" si="414"/>
        <v>2.577168956603491</v>
      </c>
      <c r="P291" s="176">
        <f t="shared" si="415"/>
        <v>6.8724505509426423</v>
      </c>
      <c r="Q291" s="221">
        <f t="shared" si="416"/>
        <v>0.17181126377356606</v>
      </c>
      <c r="R291" s="221">
        <f t="shared" si="417"/>
        <v>0.32214611957543637</v>
      </c>
      <c r="S291" s="221">
        <f t="shared" si="418"/>
        <v>15</v>
      </c>
      <c r="T291" s="221">
        <f t="shared" si="419"/>
        <v>0.32739413449710231</v>
      </c>
      <c r="U291" s="221">
        <f t="shared" si="420"/>
        <v>0.35077942981832388</v>
      </c>
      <c r="V291" s="221">
        <f t="shared" si="421"/>
        <v>1.4124264570813356E-5</v>
      </c>
      <c r="W291" s="201">
        <f t="shared" si="422"/>
        <v>350</v>
      </c>
      <c r="X291" s="451">
        <f t="shared" si="423"/>
        <v>350</v>
      </c>
      <c r="Z291" s="221">
        <f t="shared" si="424"/>
        <v>2.6665592966620477</v>
      </c>
      <c r="AA291" s="177">
        <f t="shared" si="425"/>
        <v>1.1503929066313219E-4</v>
      </c>
      <c r="AB291" s="177">
        <f t="shared" si="426"/>
        <v>0.66892235755096752</v>
      </c>
      <c r="AC291" s="177"/>
      <c r="AD291" s="177">
        <f t="shared" si="427"/>
        <v>6.4712206554230591E-6</v>
      </c>
      <c r="AE291" s="555">
        <f t="shared" si="428"/>
        <v>12401.481481481487</v>
      </c>
      <c r="AF291" s="538">
        <f t="shared" si="429"/>
        <v>2.1166825946720815E-3</v>
      </c>
      <c r="AH291" s="177">
        <f t="shared" si="430"/>
        <v>0.88640526042791834</v>
      </c>
      <c r="AI291" s="177">
        <f t="shared" si="431"/>
        <v>0.88640526042791834</v>
      </c>
      <c r="AJ291" s="177">
        <f t="shared" si="432"/>
        <v>1.7454853780947541</v>
      </c>
      <c r="AL291" s="555">
        <f t="shared" si="433"/>
        <v>75.000000000000014</v>
      </c>
      <c r="AM291" s="469">
        <f t="shared" si="434"/>
        <v>350</v>
      </c>
      <c r="AO291">
        <f t="shared" si="435"/>
        <v>75.000000000000014</v>
      </c>
      <c r="AP291">
        <f t="shared" si="436"/>
        <v>350</v>
      </c>
      <c r="AR291" s="5">
        <f t="shared" si="406"/>
        <v>2.8571428571428572</v>
      </c>
      <c r="AS291" s="5">
        <f t="shared" si="385"/>
        <v>0.94971992188705545</v>
      </c>
      <c r="AT291" s="5">
        <f t="shared" si="386"/>
        <v>1.9074229352558016</v>
      </c>
      <c r="AU291" s="177">
        <f t="shared" si="387"/>
        <v>0.33240197266046939</v>
      </c>
      <c r="CI291" s="571">
        <f t="shared" si="437"/>
        <v>-50</v>
      </c>
    </row>
    <row r="292" spans="5:87" x14ac:dyDescent="0.25">
      <c r="E292" s="174">
        <v>76</v>
      </c>
      <c r="F292" s="221">
        <f t="shared" si="438"/>
        <v>7.6000000000000012E-2</v>
      </c>
      <c r="G292" s="221">
        <f t="shared" si="407"/>
        <v>0.38</v>
      </c>
      <c r="H292" s="221">
        <f t="shared" si="408"/>
        <v>1.1400000000000001</v>
      </c>
      <c r="I292" s="221">
        <f t="shared" si="409"/>
        <v>3.04</v>
      </c>
      <c r="J292" s="551">
        <f t="shared" si="410"/>
        <v>28</v>
      </c>
      <c r="K292" s="451">
        <f t="shared" si="411"/>
        <v>695386.58000000007</v>
      </c>
      <c r="L292" s="451">
        <f t="shared" si="412"/>
        <v>695414.58000000007</v>
      </c>
      <c r="M292" s="451"/>
      <c r="N292" s="221">
        <f t="shared" si="413"/>
        <v>0.99995973624826795</v>
      </c>
      <c r="O292" s="176">
        <f t="shared" si="414"/>
        <v>2.577168956603491</v>
      </c>
      <c r="P292" s="176">
        <f t="shared" si="415"/>
        <v>6.8724505509426423</v>
      </c>
      <c r="Q292" s="221">
        <f t="shared" si="416"/>
        <v>0.17181126377356606</v>
      </c>
      <c r="R292" s="221">
        <f t="shared" si="417"/>
        <v>0.32214611957543637</v>
      </c>
      <c r="S292" s="221">
        <f t="shared" si="418"/>
        <v>15</v>
      </c>
      <c r="T292" s="221">
        <f t="shared" si="419"/>
        <v>0.33175938962373031</v>
      </c>
      <c r="U292" s="221">
        <f t="shared" si="420"/>
        <v>0.35545648888256814</v>
      </c>
      <c r="V292" s="221">
        <f t="shared" si="421"/>
        <v>1.43125880984242E-5</v>
      </c>
      <c r="W292" s="201">
        <f t="shared" si="422"/>
        <v>350</v>
      </c>
      <c r="X292" s="451">
        <f t="shared" si="423"/>
        <v>350</v>
      </c>
      <c r="Z292" s="221">
        <f t="shared" si="424"/>
        <v>2.6665592966620477</v>
      </c>
      <c r="AA292" s="177">
        <f t="shared" si="425"/>
        <v>1.1503929066313219E-4</v>
      </c>
      <c r="AB292" s="177">
        <f t="shared" si="426"/>
        <v>0.66892235755096752</v>
      </c>
      <c r="AC292" s="177"/>
      <c r="AD292" s="177">
        <f t="shared" si="427"/>
        <v>6.4712206554230591E-6</v>
      </c>
      <c r="AE292" s="555">
        <f t="shared" si="428"/>
        <v>12566.834567901242</v>
      </c>
      <c r="AF292" s="538">
        <f t="shared" si="429"/>
        <v>2.1166825946720815E-3</v>
      </c>
      <c r="AH292" s="177">
        <f t="shared" si="430"/>
        <v>0.89229506117117785</v>
      </c>
      <c r="AI292" s="177">
        <f t="shared" si="431"/>
        <v>0.89229506117117785</v>
      </c>
      <c r="AJ292" s="177">
        <f t="shared" si="432"/>
        <v>1.7498481934601315</v>
      </c>
      <c r="AL292" s="555">
        <f t="shared" si="433"/>
        <v>76.000000000000014</v>
      </c>
      <c r="AM292" s="469">
        <f t="shared" si="434"/>
        <v>350</v>
      </c>
      <c r="AO292">
        <f t="shared" si="435"/>
        <v>76.000000000000014</v>
      </c>
      <c r="AP292">
        <f t="shared" si="436"/>
        <v>350</v>
      </c>
      <c r="AR292" s="5">
        <f t="shared" si="406"/>
        <v>2.8571428571428572</v>
      </c>
      <c r="AS292" s="5">
        <f t="shared" si="385"/>
        <v>0.95603042268340488</v>
      </c>
      <c r="AT292" s="5">
        <f t="shared" si="386"/>
        <v>1.9011124344594523</v>
      </c>
      <c r="AU292" s="177">
        <f t="shared" si="387"/>
        <v>0.33461064793919171</v>
      </c>
      <c r="CI292" s="571">
        <f t="shared" si="437"/>
        <v>-50</v>
      </c>
    </row>
    <row r="293" spans="5:87" x14ac:dyDescent="0.25">
      <c r="E293" s="174">
        <v>77</v>
      </c>
      <c r="F293" s="221">
        <f t="shared" si="438"/>
        <v>7.7000000000000013E-2</v>
      </c>
      <c r="G293" s="221">
        <f t="shared" si="407"/>
        <v>0.38500000000000001</v>
      </c>
      <c r="H293" s="221">
        <f t="shared" si="408"/>
        <v>1.1550000000000002</v>
      </c>
      <c r="I293" s="221">
        <f t="shared" si="409"/>
        <v>3.08</v>
      </c>
      <c r="J293" s="551">
        <f t="shared" si="410"/>
        <v>28</v>
      </c>
      <c r="K293" s="451">
        <f t="shared" si="411"/>
        <v>695386.58000000007</v>
      </c>
      <c r="L293" s="451">
        <f t="shared" si="412"/>
        <v>695414.58000000007</v>
      </c>
      <c r="M293" s="451"/>
      <c r="N293" s="221">
        <f t="shared" si="413"/>
        <v>0.99995973624826795</v>
      </c>
      <c r="O293" s="176">
        <f t="shared" si="414"/>
        <v>2.577168956603491</v>
      </c>
      <c r="P293" s="176">
        <f t="shared" si="415"/>
        <v>6.8724505509426423</v>
      </c>
      <c r="Q293" s="221">
        <f t="shared" si="416"/>
        <v>0.17181126377356606</v>
      </c>
      <c r="R293" s="221">
        <f t="shared" si="417"/>
        <v>0.32214611957543637</v>
      </c>
      <c r="S293" s="221">
        <f t="shared" si="418"/>
        <v>15</v>
      </c>
      <c r="T293" s="221">
        <f t="shared" si="419"/>
        <v>0.33612464475035841</v>
      </c>
      <c r="U293" s="221">
        <f t="shared" si="420"/>
        <v>0.36013354794681257</v>
      </c>
      <c r="V293" s="221">
        <f t="shared" si="421"/>
        <v>1.4500911626035047E-5</v>
      </c>
      <c r="W293" s="201">
        <f t="shared" si="422"/>
        <v>350</v>
      </c>
      <c r="X293" s="451">
        <f t="shared" si="423"/>
        <v>350</v>
      </c>
      <c r="Z293" s="221">
        <f t="shared" si="424"/>
        <v>2.6665592966620477</v>
      </c>
      <c r="AA293" s="177">
        <f t="shared" si="425"/>
        <v>1.1503929066313219E-4</v>
      </c>
      <c r="AB293" s="177">
        <f t="shared" si="426"/>
        <v>0.66892235755096752</v>
      </c>
      <c r="AC293" s="177"/>
      <c r="AD293" s="177">
        <f t="shared" si="427"/>
        <v>6.4712206554230591E-6</v>
      </c>
      <c r="AE293" s="555">
        <f t="shared" si="428"/>
        <v>12732.187654320993</v>
      </c>
      <c r="AF293" s="538">
        <f t="shared" si="429"/>
        <v>2.1166825946720815E-3</v>
      </c>
      <c r="AH293" s="177">
        <f t="shared" si="430"/>
        <v>0.89814623902049873</v>
      </c>
      <c r="AI293" s="177">
        <f t="shared" si="431"/>
        <v>0.89814623902049873</v>
      </c>
      <c r="AJ293" s="177">
        <f t="shared" si="432"/>
        <v>1.7541823992744434</v>
      </c>
      <c r="AL293" s="555">
        <f t="shared" si="433"/>
        <v>77.000000000000014</v>
      </c>
      <c r="AM293" s="469">
        <f t="shared" si="434"/>
        <v>350</v>
      </c>
      <c r="AO293">
        <f t="shared" si="435"/>
        <v>77.000000000000014</v>
      </c>
      <c r="AP293">
        <f t="shared" si="436"/>
        <v>350</v>
      </c>
      <c r="AR293" s="5">
        <f t="shared" si="406"/>
        <v>2.8571428571428572</v>
      </c>
      <c r="AS293" s="5">
        <f t="shared" si="385"/>
        <v>0.96229954180767729</v>
      </c>
      <c r="AT293" s="5">
        <f t="shared" si="386"/>
        <v>1.89484331533518</v>
      </c>
      <c r="AU293" s="177">
        <f t="shared" si="387"/>
        <v>0.33680483963268704</v>
      </c>
      <c r="CI293" s="571">
        <f t="shared" si="437"/>
        <v>-50</v>
      </c>
    </row>
    <row r="294" spans="5:87" x14ac:dyDescent="0.25">
      <c r="E294" s="174">
        <v>78</v>
      </c>
      <c r="F294" s="221">
        <f t="shared" si="438"/>
        <v>7.8000000000000014E-2</v>
      </c>
      <c r="G294" s="221">
        <f t="shared" si="407"/>
        <v>0.39</v>
      </c>
      <c r="H294" s="221">
        <f t="shared" si="408"/>
        <v>1.1700000000000002</v>
      </c>
      <c r="I294" s="221">
        <f t="shared" si="409"/>
        <v>3.12</v>
      </c>
      <c r="J294" s="551">
        <f t="shared" si="410"/>
        <v>28</v>
      </c>
      <c r="K294" s="451">
        <f t="shared" si="411"/>
        <v>695386.58000000007</v>
      </c>
      <c r="L294" s="451">
        <f t="shared" si="412"/>
        <v>695414.58000000007</v>
      </c>
      <c r="M294" s="451"/>
      <c r="N294" s="221">
        <f t="shared" si="413"/>
        <v>0.99995973624826795</v>
      </c>
      <c r="O294" s="176">
        <f t="shared" si="414"/>
        <v>2.577168956603491</v>
      </c>
      <c r="P294" s="176">
        <f t="shared" si="415"/>
        <v>6.8724505509426423</v>
      </c>
      <c r="Q294" s="221">
        <f t="shared" si="416"/>
        <v>0.17181126377356606</v>
      </c>
      <c r="R294" s="221">
        <f t="shared" si="417"/>
        <v>0.32214611957543637</v>
      </c>
      <c r="S294" s="221">
        <f t="shared" si="418"/>
        <v>15</v>
      </c>
      <c r="T294" s="221">
        <f t="shared" si="419"/>
        <v>0.34048989987698641</v>
      </c>
      <c r="U294" s="221">
        <f t="shared" si="420"/>
        <v>0.36481060701105694</v>
      </c>
      <c r="V294" s="221">
        <f t="shared" si="421"/>
        <v>1.4689235153645895E-5</v>
      </c>
      <c r="W294" s="201">
        <f t="shared" si="422"/>
        <v>350</v>
      </c>
      <c r="X294" s="451">
        <f t="shared" si="423"/>
        <v>350</v>
      </c>
      <c r="Z294" s="221">
        <f t="shared" si="424"/>
        <v>2.6665592966620477</v>
      </c>
      <c r="AA294" s="177">
        <f t="shared" si="425"/>
        <v>1.1503929066313219E-4</v>
      </c>
      <c r="AB294" s="177">
        <f t="shared" si="426"/>
        <v>0.66892235755096752</v>
      </c>
      <c r="AC294" s="177"/>
      <c r="AD294" s="177">
        <f t="shared" si="427"/>
        <v>6.4712206554230591E-6</v>
      </c>
      <c r="AE294" s="555">
        <f t="shared" si="428"/>
        <v>12897.540740740746</v>
      </c>
      <c r="AF294" s="538">
        <f t="shared" si="429"/>
        <v>2.1166825946720815E-3</v>
      </c>
      <c r="AH294" s="177">
        <f t="shared" si="430"/>
        <v>0.90395954397464995</v>
      </c>
      <c r="AI294" s="177">
        <f t="shared" si="431"/>
        <v>0.90395954397464995</v>
      </c>
      <c r="AJ294" s="177">
        <f t="shared" si="432"/>
        <v>1.7584885510923334</v>
      </c>
      <c r="AL294" s="555">
        <f t="shared" si="433"/>
        <v>78.000000000000014</v>
      </c>
      <c r="AM294" s="469">
        <f t="shared" si="434"/>
        <v>350</v>
      </c>
      <c r="AO294">
        <f t="shared" si="435"/>
        <v>78.000000000000014</v>
      </c>
      <c r="AP294">
        <f t="shared" si="436"/>
        <v>350</v>
      </c>
      <c r="AR294" s="5">
        <f t="shared" si="406"/>
        <v>2.8571428571428572</v>
      </c>
      <c r="AS294" s="5">
        <f t="shared" si="385"/>
        <v>0.96852808282998215</v>
      </c>
      <c r="AT294" s="5">
        <f t="shared" si="386"/>
        <v>1.8886147743128752</v>
      </c>
      <c r="AU294" s="177">
        <f t="shared" si="387"/>
        <v>0.33898482899049376</v>
      </c>
      <c r="CI294" s="571">
        <f t="shared" si="437"/>
        <v>-50</v>
      </c>
    </row>
    <row r="295" spans="5:87" x14ac:dyDescent="0.25">
      <c r="E295" s="174">
        <v>79</v>
      </c>
      <c r="F295" s="221">
        <f t="shared" si="438"/>
        <v>7.9000000000000015E-2</v>
      </c>
      <c r="G295" s="221">
        <f t="shared" si="407"/>
        <v>0.39500000000000002</v>
      </c>
      <c r="H295" s="221">
        <f t="shared" si="408"/>
        <v>1.1850000000000003</v>
      </c>
      <c r="I295" s="221">
        <f t="shared" si="409"/>
        <v>3.16</v>
      </c>
      <c r="J295" s="551">
        <f t="shared" si="410"/>
        <v>28</v>
      </c>
      <c r="K295" s="451">
        <f t="shared" si="411"/>
        <v>695386.58000000007</v>
      </c>
      <c r="L295" s="451">
        <f t="shared" si="412"/>
        <v>695414.58000000007</v>
      </c>
      <c r="M295" s="451"/>
      <c r="N295" s="221">
        <f t="shared" si="413"/>
        <v>0.99995973624826795</v>
      </c>
      <c r="O295" s="176">
        <f t="shared" si="414"/>
        <v>2.577168956603491</v>
      </c>
      <c r="P295" s="176">
        <f t="shared" si="415"/>
        <v>6.8724505509426423</v>
      </c>
      <c r="Q295" s="221">
        <f t="shared" si="416"/>
        <v>0.17181126377356606</v>
      </c>
      <c r="R295" s="221">
        <f t="shared" si="417"/>
        <v>0.32214611957543637</v>
      </c>
      <c r="S295" s="221">
        <f t="shared" si="418"/>
        <v>15</v>
      </c>
      <c r="T295" s="221">
        <f t="shared" si="419"/>
        <v>0.34485515500361452</v>
      </c>
      <c r="U295" s="221">
        <f t="shared" si="420"/>
        <v>0.36948766607530131</v>
      </c>
      <c r="V295" s="221">
        <f t="shared" si="421"/>
        <v>1.4877558681256741E-5</v>
      </c>
      <c r="W295" s="201">
        <f t="shared" si="422"/>
        <v>350</v>
      </c>
      <c r="X295" s="451">
        <f t="shared" si="423"/>
        <v>350</v>
      </c>
      <c r="Z295" s="221">
        <f t="shared" si="424"/>
        <v>2.6665592966620477</v>
      </c>
      <c r="AA295" s="177">
        <f t="shared" si="425"/>
        <v>1.1503929066313219E-4</v>
      </c>
      <c r="AB295" s="177">
        <f t="shared" si="426"/>
        <v>0.66892235755096752</v>
      </c>
      <c r="AC295" s="177"/>
      <c r="AD295" s="177">
        <f t="shared" si="427"/>
        <v>6.4712206554230591E-6</v>
      </c>
      <c r="AE295" s="555">
        <f t="shared" si="428"/>
        <v>13062.8938271605</v>
      </c>
      <c r="AF295" s="538">
        <f t="shared" si="429"/>
        <v>2.1166825946720815E-3</v>
      </c>
      <c r="AH295" s="177">
        <f t="shared" si="430"/>
        <v>0.9097357020690392</v>
      </c>
      <c r="AI295" s="177">
        <f t="shared" si="431"/>
        <v>0.9097357020690392</v>
      </c>
      <c r="AJ295" s="177">
        <f t="shared" si="432"/>
        <v>1.7627671867178067</v>
      </c>
      <c r="AL295" s="555">
        <f t="shared" si="433"/>
        <v>79.000000000000014</v>
      </c>
      <c r="AM295" s="469">
        <f t="shared" si="434"/>
        <v>350</v>
      </c>
      <c r="AO295">
        <f t="shared" si="435"/>
        <v>79.000000000000014</v>
      </c>
      <c r="AP295">
        <f t="shared" si="436"/>
        <v>350</v>
      </c>
      <c r="AR295" s="5">
        <f t="shared" si="406"/>
        <v>2.8571428571428572</v>
      </c>
      <c r="AS295" s="5">
        <f t="shared" si="385"/>
        <v>0.97471682364539913</v>
      </c>
      <c r="AT295" s="5">
        <f t="shared" si="386"/>
        <v>1.8824260334974581</v>
      </c>
      <c r="AU295" s="177">
        <f t="shared" si="387"/>
        <v>0.34115088827588969</v>
      </c>
      <c r="CI295" s="571">
        <f t="shared" si="437"/>
        <v>-50</v>
      </c>
    </row>
    <row r="296" spans="5:87" x14ac:dyDescent="0.25">
      <c r="E296" s="174">
        <v>80</v>
      </c>
      <c r="F296" s="221">
        <f t="shared" si="438"/>
        <v>8.0000000000000016E-2</v>
      </c>
      <c r="G296" s="221">
        <f t="shared" si="407"/>
        <v>0.4</v>
      </c>
      <c r="H296" s="221">
        <f t="shared" si="408"/>
        <v>1.2000000000000002</v>
      </c>
      <c r="I296" s="221">
        <f t="shared" si="409"/>
        <v>3.2</v>
      </c>
      <c r="J296" s="551">
        <f t="shared" si="410"/>
        <v>28</v>
      </c>
      <c r="K296" s="451">
        <f t="shared" si="411"/>
        <v>695386.58000000007</v>
      </c>
      <c r="L296" s="451">
        <f t="shared" si="412"/>
        <v>695414.58000000007</v>
      </c>
      <c r="M296" s="451"/>
      <c r="N296" s="221">
        <f t="shared" si="413"/>
        <v>0.99995973624826795</v>
      </c>
      <c r="O296" s="176">
        <f t="shared" si="414"/>
        <v>2.577168956603491</v>
      </c>
      <c r="P296" s="176">
        <f t="shared" si="415"/>
        <v>6.8724505509426423</v>
      </c>
      <c r="Q296" s="221">
        <f t="shared" si="416"/>
        <v>0.17181126377356606</v>
      </c>
      <c r="R296" s="221">
        <f t="shared" si="417"/>
        <v>0.32214611957543637</v>
      </c>
      <c r="S296" s="221">
        <f t="shared" si="418"/>
        <v>15</v>
      </c>
      <c r="T296" s="221">
        <f t="shared" si="419"/>
        <v>0.34922041013024252</v>
      </c>
      <c r="U296" s="221">
        <f t="shared" si="420"/>
        <v>0.37416472513954563</v>
      </c>
      <c r="V296" s="221">
        <f t="shared" si="421"/>
        <v>1.5065882208867583E-5</v>
      </c>
      <c r="W296" s="201">
        <f t="shared" si="422"/>
        <v>350</v>
      </c>
      <c r="X296" s="451">
        <f t="shared" si="423"/>
        <v>350</v>
      </c>
      <c r="Z296" s="221">
        <f t="shared" si="424"/>
        <v>2.6665592966620477</v>
      </c>
      <c r="AA296" s="177">
        <f t="shared" si="425"/>
        <v>1.1503929066313219E-4</v>
      </c>
      <c r="AB296" s="177">
        <f t="shared" si="426"/>
        <v>0.66892235755096752</v>
      </c>
      <c r="AC296" s="177"/>
      <c r="AD296" s="177">
        <f t="shared" si="427"/>
        <v>6.4712206554230591E-6</v>
      </c>
      <c r="AE296" s="555">
        <f t="shared" si="428"/>
        <v>13228.246913580253</v>
      </c>
      <c r="AF296" s="538">
        <f t="shared" si="429"/>
        <v>2.1166825946720815E-3</v>
      </c>
      <c r="AH296" s="177">
        <f t="shared" si="430"/>
        <v>0.91547541643412689</v>
      </c>
      <c r="AI296" s="177">
        <f t="shared" si="431"/>
        <v>0.91547541643412689</v>
      </c>
      <c r="AJ296" s="177">
        <f t="shared" si="432"/>
        <v>1.7670188269882421</v>
      </c>
      <c r="AL296" s="555">
        <f t="shared" si="433"/>
        <v>80.000000000000014</v>
      </c>
      <c r="AM296" s="469">
        <f t="shared" si="434"/>
        <v>350</v>
      </c>
      <c r="AO296">
        <f t="shared" si="435"/>
        <v>80.000000000000014</v>
      </c>
      <c r="AP296">
        <f t="shared" si="436"/>
        <v>350</v>
      </c>
      <c r="AR296" s="5">
        <f t="shared" si="406"/>
        <v>2.8571428571428572</v>
      </c>
      <c r="AS296" s="5">
        <f t="shared" si="385"/>
        <v>0.98086651760799304</v>
      </c>
      <c r="AT296" s="5">
        <f t="shared" si="386"/>
        <v>1.8762763395348641</v>
      </c>
      <c r="AU296" s="177">
        <f t="shared" si="387"/>
        <v>0.34330328116279757</v>
      </c>
      <c r="CI296" s="571">
        <f t="shared" si="437"/>
        <v>-50</v>
      </c>
    </row>
    <row r="297" spans="5:87" x14ac:dyDescent="0.25">
      <c r="E297" s="174">
        <v>81</v>
      </c>
      <c r="F297" s="221">
        <f t="shared" si="438"/>
        <v>8.1000000000000016E-2</v>
      </c>
      <c r="G297" s="221">
        <f t="shared" si="407"/>
        <v>0.40500000000000003</v>
      </c>
      <c r="H297" s="221">
        <f t="shared" si="408"/>
        <v>1.2150000000000003</v>
      </c>
      <c r="I297" s="221">
        <f t="shared" si="409"/>
        <v>3.24</v>
      </c>
      <c r="J297" s="551">
        <f t="shared" si="410"/>
        <v>28</v>
      </c>
      <c r="K297" s="451">
        <f t="shared" si="411"/>
        <v>695386.58000000007</v>
      </c>
      <c r="L297" s="451">
        <f t="shared" si="412"/>
        <v>695414.58000000007</v>
      </c>
      <c r="M297" s="451"/>
      <c r="N297" s="221">
        <f t="shared" si="413"/>
        <v>0.99995973624826795</v>
      </c>
      <c r="O297" s="176">
        <f t="shared" si="414"/>
        <v>2.577168956603491</v>
      </c>
      <c r="P297" s="176">
        <f t="shared" si="415"/>
        <v>6.8724505509426423</v>
      </c>
      <c r="Q297" s="221">
        <f t="shared" si="416"/>
        <v>0.17181126377356606</v>
      </c>
      <c r="R297" s="221">
        <f t="shared" si="417"/>
        <v>0.32214611957543637</v>
      </c>
      <c r="S297" s="221">
        <f t="shared" si="418"/>
        <v>15</v>
      </c>
      <c r="T297" s="221">
        <f t="shared" si="419"/>
        <v>0.35358566525687052</v>
      </c>
      <c r="U297" s="221">
        <f t="shared" si="420"/>
        <v>0.37884178420378989</v>
      </c>
      <c r="V297" s="221">
        <f t="shared" si="421"/>
        <v>1.525420573647843E-5</v>
      </c>
      <c r="W297" s="201">
        <f t="shared" si="422"/>
        <v>350</v>
      </c>
      <c r="X297" s="451">
        <f t="shared" si="423"/>
        <v>350</v>
      </c>
      <c r="Z297" s="221">
        <f t="shared" si="424"/>
        <v>2.6665592966620477</v>
      </c>
      <c r="AA297" s="177">
        <f t="shared" si="425"/>
        <v>1.1503929066313219E-4</v>
      </c>
      <c r="AB297" s="177">
        <f t="shared" si="426"/>
        <v>0.66892235755096752</v>
      </c>
      <c r="AC297" s="177"/>
      <c r="AD297" s="177">
        <f t="shared" si="427"/>
        <v>6.4712206554230591E-6</v>
      </c>
      <c r="AE297" s="555">
        <f t="shared" si="428"/>
        <v>13393.600000000008</v>
      </c>
      <c r="AF297" s="538">
        <f t="shared" si="429"/>
        <v>2.1166825946720815E-3</v>
      </c>
      <c r="AH297" s="177">
        <f t="shared" si="430"/>
        <v>0.9211793682944861</v>
      </c>
      <c r="AI297" s="177">
        <f t="shared" si="431"/>
        <v>0.9211793682944861</v>
      </c>
      <c r="AJ297" s="177">
        <f t="shared" si="432"/>
        <v>1.7712439765144339</v>
      </c>
      <c r="AL297" s="555">
        <f t="shared" si="433"/>
        <v>81.000000000000014</v>
      </c>
      <c r="AM297" s="469">
        <f t="shared" si="434"/>
        <v>350</v>
      </c>
      <c r="AO297">
        <f t="shared" si="435"/>
        <v>81.000000000000014</v>
      </c>
      <c r="AP297">
        <f t="shared" si="436"/>
        <v>350</v>
      </c>
      <c r="AR297" s="5">
        <f t="shared" si="406"/>
        <v>2.8571428571428572</v>
      </c>
      <c r="AS297" s="5">
        <f t="shared" si="385"/>
        <v>0.98697789460123508</v>
      </c>
      <c r="AT297" s="5">
        <f t="shared" si="386"/>
        <v>1.8701649625416221</v>
      </c>
      <c r="AU297" s="177">
        <f t="shared" si="387"/>
        <v>0.34544226311043225</v>
      </c>
      <c r="CI297" s="571">
        <f t="shared" si="437"/>
        <v>-50</v>
      </c>
    </row>
    <row r="298" spans="5:87" x14ac:dyDescent="0.25">
      <c r="E298" s="174">
        <v>82</v>
      </c>
      <c r="F298" s="221">
        <f t="shared" si="438"/>
        <v>8.2000000000000003E-2</v>
      </c>
      <c r="G298" s="221">
        <f t="shared" si="407"/>
        <v>0.41</v>
      </c>
      <c r="H298" s="221">
        <f t="shared" si="408"/>
        <v>1.23</v>
      </c>
      <c r="I298" s="221">
        <f t="shared" si="409"/>
        <v>3.28</v>
      </c>
      <c r="J298" s="551">
        <f t="shared" si="410"/>
        <v>28</v>
      </c>
      <c r="K298" s="451">
        <f t="shared" si="411"/>
        <v>695386.58000000007</v>
      </c>
      <c r="L298" s="451">
        <f t="shared" si="412"/>
        <v>695414.58000000007</v>
      </c>
      <c r="M298" s="451"/>
      <c r="N298" s="221">
        <f t="shared" si="413"/>
        <v>0.99995973624826795</v>
      </c>
      <c r="O298" s="176">
        <f t="shared" si="414"/>
        <v>2.577168956603491</v>
      </c>
      <c r="P298" s="176">
        <f t="shared" si="415"/>
        <v>6.8724505509426423</v>
      </c>
      <c r="Q298" s="221">
        <f t="shared" si="416"/>
        <v>0.17181126377356606</v>
      </c>
      <c r="R298" s="221">
        <f t="shared" si="417"/>
        <v>0.32214611957543637</v>
      </c>
      <c r="S298" s="221">
        <f t="shared" si="418"/>
        <v>15</v>
      </c>
      <c r="T298" s="221">
        <f t="shared" si="419"/>
        <v>0.35795092038349852</v>
      </c>
      <c r="U298" s="221">
        <f t="shared" si="420"/>
        <v>0.38351884326803415</v>
      </c>
      <c r="V298" s="221">
        <f t="shared" si="421"/>
        <v>1.5442529264089273E-5</v>
      </c>
      <c r="W298" s="201">
        <f t="shared" si="422"/>
        <v>350</v>
      </c>
      <c r="X298" s="451">
        <f t="shared" si="423"/>
        <v>350</v>
      </c>
      <c r="Z298" s="221">
        <f t="shared" si="424"/>
        <v>2.6665592966620477</v>
      </c>
      <c r="AA298" s="177">
        <f t="shared" si="425"/>
        <v>1.1503929066313219E-4</v>
      </c>
      <c r="AB298" s="177">
        <f t="shared" si="426"/>
        <v>0.66892235755096752</v>
      </c>
      <c r="AC298" s="177"/>
      <c r="AD298" s="177">
        <f t="shared" si="427"/>
        <v>6.4712206554230591E-6</v>
      </c>
      <c r="AE298" s="555">
        <f t="shared" si="428"/>
        <v>13558.953086419757</v>
      </c>
      <c r="AF298" s="538">
        <f t="shared" si="429"/>
        <v>2.1166825946720815E-3</v>
      </c>
      <c r="AH298" s="177">
        <f t="shared" si="430"/>
        <v>0.9268482179125227</v>
      </c>
      <c r="AI298" s="177">
        <f t="shared" si="431"/>
        <v>0.9268482179125227</v>
      </c>
      <c r="AJ298" s="177">
        <f t="shared" si="432"/>
        <v>1.7754431243796462</v>
      </c>
      <c r="AL298" s="555">
        <f t="shared" si="433"/>
        <v>82</v>
      </c>
      <c r="AM298" s="469">
        <f t="shared" si="434"/>
        <v>350</v>
      </c>
      <c r="AO298">
        <f t="shared" si="435"/>
        <v>82</v>
      </c>
      <c r="AP298">
        <f t="shared" si="436"/>
        <v>350</v>
      </c>
      <c r="AR298" s="5">
        <f t="shared" si="406"/>
        <v>2.8571428571428572</v>
      </c>
      <c r="AS298" s="5">
        <f t="shared" si="385"/>
        <v>0.99305166204913153</v>
      </c>
      <c r="AT298" s="5">
        <f t="shared" si="386"/>
        <v>1.8640911950937258</v>
      </c>
      <c r="AU298" s="177">
        <f t="shared" si="387"/>
        <v>0.34756808171719605</v>
      </c>
      <c r="CI298" s="571">
        <f t="shared" si="437"/>
        <v>-50</v>
      </c>
    </row>
    <row r="299" spans="5:87" x14ac:dyDescent="0.25">
      <c r="E299" s="174">
        <v>83</v>
      </c>
      <c r="F299" s="221">
        <f t="shared" si="438"/>
        <v>8.3000000000000004E-2</v>
      </c>
      <c r="G299" s="221">
        <f t="shared" si="407"/>
        <v>0.41499999999999998</v>
      </c>
      <c r="H299" s="221">
        <f t="shared" si="408"/>
        <v>1.2450000000000001</v>
      </c>
      <c r="I299" s="221">
        <f t="shared" si="409"/>
        <v>3.32</v>
      </c>
      <c r="J299" s="551">
        <f t="shared" si="410"/>
        <v>28</v>
      </c>
      <c r="K299" s="451">
        <f t="shared" si="411"/>
        <v>695386.58000000007</v>
      </c>
      <c r="L299" s="451">
        <f t="shared" si="412"/>
        <v>695414.58000000007</v>
      </c>
      <c r="M299" s="451"/>
      <c r="N299" s="221">
        <f t="shared" si="413"/>
        <v>0.99995973624826795</v>
      </c>
      <c r="O299" s="176">
        <f t="shared" si="414"/>
        <v>2.577168956603491</v>
      </c>
      <c r="P299" s="176">
        <f t="shared" si="415"/>
        <v>6.8724505509426423</v>
      </c>
      <c r="Q299" s="221">
        <f t="shared" si="416"/>
        <v>0.17181126377356606</v>
      </c>
      <c r="R299" s="221">
        <f t="shared" si="417"/>
        <v>0.32214611957543637</v>
      </c>
      <c r="S299" s="221">
        <f t="shared" si="418"/>
        <v>15</v>
      </c>
      <c r="T299" s="221">
        <f t="shared" si="419"/>
        <v>0.36231617551012651</v>
      </c>
      <c r="U299" s="221">
        <f t="shared" si="420"/>
        <v>0.38819590233227841</v>
      </c>
      <c r="V299" s="221">
        <f t="shared" si="421"/>
        <v>1.5630852791700115E-5</v>
      </c>
      <c r="W299" s="201">
        <f t="shared" si="422"/>
        <v>350</v>
      </c>
      <c r="X299" s="451">
        <f t="shared" si="423"/>
        <v>350</v>
      </c>
      <c r="Z299" s="221">
        <f t="shared" si="424"/>
        <v>2.6665592966620477</v>
      </c>
      <c r="AA299" s="177">
        <f t="shared" si="425"/>
        <v>1.1503929066313219E-4</v>
      </c>
      <c r="AB299" s="177">
        <f t="shared" si="426"/>
        <v>0.66892235755096752</v>
      </c>
      <c r="AC299" s="177"/>
      <c r="AD299" s="177">
        <f t="shared" si="427"/>
        <v>6.4712206554230591E-6</v>
      </c>
      <c r="AE299" s="555">
        <f t="shared" si="428"/>
        <v>13724.30617283951</v>
      </c>
      <c r="AF299" s="538">
        <f t="shared" si="429"/>
        <v>2.1166825946720815E-3</v>
      </c>
      <c r="AH299" s="177">
        <f t="shared" si="430"/>
        <v>0.93248260548055772</v>
      </c>
      <c r="AI299" s="177">
        <f t="shared" si="431"/>
        <v>0.93248260548055772</v>
      </c>
      <c r="AJ299" s="177">
        <f t="shared" si="432"/>
        <v>1.779616744800413</v>
      </c>
      <c r="AL299" s="555">
        <f t="shared" si="433"/>
        <v>83</v>
      </c>
      <c r="AM299" s="469">
        <f t="shared" si="434"/>
        <v>350</v>
      </c>
      <c r="AO299">
        <f t="shared" si="435"/>
        <v>83</v>
      </c>
      <c r="AP299">
        <f t="shared" si="436"/>
        <v>350</v>
      </c>
      <c r="AR299" s="5">
        <f t="shared" si="406"/>
        <v>2.8571428571428572</v>
      </c>
      <c r="AS299" s="5">
        <f t="shared" si="385"/>
        <v>0.99908850587202613</v>
      </c>
      <c r="AT299" s="5">
        <f t="shared" si="386"/>
        <v>1.8580543512708312</v>
      </c>
      <c r="AU299" s="177">
        <f t="shared" si="387"/>
        <v>0.34968097705520912</v>
      </c>
      <c r="CI299" s="571">
        <f t="shared" si="437"/>
        <v>-50</v>
      </c>
    </row>
    <row r="300" spans="5:87" x14ac:dyDescent="0.25">
      <c r="E300" s="174">
        <v>84</v>
      </c>
      <c r="F300" s="221">
        <f t="shared" si="438"/>
        <v>8.4000000000000005E-2</v>
      </c>
      <c r="G300" s="221">
        <f t="shared" si="407"/>
        <v>0.42</v>
      </c>
      <c r="H300" s="221">
        <f t="shared" si="408"/>
        <v>1.26</v>
      </c>
      <c r="I300" s="221">
        <f t="shared" si="409"/>
        <v>3.36</v>
      </c>
      <c r="J300" s="551">
        <f t="shared" si="410"/>
        <v>28</v>
      </c>
      <c r="K300" s="451">
        <f t="shared" si="411"/>
        <v>695386.58000000007</v>
      </c>
      <c r="L300" s="451">
        <f t="shared" si="412"/>
        <v>695414.58000000007</v>
      </c>
      <c r="M300" s="451"/>
      <c r="N300" s="221">
        <f t="shared" si="413"/>
        <v>0.99995973624826795</v>
      </c>
      <c r="O300" s="176">
        <f t="shared" si="414"/>
        <v>2.577168956603491</v>
      </c>
      <c r="P300" s="176">
        <f t="shared" si="415"/>
        <v>6.8724505509426423</v>
      </c>
      <c r="Q300" s="221">
        <f t="shared" si="416"/>
        <v>0.17181126377356606</v>
      </c>
      <c r="R300" s="221">
        <f t="shared" si="417"/>
        <v>0.32214611957543637</v>
      </c>
      <c r="S300" s="221">
        <f t="shared" si="418"/>
        <v>15</v>
      </c>
      <c r="T300" s="221">
        <f t="shared" si="419"/>
        <v>0.36668143063675462</v>
      </c>
      <c r="U300" s="221">
        <f t="shared" si="420"/>
        <v>0.39287296139652284</v>
      </c>
      <c r="V300" s="221">
        <f t="shared" si="421"/>
        <v>1.5819176319310964E-5</v>
      </c>
      <c r="W300" s="201">
        <f t="shared" si="422"/>
        <v>350</v>
      </c>
      <c r="X300" s="451">
        <f t="shared" si="423"/>
        <v>350</v>
      </c>
      <c r="Z300" s="221">
        <f t="shared" si="424"/>
        <v>2.6665592966620477</v>
      </c>
      <c r="AA300" s="177">
        <f t="shared" si="425"/>
        <v>1.1503929066313219E-4</v>
      </c>
      <c r="AB300" s="177">
        <f t="shared" si="426"/>
        <v>0.66892235755096752</v>
      </c>
      <c r="AC300" s="177"/>
      <c r="AD300" s="177">
        <f t="shared" si="427"/>
        <v>6.4712206554230591E-6</v>
      </c>
      <c r="AE300" s="555">
        <f t="shared" si="428"/>
        <v>13889.659259259262</v>
      </c>
      <c r="AF300" s="538">
        <f t="shared" si="429"/>
        <v>2.1166825946720815E-3</v>
      </c>
      <c r="AH300" s="177">
        <f t="shared" si="430"/>
        <v>0.93808315196468595</v>
      </c>
      <c r="AI300" s="177">
        <f t="shared" si="431"/>
        <v>0.93808315196468595</v>
      </c>
      <c r="AJ300" s="177">
        <f t="shared" si="432"/>
        <v>1.7837652977516192</v>
      </c>
      <c r="AL300" s="555">
        <f t="shared" si="433"/>
        <v>84</v>
      </c>
      <c r="AM300" s="469">
        <f t="shared" si="434"/>
        <v>350</v>
      </c>
      <c r="AO300">
        <f t="shared" si="435"/>
        <v>84</v>
      </c>
      <c r="AP300">
        <f t="shared" si="436"/>
        <v>350</v>
      </c>
      <c r="AR300" s="5">
        <f t="shared" si="406"/>
        <v>2.8571428571428572</v>
      </c>
      <c r="AS300" s="5">
        <f t="shared" si="385"/>
        <v>1.0050890913907351</v>
      </c>
      <c r="AT300" s="5">
        <f t="shared" si="386"/>
        <v>1.8520537657521221</v>
      </c>
      <c r="AU300" s="177">
        <f t="shared" si="387"/>
        <v>0.35178118198675729</v>
      </c>
      <c r="CI300" s="571">
        <f t="shared" si="437"/>
        <v>-50</v>
      </c>
    </row>
    <row r="301" spans="5:87" x14ac:dyDescent="0.25">
      <c r="E301" s="174">
        <v>85</v>
      </c>
      <c r="F301" s="221">
        <f t="shared" si="438"/>
        <v>8.5000000000000006E-2</v>
      </c>
      <c r="G301" s="221">
        <f t="shared" si="407"/>
        <v>0.42499999999999999</v>
      </c>
      <c r="H301" s="221">
        <f t="shared" si="408"/>
        <v>1.2750000000000001</v>
      </c>
      <c r="I301" s="221">
        <f t="shared" si="409"/>
        <v>3.4</v>
      </c>
      <c r="J301" s="551">
        <f t="shared" si="410"/>
        <v>28</v>
      </c>
      <c r="K301" s="451">
        <f t="shared" si="411"/>
        <v>695386.58000000007</v>
      </c>
      <c r="L301" s="451">
        <f t="shared" si="412"/>
        <v>695414.58000000007</v>
      </c>
      <c r="M301" s="451"/>
      <c r="N301" s="221">
        <f t="shared" si="413"/>
        <v>0.99995973624826795</v>
      </c>
      <c r="O301" s="176">
        <f t="shared" si="414"/>
        <v>2.577168956603491</v>
      </c>
      <c r="P301" s="176">
        <f t="shared" si="415"/>
        <v>6.8724505509426423</v>
      </c>
      <c r="Q301" s="221">
        <f t="shared" si="416"/>
        <v>0.17181126377356606</v>
      </c>
      <c r="R301" s="221">
        <f t="shared" si="417"/>
        <v>0.32214611957543637</v>
      </c>
      <c r="S301" s="221">
        <f t="shared" si="418"/>
        <v>15</v>
      </c>
      <c r="T301" s="221">
        <f t="shared" si="419"/>
        <v>0.37104668576338262</v>
      </c>
      <c r="U301" s="221">
        <f t="shared" si="420"/>
        <v>0.3975500204607671</v>
      </c>
      <c r="V301" s="221">
        <f t="shared" si="421"/>
        <v>1.6007499846921806E-5</v>
      </c>
      <c r="W301" s="201">
        <f t="shared" si="422"/>
        <v>350</v>
      </c>
      <c r="X301" s="451">
        <f t="shared" si="423"/>
        <v>350</v>
      </c>
      <c r="Z301" s="221">
        <f t="shared" si="424"/>
        <v>2.6665592966620477</v>
      </c>
      <c r="AA301" s="177">
        <f t="shared" si="425"/>
        <v>1.1503929066313219E-4</v>
      </c>
      <c r="AB301" s="177">
        <f t="shared" si="426"/>
        <v>0.66892235755096752</v>
      </c>
      <c r="AC301" s="177"/>
      <c r="AD301" s="177">
        <f t="shared" si="427"/>
        <v>6.4712206554230591E-6</v>
      </c>
      <c r="AE301" s="555">
        <f t="shared" si="428"/>
        <v>14055.012345679017</v>
      </c>
      <c r="AF301" s="538">
        <f t="shared" si="429"/>
        <v>2.1166825946720815E-3</v>
      </c>
      <c r="AH301" s="177">
        <f t="shared" si="430"/>
        <v>0.94365045990355478</v>
      </c>
      <c r="AI301" s="177">
        <f t="shared" si="431"/>
        <v>0.94365045990355478</v>
      </c>
      <c r="AJ301" s="177">
        <f t="shared" si="432"/>
        <v>1.7878892295581887</v>
      </c>
      <c r="AL301" s="555">
        <f t="shared" si="433"/>
        <v>85</v>
      </c>
      <c r="AM301" s="469">
        <f t="shared" si="434"/>
        <v>350</v>
      </c>
      <c r="AO301">
        <f t="shared" si="435"/>
        <v>85</v>
      </c>
      <c r="AP301">
        <f t="shared" si="436"/>
        <v>350</v>
      </c>
      <c r="AR301" s="5">
        <f t="shared" si="406"/>
        <v>2.8571428571428572</v>
      </c>
      <c r="AS301" s="5">
        <f t="shared" si="385"/>
        <v>1.0110540641823802</v>
      </c>
      <c r="AT301" s="5">
        <f t="shared" si="386"/>
        <v>1.846088792960477</v>
      </c>
      <c r="AU301" s="177">
        <f t="shared" si="387"/>
        <v>0.35386892246383306</v>
      </c>
      <c r="CI301" s="571">
        <f t="shared" si="437"/>
        <v>-50</v>
      </c>
    </row>
    <row r="302" spans="5:87" x14ac:dyDescent="0.25">
      <c r="E302" s="174">
        <v>86</v>
      </c>
      <c r="F302" s="221">
        <f t="shared" si="438"/>
        <v>8.6000000000000007E-2</v>
      </c>
      <c r="G302" s="221">
        <f t="shared" si="407"/>
        <v>0.43</v>
      </c>
      <c r="H302" s="221">
        <f t="shared" si="408"/>
        <v>1.29</v>
      </c>
      <c r="I302" s="221">
        <f t="shared" si="409"/>
        <v>3.44</v>
      </c>
      <c r="J302" s="551">
        <f t="shared" si="410"/>
        <v>28</v>
      </c>
      <c r="K302" s="451">
        <f t="shared" si="411"/>
        <v>695386.58000000007</v>
      </c>
      <c r="L302" s="451">
        <f t="shared" si="412"/>
        <v>695414.58000000007</v>
      </c>
      <c r="M302" s="451"/>
      <c r="N302" s="221">
        <f t="shared" si="413"/>
        <v>0.99995973624826795</v>
      </c>
      <c r="O302" s="176">
        <f t="shared" si="414"/>
        <v>2.577168956603491</v>
      </c>
      <c r="P302" s="176">
        <f t="shared" si="415"/>
        <v>6.8724505509426423</v>
      </c>
      <c r="Q302" s="221">
        <f t="shared" si="416"/>
        <v>0.17181126377356606</v>
      </c>
      <c r="R302" s="221">
        <f t="shared" si="417"/>
        <v>0.32214611957543637</v>
      </c>
      <c r="S302" s="221">
        <f t="shared" si="418"/>
        <v>15</v>
      </c>
      <c r="T302" s="221">
        <f t="shared" si="419"/>
        <v>0.37541194089001068</v>
      </c>
      <c r="U302" s="221">
        <f t="shared" si="420"/>
        <v>0.40222707952501147</v>
      </c>
      <c r="V302" s="221">
        <f t="shared" si="421"/>
        <v>1.6195823374532651E-5</v>
      </c>
      <c r="W302" s="201">
        <f t="shared" si="422"/>
        <v>350</v>
      </c>
      <c r="X302" s="451">
        <f t="shared" si="423"/>
        <v>350</v>
      </c>
      <c r="Z302" s="221">
        <f t="shared" si="424"/>
        <v>2.6665592966620477</v>
      </c>
      <c r="AA302" s="177">
        <f t="shared" si="425"/>
        <v>1.1503929066313219E-4</v>
      </c>
      <c r="AB302" s="177">
        <f t="shared" si="426"/>
        <v>0.66892235755096752</v>
      </c>
      <c r="AC302" s="177"/>
      <c r="AD302" s="177">
        <f t="shared" si="427"/>
        <v>6.4712206554230591E-6</v>
      </c>
      <c r="AE302" s="555">
        <f t="shared" si="428"/>
        <v>14220.36543209877</v>
      </c>
      <c r="AF302" s="538">
        <f t="shared" si="429"/>
        <v>2.1166825946720815E-3</v>
      </c>
      <c r="AH302" s="177">
        <f t="shared" si="430"/>
        <v>0.94918511416497731</v>
      </c>
      <c r="AI302" s="177">
        <f t="shared" si="431"/>
        <v>0.94918511416497731</v>
      </c>
      <c r="AJ302" s="177">
        <f t="shared" si="432"/>
        <v>1.7919889734555388</v>
      </c>
      <c r="AL302" s="555">
        <f t="shared" si="433"/>
        <v>86</v>
      </c>
      <c r="AM302" s="469">
        <f t="shared" si="434"/>
        <v>350</v>
      </c>
      <c r="AO302">
        <f t="shared" si="435"/>
        <v>86</v>
      </c>
      <c r="AP302">
        <f t="shared" si="436"/>
        <v>350</v>
      </c>
      <c r="AR302" s="5">
        <f t="shared" si="406"/>
        <v>2.8571428571428572</v>
      </c>
      <c r="AS302" s="5">
        <f t="shared" si="385"/>
        <v>1.016984050891047</v>
      </c>
      <c r="AT302" s="5">
        <f t="shared" si="386"/>
        <v>1.8401588062518102</v>
      </c>
      <c r="AU302" s="177">
        <f t="shared" si="387"/>
        <v>0.35594441781186648</v>
      </c>
      <c r="CI302" s="571">
        <f t="shared" si="437"/>
        <v>-50</v>
      </c>
    </row>
    <row r="303" spans="5:87" x14ac:dyDescent="0.25">
      <c r="E303" s="174">
        <v>87</v>
      </c>
      <c r="F303" s="221">
        <f t="shared" si="438"/>
        <v>8.7000000000000008E-2</v>
      </c>
      <c r="G303" s="221">
        <f t="shared" si="407"/>
        <v>0.435</v>
      </c>
      <c r="H303" s="221">
        <f t="shared" si="408"/>
        <v>1.3050000000000002</v>
      </c>
      <c r="I303" s="221">
        <f t="shared" si="409"/>
        <v>3.48</v>
      </c>
      <c r="J303" s="551">
        <f t="shared" si="410"/>
        <v>28</v>
      </c>
      <c r="K303" s="451">
        <f t="shared" si="411"/>
        <v>695386.58000000007</v>
      </c>
      <c r="L303" s="451">
        <f t="shared" si="412"/>
        <v>695414.58000000007</v>
      </c>
      <c r="M303" s="451"/>
      <c r="N303" s="221">
        <f t="shared" si="413"/>
        <v>0.99995973624826795</v>
      </c>
      <c r="O303" s="176">
        <f t="shared" si="414"/>
        <v>2.577168956603491</v>
      </c>
      <c r="P303" s="176">
        <f t="shared" si="415"/>
        <v>6.8724505509426423</v>
      </c>
      <c r="Q303" s="221">
        <f t="shared" si="416"/>
        <v>0.17181126377356606</v>
      </c>
      <c r="R303" s="221">
        <f t="shared" si="417"/>
        <v>0.32214611957543637</v>
      </c>
      <c r="S303" s="221">
        <f t="shared" si="418"/>
        <v>15</v>
      </c>
      <c r="T303" s="221">
        <f t="shared" si="419"/>
        <v>0.37977719601663873</v>
      </c>
      <c r="U303" s="221">
        <f t="shared" si="420"/>
        <v>0.40690413858925578</v>
      </c>
      <c r="V303" s="221">
        <f t="shared" si="421"/>
        <v>1.63841469021435E-5</v>
      </c>
      <c r="W303" s="201">
        <f t="shared" si="422"/>
        <v>350</v>
      </c>
      <c r="X303" s="451">
        <f t="shared" si="423"/>
        <v>350</v>
      </c>
      <c r="Z303" s="221">
        <f t="shared" si="424"/>
        <v>2.6665592966620477</v>
      </c>
      <c r="AA303" s="177">
        <f t="shared" si="425"/>
        <v>1.1503929066313219E-4</v>
      </c>
      <c r="AB303" s="177">
        <f t="shared" si="426"/>
        <v>0.66892235755096752</v>
      </c>
      <c r="AC303" s="177"/>
      <c r="AD303" s="177">
        <f t="shared" si="427"/>
        <v>6.4712206554230591E-6</v>
      </c>
      <c r="AE303" s="555">
        <f t="shared" si="428"/>
        <v>14385.718518518523</v>
      </c>
      <c r="AF303" s="538">
        <f t="shared" si="429"/>
        <v>2.1166825946720815E-3</v>
      </c>
      <c r="AH303" s="177">
        <f t="shared" si="430"/>
        <v>0.95468768266306414</v>
      </c>
      <c r="AI303" s="177">
        <f t="shared" si="431"/>
        <v>0.95468768266306414</v>
      </c>
      <c r="AJ303" s="177">
        <f t="shared" si="432"/>
        <v>1.7960649501207882</v>
      </c>
      <c r="AL303" s="555">
        <f t="shared" si="433"/>
        <v>87.000000000000014</v>
      </c>
      <c r="AM303" s="469">
        <f t="shared" si="434"/>
        <v>350</v>
      </c>
      <c r="AO303">
        <f t="shared" si="435"/>
        <v>87.000000000000014</v>
      </c>
      <c r="AP303">
        <f t="shared" si="436"/>
        <v>350</v>
      </c>
      <c r="AR303" s="5">
        <f t="shared" si="406"/>
        <v>2.8571428571428572</v>
      </c>
      <c r="AS303" s="5">
        <f t="shared" si="385"/>
        <v>1.0228796599961403</v>
      </c>
      <c r="AT303" s="5">
        <f t="shared" si="386"/>
        <v>1.8342631971467169</v>
      </c>
      <c r="AU303" s="177">
        <f t="shared" si="387"/>
        <v>0.35800788099864911</v>
      </c>
      <c r="CI303" s="571">
        <f t="shared" si="437"/>
        <v>-50</v>
      </c>
    </row>
    <row r="304" spans="5:87" x14ac:dyDescent="0.25">
      <c r="E304" s="174">
        <v>88</v>
      </c>
      <c r="F304" s="221">
        <f t="shared" si="438"/>
        <v>8.8000000000000009E-2</v>
      </c>
      <c r="G304" s="221">
        <f t="shared" si="407"/>
        <v>0.44</v>
      </c>
      <c r="H304" s="221">
        <f t="shared" si="408"/>
        <v>1.32</v>
      </c>
      <c r="I304" s="221">
        <f t="shared" si="409"/>
        <v>3.52</v>
      </c>
      <c r="J304" s="551">
        <f t="shared" si="410"/>
        <v>28</v>
      </c>
      <c r="K304" s="451">
        <f t="shared" si="411"/>
        <v>695386.58000000007</v>
      </c>
      <c r="L304" s="451">
        <f t="shared" si="412"/>
        <v>695414.58000000007</v>
      </c>
      <c r="M304" s="451"/>
      <c r="N304" s="221">
        <f t="shared" si="413"/>
        <v>0.99995973624826795</v>
      </c>
      <c r="O304" s="176">
        <f t="shared" si="414"/>
        <v>2.577168956603491</v>
      </c>
      <c r="P304" s="176">
        <f t="shared" si="415"/>
        <v>6.8724505509426423</v>
      </c>
      <c r="Q304" s="221">
        <f t="shared" si="416"/>
        <v>0.17181126377356606</v>
      </c>
      <c r="R304" s="221">
        <f t="shared" si="417"/>
        <v>0.32214611957543637</v>
      </c>
      <c r="S304" s="221">
        <f t="shared" si="418"/>
        <v>15</v>
      </c>
      <c r="T304" s="221">
        <f t="shared" si="419"/>
        <v>0.38414245114326673</v>
      </c>
      <c r="U304" s="221">
        <f t="shared" si="420"/>
        <v>0.4115811976535001</v>
      </c>
      <c r="V304" s="221">
        <f t="shared" si="421"/>
        <v>1.6572470429754342E-5</v>
      </c>
      <c r="W304" s="201">
        <f t="shared" si="422"/>
        <v>350</v>
      </c>
      <c r="X304" s="451">
        <f t="shared" si="423"/>
        <v>350</v>
      </c>
      <c r="Z304" s="221">
        <f t="shared" si="424"/>
        <v>2.6665592966620477</v>
      </c>
      <c r="AA304" s="177">
        <f t="shared" si="425"/>
        <v>1.1503929066313219E-4</v>
      </c>
      <c r="AB304" s="177">
        <f t="shared" si="426"/>
        <v>0.66892235755096752</v>
      </c>
      <c r="AC304" s="177"/>
      <c r="AD304" s="177">
        <f t="shared" si="427"/>
        <v>6.4712206554230591E-6</v>
      </c>
      <c r="AE304" s="555">
        <f t="shared" si="428"/>
        <v>14551.071604938275</v>
      </c>
      <c r="AF304" s="538">
        <f t="shared" si="429"/>
        <v>2.1166825946720815E-3</v>
      </c>
      <c r="AH304" s="177">
        <f t="shared" si="430"/>
        <v>0.96015871703836653</v>
      </c>
      <c r="AI304" s="177">
        <f t="shared" si="431"/>
        <v>0.96015871703836653</v>
      </c>
      <c r="AJ304" s="177">
        <f t="shared" si="432"/>
        <v>1.8001175681765678</v>
      </c>
      <c r="AL304" s="555">
        <f t="shared" si="433"/>
        <v>88.000000000000014</v>
      </c>
      <c r="AM304" s="469">
        <f t="shared" si="434"/>
        <v>350</v>
      </c>
      <c r="AO304">
        <f t="shared" si="435"/>
        <v>88.000000000000014</v>
      </c>
      <c r="AP304">
        <f t="shared" si="436"/>
        <v>350</v>
      </c>
      <c r="AR304" s="5">
        <f t="shared" si="406"/>
        <v>2.8571428571428572</v>
      </c>
      <c r="AS304" s="5">
        <f t="shared" si="385"/>
        <v>1.028741482541107</v>
      </c>
      <c r="AT304" s="5">
        <f t="shared" si="386"/>
        <v>1.8284013746017502</v>
      </c>
      <c r="AU304" s="177">
        <f t="shared" si="387"/>
        <v>0.36005951888938742</v>
      </c>
      <c r="CI304" s="571">
        <f t="shared" si="437"/>
        <v>-50</v>
      </c>
    </row>
    <row r="305" spans="4:87" x14ac:dyDescent="0.25">
      <c r="E305" s="174">
        <v>89</v>
      </c>
      <c r="F305" s="221">
        <f t="shared" si="438"/>
        <v>8.900000000000001E-2</v>
      </c>
      <c r="G305" s="221">
        <f t="shared" si="407"/>
        <v>0.44500000000000001</v>
      </c>
      <c r="H305" s="221">
        <f t="shared" si="408"/>
        <v>1.3350000000000002</v>
      </c>
      <c r="I305" s="221">
        <f t="shared" si="409"/>
        <v>3.56</v>
      </c>
      <c r="J305" s="551">
        <f t="shared" si="410"/>
        <v>28</v>
      </c>
      <c r="K305" s="451">
        <f t="shared" si="411"/>
        <v>695386.58000000007</v>
      </c>
      <c r="L305" s="451">
        <f t="shared" si="412"/>
        <v>695414.58000000007</v>
      </c>
      <c r="M305" s="451"/>
      <c r="N305" s="221">
        <f t="shared" si="413"/>
        <v>0.99995973624826795</v>
      </c>
      <c r="O305" s="176">
        <f t="shared" si="414"/>
        <v>2.577168956603491</v>
      </c>
      <c r="P305" s="176">
        <f t="shared" si="415"/>
        <v>6.8724505509426423</v>
      </c>
      <c r="Q305" s="221">
        <f t="shared" si="416"/>
        <v>0.17181126377356606</v>
      </c>
      <c r="R305" s="221">
        <f t="shared" si="417"/>
        <v>0.32214611957543637</v>
      </c>
      <c r="S305" s="221">
        <f t="shared" si="418"/>
        <v>15</v>
      </c>
      <c r="T305" s="221">
        <f t="shared" si="419"/>
        <v>0.38850770626989478</v>
      </c>
      <c r="U305" s="221">
        <f t="shared" si="420"/>
        <v>0.41625825671774441</v>
      </c>
      <c r="V305" s="221">
        <f t="shared" si="421"/>
        <v>1.6760793957365187E-5</v>
      </c>
      <c r="W305" s="201">
        <f t="shared" si="422"/>
        <v>350</v>
      </c>
      <c r="X305" s="451">
        <f t="shared" si="423"/>
        <v>350</v>
      </c>
      <c r="Z305" s="221">
        <f t="shared" si="424"/>
        <v>2.6665592966620477</v>
      </c>
      <c r="AA305" s="177">
        <f t="shared" si="425"/>
        <v>1.1503929066313219E-4</v>
      </c>
      <c r="AB305" s="177">
        <f t="shared" si="426"/>
        <v>0.66892235755096752</v>
      </c>
      <c r="AC305" s="177"/>
      <c r="AD305" s="177">
        <f t="shared" si="427"/>
        <v>6.4712206554230591E-6</v>
      </c>
      <c r="AE305" s="555">
        <f t="shared" si="428"/>
        <v>14716.424691358028</v>
      </c>
      <c r="AF305" s="538">
        <f t="shared" si="429"/>
        <v>2.1166825946720815E-3</v>
      </c>
      <c r="AH305" s="177">
        <f t="shared" si="430"/>
        <v>0.96559875330333378</v>
      </c>
      <c r="AI305" s="177">
        <f t="shared" si="431"/>
        <v>0.96559875330333378</v>
      </c>
      <c r="AJ305" s="177">
        <f t="shared" si="432"/>
        <v>1.8041472246691361</v>
      </c>
      <c r="AL305" s="555">
        <f t="shared" si="433"/>
        <v>89.000000000000014</v>
      </c>
      <c r="AM305" s="469">
        <f t="shared" si="434"/>
        <v>350</v>
      </c>
      <c r="AO305">
        <f t="shared" si="435"/>
        <v>89.000000000000014</v>
      </c>
      <c r="AP305">
        <f t="shared" si="436"/>
        <v>350</v>
      </c>
      <c r="AR305" s="5">
        <f t="shared" si="406"/>
        <v>2.8571428571428572</v>
      </c>
      <c r="AS305" s="5">
        <f t="shared" si="385"/>
        <v>1.0345700928250006</v>
      </c>
      <c r="AT305" s="5">
        <f t="shared" si="386"/>
        <v>1.8225727643178566</v>
      </c>
      <c r="AU305" s="177">
        <f t="shared" si="387"/>
        <v>0.36209953248875021</v>
      </c>
      <c r="CI305" s="571">
        <f t="shared" si="437"/>
        <v>-50</v>
      </c>
    </row>
    <row r="306" spans="4:87" x14ac:dyDescent="0.25">
      <c r="E306" s="174">
        <v>90</v>
      </c>
      <c r="F306" s="221">
        <f t="shared" si="438"/>
        <v>9.0000000000000011E-2</v>
      </c>
      <c r="G306" s="221">
        <f t="shared" si="407"/>
        <v>0.45</v>
      </c>
      <c r="H306" s="221">
        <f t="shared" si="408"/>
        <v>1.35</v>
      </c>
      <c r="I306" s="221">
        <f t="shared" si="409"/>
        <v>3.6</v>
      </c>
      <c r="J306" s="551">
        <f t="shared" si="410"/>
        <v>28</v>
      </c>
      <c r="K306" s="451">
        <f t="shared" si="411"/>
        <v>695386.58000000007</v>
      </c>
      <c r="L306" s="451">
        <f t="shared" si="412"/>
        <v>695414.58000000007</v>
      </c>
      <c r="M306" s="451"/>
      <c r="N306" s="221">
        <f t="shared" si="413"/>
        <v>0.99995973624826795</v>
      </c>
      <c r="O306" s="176">
        <f t="shared" si="414"/>
        <v>2.577168956603491</v>
      </c>
      <c r="P306" s="176">
        <f t="shared" si="415"/>
        <v>6.8724505509426423</v>
      </c>
      <c r="Q306" s="221">
        <f t="shared" si="416"/>
        <v>0.17181126377356606</v>
      </c>
      <c r="R306" s="221">
        <f t="shared" si="417"/>
        <v>0.32214611957543637</v>
      </c>
      <c r="S306" s="221">
        <f t="shared" si="418"/>
        <v>15</v>
      </c>
      <c r="T306" s="221">
        <f t="shared" si="419"/>
        <v>0.39287296139652278</v>
      </c>
      <c r="U306" s="221">
        <f t="shared" si="420"/>
        <v>0.42093531578198873</v>
      </c>
      <c r="V306" s="221">
        <f t="shared" si="421"/>
        <v>1.6949117484976029E-5</v>
      </c>
      <c r="W306" s="201">
        <f t="shared" si="422"/>
        <v>350</v>
      </c>
      <c r="X306" s="451">
        <f t="shared" si="423"/>
        <v>350</v>
      </c>
      <c r="Z306" s="221">
        <f t="shared" si="424"/>
        <v>2.6665592966620477</v>
      </c>
      <c r="AA306" s="177">
        <f t="shared" si="425"/>
        <v>1.1503929066313219E-4</v>
      </c>
      <c r="AB306" s="177">
        <f t="shared" si="426"/>
        <v>0.66892235755096752</v>
      </c>
      <c r="AC306" s="177"/>
      <c r="AD306" s="177">
        <f t="shared" si="427"/>
        <v>6.4712206554230591E-6</v>
      </c>
      <c r="AE306" s="555">
        <f t="shared" si="428"/>
        <v>14881.777777777783</v>
      </c>
      <c r="AF306" s="538">
        <f t="shared" si="429"/>
        <v>2.1166825946720815E-3</v>
      </c>
      <c r="AH306" s="177">
        <f t="shared" si="430"/>
        <v>0.97100831245522445</v>
      </c>
      <c r="AI306" s="177">
        <f t="shared" si="431"/>
        <v>0.97100831245522445</v>
      </c>
      <c r="AJ306" s="177">
        <f t="shared" si="432"/>
        <v>1.8081543055223883</v>
      </c>
      <c r="AL306" s="555">
        <f t="shared" si="433"/>
        <v>90.000000000000014</v>
      </c>
      <c r="AM306" s="469">
        <f t="shared" si="434"/>
        <v>350</v>
      </c>
      <c r="AO306">
        <f t="shared" si="435"/>
        <v>90.000000000000014</v>
      </c>
      <c r="AP306">
        <f t="shared" si="436"/>
        <v>350</v>
      </c>
      <c r="AR306" s="5">
        <f t="shared" si="406"/>
        <v>2.8571428571428572</v>
      </c>
      <c r="AS306" s="5">
        <f t="shared" si="385"/>
        <v>1.0403660490591691</v>
      </c>
      <c r="AT306" s="5">
        <f t="shared" si="386"/>
        <v>1.8167768080836881</v>
      </c>
      <c r="AU306" s="177">
        <f t="shared" si="387"/>
        <v>0.36412811717070914</v>
      </c>
      <c r="CI306" s="571">
        <f t="shared" si="437"/>
        <v>-50</v>
      </c>
    </row>
    <row r="307" spans="4:87" x14ac:dyDescent="0.25">
      <c r="E307" s="174">
        <v>91</v>
      </c>
      <c r="F307" s="221">
        <f t="shared" si="438"/>
        <v>9.1000000000000011E-2</v>
      </c>
      <c r="G307" s="221">
        <f t="shared" si="407"/>
        <v>0.45500000000000002</v>
      </c>
      <c r="H307" s="221">
        <f t="shared" si="408"/>
        <v>1.3650000000000002</v>
      </c>
      <c r="I307" s="221">
        <f t="shared" si="409"/>
        <v>3.64</v>
      </c>
      <c r="J307" s="551">
        <f t="shared" si="410"/>
        <v>28</v>
      </c>
      <c r="K307" s="451">
        <f t="shared" si="411"/>
        <v>695386.58000000007</v>
      </c>
      <c r="L307" s="451">
        <f t="shared" si="412"/>
        <v>695414.58000000007</v>
      </c>
      <c r="M307" s="451"/>
      <c r="N307" s="221">
        <f t="shared" si="413"/>
        <v>0.99995973624826795</v>
      </c>
      <c r="O307" s="176">
        <f t="shared" si="414"/>
        <v>2.577168956603491</v>
      </c>
      <c r="P307" s="176">
        <f t="shared" si="415"/>
        <v>6.8724505509426423</v>
      </c>
      <c r="Q307" s="221">
        <f t="shared" si="416"/>
        <v>0.17181126377356606</v>
      </c>
      <c r="R307" s="221">
        <f t="shared" si="417"/>
        <v>0.32214611957543637</v>
      </c>
      <c r="S307" s="221">
        <f t="shared" si="418"/>
        <v>15</v>
      </c>
      <c r="T307" s="221">
        <f t="shared" si="419"/>
        <v>0.39723821652315089</v>
      </c>
      <c r="U307" s="221">
        <f t="shared" si="420"/>
        <v>0.4256123748462331</v>
      </c>
      <c r="V307" s="221">
        <f t="shared" si="421"/>
        <v>1.7137441012586874E-5</v>
      </c>
      <c r="W307" s="201">
        <f t="shared" si="422"/>
        <v>350</v>
      </c>
      <c r="X307" s="451">
        <f t="shared" si="423"/>
        <v>350</v>
      </c>
      <c r="Z307" s="221">
        <f t="shared" si="424"/>
        <v>2.6665592966620477</v>
      </c>
      <c r="AA307" s="177">
        <f t="shared" si="425"/>
        <v>1.1503929066313219E-4</v>
      </c>
      <c r="AB307" s="177">
        <f t="shared" si="426"/>
        <v>0.66892235755096752</v>
      </c>
      <c r="AC307" s="177"/>
      <c r="AD307" s="177">
        <f t="shared" si="427"/>
        <v>6.4712206554230591E-6</v>
      </c>
      <c r="AE307" s="555">
        <f t="shared" si="428"/>
        <v>15047.130864197536</v>
      </c>
      <c r="AF307" s="538">
        <f t="shared" si="429"/>
        <v>2.1166825946720815E-3</v>
      </c>
      <c r="AH307" s="177">
        <f t="shared" si="430"/>
        <v>0.97638790105845408</v>
      </c>
      <c r="AI307" s="177">
        <f t="shared" si="431"/>
        <v>0.97638790105845408</v>
      </c>
      <c r="AJ307" s="177">
        <f t="shared" si="432"/>
        <v>1.8121391859692251</v>
      </c>
      <c r="AL307" s="555">
        <f t="shared" si="433"/>
        <v>91.000000000000014</v>
      </c>
      <c r="AM307" s="469">
        <f t="shared" si="434"/>
        <v>350</v>
      </c>
      <c r="AO307">
        <f t="shared" si="435"/>
        <v>91.000000000000014</v>
      </c>
      <c r="AP307">
        <f t="shared" si="436"/>
        <v>350</v>
      </c>
      <c r="AR307" s="5">
        <f t="shared" si="406"/>
        <v>2.8571428571428572</v>
      </c>
      <c r="AS307" s="5">
        <f t="shared" ref="AS307:AS316" si="439">L*AI307/J307*1000000</f>
        <v>1.0461298939912009</v>
      </c>
      <c r="AT307" s="5">
        <f t="shared" ref="AT307:AT316" si="440">AR307-AS307</f>
        <v>1.8110129631516563</v>
      </c>
      <c r="AU307" s="177">
        <f t="shared" ref="AU307:AU316" si="441">AS307/AR307</f>
        <v>0.36614546289692029</v>
      </c>
      <c r="CI307" s="571">
        <f t="shared" si="437"/>
        <v>-50</v>
      </c>
    </row>
    <row r="308" spans="4:87" x14ac:dyDescent="0.25">
      <c r="E308" s="174">
        <v>92</v>
      </c>
      <c r="F308" s="221">
        <f t="shared" si="438"/>
        <v>9.2000000000000012E-2</v>
      </c>
      <c r="G308" s="221">
        <f t="shared" si="407"/>
        <v>0.46</v>
      </c>
      <c r="H308" s="221">
        <f t="shared" si="408"/>
        <v>1.3800000000000001</v>
      </c>
      <c r="I308" s="221">
        <f t="shared" si="409"/>
        <v>3.68</v>
      </c>
      <c r="J308" s="551">
        <f t="shared" si="410"/>
        <v>28</v>
      </c>
      <c r="K308" s="451">
        <f t="shared" si="411"/>
        <v>695386.58000000007</v>
      </c>
      <c r="L308" s="451">
        <f t="shared" si="412"/>
        <v>695414.58000000007</v>
      </c>
      <c r="M308" s="451"/>
      <c r="N308" s="221">
        <f t="shared" si="413"/>
        <v>0.99995973624826795</v>
      </c>
      <c r="O308" s="176">
        <f t="shared" si="414"/>
        <v>2.577168956603491</v>
      </c>
      <c r="P308" s="176">
        <f t="shared" si="415"/>
        <v>6.8724505509426423</v>
      </c>
      <c r="Q308" s="221">
        <f t="shared" si="416"/>
        <v>0.17181126377356606</v>
      </c>
      <c r="R308" s="221">
        <f t="shared" si="417"/>
        <v>0.32214611957543637</v>
      </c>
      <c r="S308" s="221">
        <f t="shared" si="418"/>
        <v>15</v>
      </c>
      <c r="T308" s="221">
        <f t="shared" si="419"/>
        <v>0.40160347164977889</v>
      </c>
      <c r="U308" s="221">
        <f t="shared" si="420"/>
        <v>0.43028943391047741</v>
      </c>
      <c r="V308" s="221">
        <f t="shared" si="421"/>
        <v>1.7325764540197723E-5</v>
      </c>
      <c r="W308" s="201">
        <f t="shared" si="422"/>
        <v>350</v>
      </c>
      <c r="X308" s="451">
        <f t="shared" si="423"/>
        <v>350</v>
      </c>
      <c r="Z308" s="221">
        <f t="shared" si="424"/>
        <v>2.6665592966620477</v>
      </c>
      <c r="AA308" s="177">
        <f t="shared" si="425"/>
        <v>1.1503929066313219E-4</v>
      </c>
      <c r="AB308" s="177">
        <f t="shared" si="426"/>
        <v>0.66892235755096752</v>
      </c>
      <c r="AC308" s="177"/>
      <c r="AD308" s="177">
        <f t="shared" si="427"/>
        <v>6.4712206554230591E-6</v>
      </c>
      <c r="AE308" s="555">
        <f t="shared" si="428"/>
        <v>15212.483950617288</v>
      </c>
      <c r="AF308" s="538">
        <f t="shared" si="429"/>
        <v>2.1166825946720815E-3</v>
      </c>
      <c r="AH308" s="177">
        <f t="shared" si="430"/>
        <v>0.98173801179822096</v>
      </c>
      <c r="AI308" s="177">
        <f t="shared" si="431"/>
        <v>0.98173801179822096</v>
      </c>
      <c r="AJ308" s="177">
        <f t="shared" si="432"/>
        <v>1.816102230961645</v>
      </c>
      <c r="AL308" s="555">
        <f t="shared" si="433"/>
        <v>92.000000000000014</v>
      </c>
      <c r="AM308" s="469">
        <f t="shared" si="434"/>
        <v>350</v>
      </c>
      <c r="AO308">
        <f t="shared" si="435"/>
        <v>92.000000000000014</v>
      </c>
      <c r="AP308">
        <f t="shared" si="436"/>
        <v>350</v>
      </c>
      <c r="AR308" s="5">
        <f t="shared" si="406"/>
        <v>2.8571428571428572</v>
      </c>
      <c r="AS308" s="5">
        <f t="shared" si="439"/>
        <v>1.051862155498094</v>
      </c>
      <c r="AT308" s="5">
        <f t="shared" si="440"/>
        <v>1.8052807016447632</v>
      </c>
      <c r="AU308" s="177">
        <f t="shared" si="441"/>
        <v>0.3681517544243329</v>
      </c>
      <c r="CI308" s="571">
        <f t="shared" si="437"/>
        <v>-50</v>
      </c>
    </row>
    <row r="309" spans="4:87" x14ac:dyDescent="0.25">
      <c r="E309" s="174">
        <v>93</v>
      </c>
      <c r="F309" s="221">
        <f t="shared" si="438"/>
        <v>9.3000000000000013E-2</v>
      </c>
      <c r="G309" s="221">
        <f t="shared" si="407"/>
        <v>0.46500000000000002</v>
      </c>
      <c r="H309" s="221">
        <f t="shared" si="408"/>
        <v>1.3950000000000002</v>
      </c>
      <c r="I309" s="221">
        <f t="shared" si="409"/>
        <v>3.72</v>
      </c>
      <c r="J309" s="551">
        <f t="shared" si="410"/>
        <v>28</v>
      </c>
      <c r="K309" s="451">
        <f t="shared" si="411"/>
        <v>695386.58000000007</v>
      </c>
      <c r="L309" s="451">
        <f t="shared" si="412"/>
        <v>695414.58000000007</v>
      </c>
      <c r="M309" s="451"/>
      <c r="N309" s="221">
        <f t="shared" si="413"/>
        <v>0.99995973624826795</v>
      </c>
      <c r="O309" s="176">
        <f t="shared" si="414"/>
        <v>2.577168956603491</v>
      </c>
      <c r="P309" s="176">
        <f t="shared" si="415"/>
        <v>6.8724505509426423</v>
      </c>
      <c r="Q309" s="221">
        <f t="shared" si="416"/>
        <v>0.17181126377356606</v>
      </c>
      <c r="R309" s="221">
        <f t="shared" si="417"/>
        <v>0.32214611957543637</v>
      </c>
      <c r="S309" s="221">
        <f t="shared" si="418"/>
        <v>15</v>
      </c>
      <c r="T309" s="221">
        <f t="shared" si="419"/>
        <v>0.40596872677640689</v>
      </c>
      <c r="U309" s="221">
        <f t="shared" si="420"/>
        <v>0.43496649297472162</v>
      </c>
      <c r="V309" s="221">
        <f t="shared" si="421"/>
        <v>1.7514088067808565E-5</v>
      </c>
      <c r="W309" s="201">
        <f t="shared" si="422"/>
        <v>350</v>
      </c>
      <c r="X309" s="451">
        <f t="shared" si="423"/>
        <v>350</v>
      </c>
      <c r="Z309" s="221">
        <f t="shared" si="424"/>
        <v>2.6665592966620477</v>
      </c>
      <c r="AA309" s="177">
        <f t="shared" si="425"/>
        <v>1.1503929066313219E-4</v>
      </c>
      <c r="AB309" s="177">
        <f t="shared" si="426"/>
        <v>0.66892235755096752</v>
      </c>
      <c r="AC309" s="177"/>
      <c r="AD309" s="177">
        <f t="shared" si="427"/>
        <v>6.4712206554230591E-6</v>
      </c>
      <c r="AE309" s="555">
        <f t="shared" si="428"/>
        <v>15377.837037037041</v>
      </c>
      <c r="AF309" s="538">
        <f t="shared" si="429"/>
        <v>2.1166825946720815E-3</v>
      </c>
      <c r="AH309" s="177">
        <f t="shared" si="430"/>
        <v>0.9870591240071257</v>
      </c>
      <c r="AI309" s="177">
        <f t="shared" si="431"/>
        <v>0.9870591240071257</v>
      </c>
      <c r="AJ309" s="177">
        <f t="shared" si="432"/>
        <v>1.8200437955608337</v>
      </c>
      <c r="AL309" s="555">
        <f t="shared" si="433"/>
        <v>93.000000000000014</v>
      </c>
      <c r="AM309" s="469">
        <f t="shared" si="434"/>
        <v>350</v>
      </c>
      <c r="AO309">
        <f t="shared" si="435"/>
        <v>93.000000000000014</v>
      </c>
      <c r="AP309">
        <f t="shared" si="436"/>
        <v>350</v>
      </c>
      <c r="AR309" s="5">
        <f t="shared" si="406"/>
        <v>2.8571428571428572</v>
      </c>
      <c r="AS309" s="5">
        <f t="shared" si="439"/>
        <v>1.0575633471504919</v>
      </c>
      <c r="AT309" s="5">
        <f t="shared" si="440"/>
        <v>1.7995795099923653</v>
      </c>
      <c r="AU309" s="177">
        <f t="shared" si="441"/>
        <v>0.37014717150267218</v>
      </c>
      <c r="CI309" s="571">
        <f t="shared" si="437"/>
        <v>-50</v>
      </c>
    </row>
    <row r="310" spans="4:87" x14ac:dyDescent="0.25">
      <c r="E310" s="174">
        <v>94</v>
      </c>
      <c r="F310" s="221">
        <f t="shared" si="438"/>
        <v>9.4E-2</v>
      </c>
      <c r="G310" s="221">
        <f t="shared" si="407"/>
        <v>0.47</v>
      </c>
      <c r="H310" s="221">
        <f t="shared" si="408"/>
        <v>1.41</v>
      </c>
      <c r="I310" s="221">
        <f t="shared" si="409"/>
        <v>3.76</v>
      </c>
      <c r="J310" s="551">
        <f t="shared" si="410"/>
        <v>28</v>
      </c>
      <c r="K310" s="451">
        <f t="shared" si="411"/>
        <v>695386.58000000007</v>
      </c>
      <c r="L310" s="451">
        <f t="shared" si="412"/>
        <v>695414.58000000007</v>
      </c>
      <c r="M310" s="451"/>
      <c r="N310" s="221">
        <f t="shared" si="413"/>
        <v>0.99995973624826795</v>
      </c>
      <c r="O310" s="176">
        <f t="shared" si="414"/>
        <v>2.577168956603491</v>
      </c>
      <c r="P310" s="176">
        <f t="shared" si="415"/>
        <v>6.8724505509426423</v>
      </c>
      <c r="Q310" s="221">
        <f t="shared" si="416"/>
        <v>0.17181126377356606</v>
      </c>
      <c r="R310" s="221">
        <f t="shared" si="417"/>
        <v>0.32214611957543637</v>
      </c>
      <c r="S310" s="221">
        <f t="shared" si="418"/>
        <v>15</v>
      </c>
      <c r="T310" s="221">
        <f t="shared" si="419"/>
        <v>0.41033398190303488</v>
      </c>
      <c r="U310" s="221">
        <f t="shared" si="420"/>
        <v>0.43964355203896593</v>
      </c>
      <c r="V310" s="221">
        <f t="shared" si="421"/>
        <v>1.7702411595419407E-5</v>
      </c>
      <c r="W310" s="201">
        <f t="shared" si="422"/>
        <v>350</v>
      </c>
      <c r="X310" s="451">
        <f t="shared" si="423"/>
        <v>350</v>
      </c>
      <c r="Z310" s="221">
        <f t="shared" si="424"/>
        <v>2.6665592966620477</v>
      </c>
      <c r="AA310" s="177">
        <f t="shared" si="425"/>
        <v>1.1503929066313219E-4</v>
      </c>
      <c r="AB310" s="177">
        <f t="shared" si="426"/>
        <v>0.66892235755096752</v>
      </c>
      <c r="AC310" s="177"/>
      <c r="AD310" s="177">
        <f t="shared" si="427"/>
        <v>6.4712206554230591E-6</v>
      </c>
      <c r="AE310" s="555">
        <f t="shared" si="428"/>
        <v>15543.190123456794</v>
      </c>
      <c r="AF310" s="538">
        <f t="shared" si="429"/>
        <v>2.1166825946720815E-3</v>
      </c>
      <c r="AH310" s="177">
        <f t="shared" si="430"/>
        <v>0.99235170416637297</v>
      </c>
      <c r="AI310" s="177">
        <f t="shared" si="431"/>
        <v>0.99235170416637297</v>
      </c>
      <c r="AJ310" s="177">
        <f t="shared" si="432"/>
        <v>1.8239642253084243</v>
      </c>
      <c r="AL310" s="555">
        <f t="shared" si="433"/>
        <v>94</v>
      </c>
      <c r="AM310" s="469">
        <f t="shared" si="434"/>
        <v>350</v>
      </c>
      <c r="AO310">
        <f t="shared" si="435"/>
        <v>94</v>
      </c>
      <c r="AP310">
        <f t="shared" si="436"/>
        <v>350</v>
      </c>
      <c r="AR310" s="5">
        <f t="shared" si="406"/>
        <v>2.8571428571428572</v>
      </c>
      <c r="AS310" s="5">
        <f t="shared" si="439"/>
        <v>1.0632339687496855</v>
      </c>
      <c r="AT310" s="5">
        <f t="shared" si="440"/>
        <v>1.7939088883931718</v>
      </c>
      <c r="AU310" s="177">
        <f t="shared" si="441"/>
        <v>0.37213188906238992</v>
      </c>
      <c r="CI310" s="571">
        <f t="shared" si="437"/>
        <v>-50</v>
      </c>
    </row>
    <row r="311" spans="4:87" x14ac:dyDescent="0.25">
      <c r="E311" s="174">
        <v>95</v>
      </c>
      <c r="F311" s="221">
        <f t="shared" si="438"/>
        <v>9.5000000000000001E-2</v>
      </c>
      <c r="G311" s="221">
        <f t="shared" si="407"/>
        <v>0.47499999999999998</v>
      </c>
      <c r="H311" s="221">
        <f t="shared" si="408"/>
        <v>1.425</v>
      </c>
      <c r="I311" s="221">
        <f t="shared" si="409"/>
        <v>3.8</v>
      </c>
      <c r="J311" s="551">
        <f t="shared" si="410"/>
        <v>28</v>
      </c>
      <c r="K311" s="451">
        <f t="shared" si="411"/>
        <v>695386.58000000007</v>
      </c>
      <c r="L311" s="451">
        <f t="shared" si="412"/>
        <v>695414.58000000007</v>
      </c>
      <c r="M311" s="451"/>
      <c r="N311" s="221">
        <f t="shared" si="413"/>
        <v>0.99995973624826795</v>
      </c>
      <c r="O311" s="176">
        <f t="shared" si="414"/>
        <v>2.577168956603491</v>
      </c>
      <c r="P311" s="176">
        <f t="shared" si="415"/>
        <v>6.8724505509426423</v>
      </c>
      <c r="Q311" s="221">
        <f t="shared" si="416"/>
        <v>0.17181126377356606</v>
      </c>
      <c r="R311" s="221">
        <f t="shared" si="417"/>
        <v>0.32214611957543637</v>
      </c>
      <c r="S311" s="221">
        <f t="shared" si="418"/>
        <v>15</v>
      </c>
      <c r="T311" s="221">
        <f t="shared" si="419"/>
        <v>0.41469923702966294</v>
      </c>
      <c r="U311" s="221">
        <f t="shared" si="420"/>
        <v>0.44432061110321025</v>
      </c>
      <c r="V311" s="221">
        <f t="shared" si="421"/>
        <v>1.7890735123030252E-5</v>
      </c>
      <c r="W311" s="201">
        <f t="shared" si="422"/>
        <v>350</v>
      </c>
      <c r="X311" s="451">
        <f t="shared" si="423"/>
        <v>350</v>
      </c>
      <c r="Z311" s="221">
        <f t="shared" si="424"/>
        <v>2.6665592966620477</v>
      </c>
      <c r="AA311" s="177">
        <f t="shared" si="425"/>
        <v>1.1503929066313219E-4</v>
      </c>
      <c r="AB311" s="177">
        <f t="shared" si="426"/>
        <v>0.66892235755096752</v>
      </c>
      <c r="AC311" s="177"/>
      <c r="AD311" s="177">
        <f t="shared" si="427"/>
        <v>6.4712206554230591E-6</v>
      </c>
      <c r="AE311" s="555">
        <f t="shared" si="428"/>
        <v>15708.54320987655</v>
      </c>
      <c r="AF311" s="538">
        <f t="shared" si="429"/>
        <v>2.1166825946720815E-3</v>
      </c>
      <c r="AH311" s="177">
        <f t="shared" si="430"/>
        <v>0.99761620638304349</v>
      </c>
      <c r="AI311" s="177">
        <f t="shared" si="431"/>
        <v>0.99761620638304349</v>
      </c>
      <c r="AJ311" s="177">
        <f t="shared" si="432"/>
        <v>1.827863856580032</v>
      </c>
      <c r="AL311" s="555">
        <f t="shared" si="433"/>
        <v>95</v>
      </c>
      <c r="AM311" s="469">
        <f t="shared" si="434"/>
        <v>350</v>
      </c>
      <c r="AO311">
        <f t="shared" si="435"/>
        <v>95</v>
      </c>
      <c r="AP311">
        <f t="shared" si="436"/>
        <v>350</v>
      </c>
      <c r="AR311" s="5">
        <f t="shared" si="406"/>
        <v>2.8571428571428572</v>
      </c>
      <c r="AS311" s="5">
        <f t="shared" si="439"/>
        <v>1.0688745068389753</v>
      </c>
      <c r="AT311" s="5">
        <f t="shared" si="440"/>
        <v>1.7882683503038819</v>
      </c>
      <c r="AU311" s="177">
        <f t="shared" si="441"/>
        <v>0.37410607739364138</v>
      </c>
      <c r="CI311" s="571">
        <f t="shared" si="437"/>
        <v>-50</v>
      </c>
    </row>
    <row r="312" spans="4:87" x14ac:dyDescent="0.25">
      <c r="E312" s="174">
        <v>96</v>
      </c>
      <c r="F312" s="221">
        <f t="shared" si="438"/>
        <v>9.6000000000000002E-2</v>
      </c>
      <c r="G312" s="221">
        <f t="shared" si="407"/>
        <v>0.48</v>
      </c>
      <c r="H312" s="221">
        <f t="shared" si="408"/>
        <v>1.44</v>
      </c>
      <c r="I312" s="221">
        <f t="shared" si="409"/>
        <v>3.84</v>
      </c>
      <c r="J312" s="551">
        <f t="shared" si="410"/>
        <v>28</v>
      </c>
      <c r="K312" s="451">
        <f t="shared" si="411"/>
        <v>695386.58000000007</v>
      </c>
      <c r="L312" s="451">
        <f t="shared" si="412"/>
        <v>695414.58000000007</v>
      </c>
      <c r="M312" s="451"/>
      <c r="N312" s="221">
        <f t="shared" si="413"/>
        <v>0.99995973624826795</v>
      </c>
      <c r="O312" s="176">
        <f t="shared" ref="O312:O316" si="442">N312*J312*Isw_max*0.5*Efficiency*Pout/(Pout+Pout2)</f>
        <v>2.577168956603491</v>
      </c>
      <c r="P312" s="176">
        <f t="shared" si="415"/>
        <v>6.8724505509426423</v>
      </c>
      <c r="Q312" s="221">
        <f t="shared" si="416"/>
        <v>0.17181126377356606</v>
      </c>
      <c r="R312" s="221">
        <f t="shared" si="417"/>
        <v>0.32214611957543637</v>
      </c>
      <c r="S312" s="221">
        <f t="shared" si="418"/>
        <v>15</v>
      </c>
      <c r="T312" s="221">
        <f t="shared" si="419"/>
        <v>0.41906449215629094</v>
      </c>
      <c r="U312" s="221">
        <f t="shared" si="420"/>
        <v>0.44899767016745457</v>
      </c>
      <c r="V312" s="221">
        <f t="shared" si="421"/>
        <v>1.8079058650641097E-5</v>
      </c>
      <c r="W312" s="201">
        <f t="shared" si="422"/>
        <v>350</v>
      </c>
      <c r="X312" s="451">
        <f t="shared" si="423"/>
        <v>350</v>
      </c>
      <c r="Z312" s="221">
        <f t="shared" si="424"/>
        <v>2.6665592966620477</v>
      </c>
      <c r="AA312" s="177">
        <f t="shared" si="425"/>
        <v>1.1503929066313219E-4</v>
      </c>
      <c r="AB312" s="177">
        <f t="shared" ref="AB312:AB316" si="443">0.5*AA312*Z312*Nps*W312/1000*(Pout/(Pout+Pout2))</f>
        <v>0.66892235755096752</v>
      </c>
      <c r="AC312" s="177"/>
      <c r="AD312" s="177">
        <f t="shared" si="427"/>
        <v>6.4712206554230591E-6</v>
      </c>
      <c r="AE312" s="555">
        <f t="shared" ref="AE312:AE316" si="444">MAX(10, F312/(0.5*AD312/1000000*Isw_min*Nps)/1000*Pout_total/Pout)</f>
        <v>15873.896296296303</v>
      </c>
      <c r="AF312" s="538">
        <f t="shared" si="429"/>
        <v>2.1166825946720815E-3</v>
      </c>
      <c r="AH312" s="177">
        <f t="shared" si="430"/>
        <v>1.002853072844814</v>
      </c>
      <c r="AI312" s="177">
        <f t="shared" ref="AI312:AI316" si="445">MAX(IF(F312&gt;AB312,T312,AH312),Isw_min)</f>
        <v>1.002853072844814</v>
      </c>
      <c r="AJ312" s="177">
        <f t="shared" ref="AJ312:AJ316" si="446">IF(F312&gt;AF312, (AI312-Isw_min)/1.08*0.8+1.2, AE312*0.2/350+1)</f>
        <v>1.8317430169220843</v>
      </c>
      <c r="AL312" s="555">
        <f t="shared" si="433"/>
        <v>96</v>
      </c>
      <c r="AM312" s="469">
        <f t="shared" si="434"/>
        <v>350</v>
      </c>
      <c r="AO312">
        <f t="shared" si="435"/>
        <v>96</v>
      </c>
      <c r="AP312">
        <f t="shared" si="436"/>
        <v>350</v>
      </c>
      <c r="AR312" s="5">
        <f t="shared" si="406"/>
        <v>2.8571428571428572</v>
      </c>
      <c r="AS312" s="5">
        <f t="shared" si="439"/>
        <v>1.0744854351908721</v>
      </c>
      <c r="AT312" s="5">
        <f t="shared" si="440"/>
        <v>1.7826574219519851</v>
      </c>
      <c r="AU312" s="177">
        <f t="shared" si="441"/>
        <v>0.37606990231680526</v>
      </c>
      <c r="CI312" s="571">
        <f t="shared" si="437"/>
        <v>-50</v>
      </c>
    </row>
    <row r="313" spans="4:87" x14ac:dyDescent="0.25">
      <c r="E313" s="174">
        <v>97</v>
      </c>
      <c r="F313" s="221">
        <f t="shared" ref="F313:F316" si="447">IF(PLOT_TYPE=1, E313/100*Iout_max, min_I*EXP(O313*rr/100))</f>
        <v>9.7000000000000003E-2</v>
      </c>
      <c r="G313" s="221">
        <f t="shared" si="407"/>
        <v>0.48499999999999999</v>
      </c>
      <c r="H313" s="221">
        <f t="shared" si="408"/>
        <v>1.4550000000000001</v>
      </c>
      <c r="I313" s="221">
        <f t="shared" si="409"/>
        <v>3.88</v>
      </c>
      <c r="J313" s="551">
        <f t="shared" si="410"/>
        <v>28</v>
      </c>
      <c r="K313" s="451">
        <f t="shared" si="411"/>
        <v>695386.58000000007</v>
      </c>
      <c r="L313" s="451">
        <f t="shared" si="412"/>
        <v>695414.58000000007</v>
      </c>
      <c r="M313" s="451"/>
      <c r="N313" s="221">
        <f t="shared" si="413"/>
        <v>0.99995973624826795</v>
      </c>
      <c r="O313" s="176">
        <f t="shared" si="442"/>
        <v>2.577168956603491</v>
      </c>
      <c r="P313" s="176">
        <f t="shared" si="415"/>
        <v>6.8724505509426423</v>
      </c>
      <c r="Q313" s="221">
        <f t="shared" si="416"/>
        <v>0.17181126377356606</v>
      </c>
      <c r="R313" s="221">
        <f t="shared" si="417"/>
        <v>0.32214611957543637</v>
      </c>
      <c r="S313" s="221">
        <f t="shared" si="418"/>
        <v>15</v>
      </c>
      <c r="T313" s="221">
        <f t="shared" si="419"/>
        <v>0.42342974728291899</v>
      </c>
      <c r="U313" s="221">
        <f t="shared" si="420"/>
        <v>0.45367472923169888</v>
      </c>
      <c r="V313" s="221">
        <f t="shared" si="421"/>
        <v>1.8267382178251942E-5</v>
      </c>
      <c r="W313" s="201">
        <f t="shared" si="422"/>
        <v>350</v>
      </c>
      <c r="X313" s="451">
        <f t="shared" si="423"/>
        <v>350</v>
      </c>
      <c r="Z313" s="221">
        <f t="shared" si="424"/>
        <v>2.6665592966620477</v>
      </c>
      <c r="AA313" s="177">
        <f t="shared" si="425"/>
        <v>1.1503929066313219E-4</v>
      </c>
      <c r="AB313" s="177">
        <f t="shared" si="443"/>
        <v>0.66892235755096752</v>
      </c>
      <c r="AC313" s="177"/>
      <c r="AD313" s="177">
        <f t="shared" si="427"/>
        <v>6.4712206554230591E-6</v>
      </c>
      <c r="AE313" s="555">
        <f t="shared" si="444"/>
        <v>16039.249382716051</v>
      </c>
      <c r="AF313" s="538">
        <f t="shared" si="429"/>
        <v>2.1166825946720815E-3</v>
      </c>
      <c r="AH313" s="177">
        <f t="shared" si="430"/>
        <v>1.0080627342534174</v>
      </c>
      <c r="AI313" s="177">
        <f t="shared" si="445"/>
        <v>1.0080627342534174</v>
      </c>
      <c r="AJ313" s="177">
        <f t="shared" si="446"/>
        <v>1.8356020253729017</v>
      </c>
      <c r="AL313" s="555">
        <f t="shared" si="433"/>
        <v>97</v>
      </c>
      <c r="AM313" s="469">
        <f t="shared" si="434"/>
        <v>350</v>
      </c>
      <c r="AO313">
        <f t="shared" si="435"/>
        <v>97</v>
      </c>
      <c r="AP313">
        <f t="shared" si="436"/>
        <v>350</v>
      </c>
      <c r="AR313" s="5">
        <f t="shared" si="406"/>
        <v>2.8571428571428572</v>
      </c>
      <c r="AS313" s="5">
        <f t="shared" si="439"/>
        <v>1.0800672152715187</v>
      </c>
      <c r="AT313" s="5">
        <f t="shared" si="440"/>
        <v>1.7770756418713385</v>
      </c>
      <c r="AU313" s="177">
        <f t="shared" si="441"/>
        <v>0.37802352534503153</v>
      </c>
      <c r="CI313" s="571">
        <f t="shared" si="437"/>
        <v>-50</v>
      </c>
    </row>
    <row r="314" spans="4:87" x14ac:dyDescent="0.25">
      <c r="E314" s="174">
        <v>98</v>
      </c>
      <c r="F314" s="221">
        <f t="shared" si="447"/>
        <v>9.8000000000000004E-2</v>
      </c>
      <c r="G314" s="221">
        <f t="shared" si="407"/>
        <v>0.49</v>
      </c>
      <c r="H314" s="221">
        <f t="shared" si="408"/>
        <v>1.47</v>
      </c>
      <c r="I314" s="221">
        <f t="shared" si="409"/>
        <v>3.92</v>
      </c>
      <c r="J314" s="551">
        <f t="shared" si="410"/>
        <v>28</v>
      </c>
      <c r="K314" s="451">
        <f t="shared" si="411"/>
        <v>695386.58000000007</v>
      </c>
      <c r="L314" s="451">
        <f t="shared" si="412"/>
        <v>695414.58000000007</v>
      </c>
      <c r="M314" s="451"/>
      <c r="N314" s="221">
        <f t="shared" si="413"/>
        <v>0.99995973624826795</v>
      </c>
      <c r="O314" s="176">
        <f t="shared" si="442"/>
        <v>2.577168956603491</v>
      </c>
      <c r="P314" s="176">
        <f t="shared" si="415"/>
        <v>6.8724505509426423</v>
      </c>
      <c r="Q314" s="221">
        <f t="shared" si="416"/>
        <v>0.17181126377356606</v>
      </c>
      <c r="R314" s="221">
        <f t="shared" si="417"/>
        <v>0.32214611957543637</v>
      </c>
      <c r="S314" s="221">
        <f t="shared" si="418"/>
        <v>15</v>
      </c>
      <c r="T314" s="221">
        <f t="shared" si="419"/>
        <v>0.42779500240954699</v>
      </c>
      <c r="U314" s="221">
        <f t="shared" si="420"/>
        <v>0.4583517882959432</v>
      </c>
      <c r="V314" s="221">
        <f t="shared" si="421"/>
        <v>1.8455705705862784E-5</v>
      </c>
      <c r="W314" s="201">
        <f t="shared" si="422"/>
        <v>350</v>
      </c>
      <c r="X314" s="451">
        <f t="shared" si="423"/>
        <v>350</v>
      </c>
      <c r="Z314" s="221">
        <f t="shared" si="424"/>
        <v>2.6665592966620477</v>
      </c>
      <c r="AA314" s="177">
        <f t="shared" si="425"/>
        <v>1.1503929066313219E-4</v>
      </c>
      <c r="AB314" s="177">
        <f t="shared" si="443"/>
        <v>0.66892235755096752</v>
      </c>
      <c r="AC314" s="177"/>
      <c r="AD314" s="177">
        <f t="shared" si="427"/>
        <v>6.4712206554230591E-6</v>
      </c>
      <c r="AE314" s="555">
        <f t="shared" si="444"/>
        <v>16204.602469135805</v>
      </c>
      <c r="AF314" s="538">
        <f t="shared" si="429"/>
        <v>2.1166825946720815E-3</v>
      </c>
      <c r="AH314" s="177">
        <f t="shared" si="430"/>
        <v>1.0132456102380443</v>
      </c>
      <c r="AI314" s="177">
        <f t="shared" si="445"/>
        <v>1.0132456102380443</v>
      </c>
      <c r="AJ314" s="177">
        <f t="shared" si="446"/>
        <v>1.8394411927689216</v>
      </c>
      <c r="AL314" s="555">
        <f t="shared" si="433"/>
        <v>98</v>
      </c>
      <c r="AM314" s="469">
        <f t="shared" si="434"/>
        <v>350</v>
      </c>
      <c r="AO314">
        <f t="shared" si="435"/>
        <v>98</v>
      </c>
      <c r="AP314">
        <f t="shared" si="436"/>
        <v>350</v>
      </c>
      <c r="AR314" s="5">
        <f t="shared" si="406"/>
        <v>2.8571428571428572</v>
      </c>
      <c r="AS314" s="5">
        <f t="shared" si="439"/>
        <v>1.0856202966836188</v>
      </c>
      <c r="AT314" s="5">
        <f t="shared" si="440"/>
        <v>1.7715225604592384</v>
      </c>
      <c r="AU314" s="177">
        <f t="shared" si="441"/>
        <v>0.37996710383926657</v>
      </c>
      <c r="CI314" s="571">
        <f t="shared" si="437"/>
        <v>-50</v>
      </c>
    </row>
    <row r="315" spans="4:87" x14ac:dyDescent="0.25">
      <c r="E315" s="174">
        <v>99</v>
      </c>
      <c r="F315" s="221">
        <f t="shared" si="447"/>
        <v>9.9000000000000005E-2</v>
      </c>
      <c r="G315" s="221">
        <f t="shared" si="407"/>
        <v>0.495</v>
      </c>
      <c r="H315" s="221">
        <f t="shared" si="408"/>
        <v>1.4850000000000001</v>
      </c>
      <c r="I315" s="221">
        <f t="shared" si="409"/>
        <v>3.96</v>
      </c>
      <c r="J315" s="551">
        <f t="shared" si="410"/>
        <v>28</v>
      </c>
      <c r="K315" s="451">
        <f t="shared" si="411"/>
        <v>695386.58000000007</v>
      </c>
      <c r="L315" s="451">
        <f t="shared" si="412"/>
        <v>695414.58000000007</v>
      </c>
      <c r="M315" s="451"/>
      <c r="N315" s="221">
        <f t="shared" si="413"/>
        <v>0.99995973624826795</v>
      </c>
      <c r="O315" s="176">
        <f t="shared" si="442"/>
        <v>2.577168956603491</v>
      </c>
      <c r="P315" s="176">
        <f t="shared" si="415"/>
        <v>6.8724505509426423</v>
      </c>
      <c r="Q315" s="221">
        <f t="shared" si="416"/>
        <v>0.17181126377356606</v>
      </c>
      <c r="R315" s="221">
        <f t="shared" si="417"/>
        <v>0.32214611957543637</v>
      </c>
      <c r="S315" s="221">
        <f t="shared" si="418"/>
        <v>15</v>
      </c>
      <c r="T315" s="221">
        <f t="shared" si="419"/>
        <v>0.4321602575361751</v>
      </c>
      <c r="U315" s="221">
        <f t="shared" si="420"/>
        <v>0.46302884736018757</v>
      </c>
      <c r="V315" s="221">
        <f t="shared" si="421"/>
        <v>1.8644029233473633E-5</v>
      </c>
      <c r="W315" s="201">
        <f t="shared" si="422"/>
        <v>350</v>
      </c>
      <c r="X315" s="451">
        <f t="shared" si="423"/>
        <v>350</v>
      </c>
      <c r="Z315" s="221">
        <f t="shared" si="424"/>
        <v>2.6665592966620477</v>
      </c>
      <c r="AA315" s="177">
        <f t="shared" si="425"/>
        <v>1.1503929066313219E-4</v>
      </c>
      <c r="AB315" s="177">
        <f t="shared" si="443"/>
        <v>0.66892235755096752</v>
      </c>
      <c r="AC315" s="177"/>
      <c r="AD315" s="177">
        <f t="shared" si="427"/>
        <v>6.4712206554230591E-6</v>
      </c>
      <c r="AE315" s="555">
        <f t="shared" si="444"/>
        <v>16369.955555555562</v>
      </c>
      <c r="AF315" s="538">
        <f t="shared" si="429"/>
        <v>2.1166825946720815E-3</v>
      </c>
      <c r="AH315" s="177">
        <f t="shared" si="430"/>
        <v>1.0184021097498066</v>
      </c>
      <c r="AI315" s="177">
        <f t="shared" si="445"/>
        <v>1.0184021097498066</v>
      </c>
      <c r="AJ315" s="177">
        <f t="shared" si="446"/>
        <v>1.8432608220368938</v>
      </c>
      <c r="AL315" s="555">
        <f t="shared" si="433"/>
        <v>99</v>
      </c>
      <c r="AM315" s="469">
        <f t="shared" si="434"/>
        <v>350</v>
      </c>
      <c r="AO315">
        <f t="shared" si="435"/>
        <v>99</v>
      </c>
      <c r="AP315">
        <f t="shared" si="436"/>
        <v>350</v>
      </c>
      <c r="AR315" s="5">
        <f t="shared" si="406"/>
        <v>2.8571428571428572</v>
      </c>
      <c r="AS315" s="5">
        <f t="shared" si="439"/>
        <v>1.0911451175890785</v>
      </c>
      <c r="AT315" s="5">
        <f t="shared" si="440"/>
        <v>1.7659977395537787</v>
      </c>
      <c r="AU315" s="177">
        <f t="shared" si="441"/>
        <v>0.38190079115617748</v>
      </c>
      <c r="CI315" s="571">
        <f t="shared" si="437"/>
        <v>-50</v>
      </c>
    </row>
    <row r="316" spans="4:87" x14ac:dyDescent="0.25">
      <c r="E316" s="174">
        <v>100</v>
      </c>
      <c r="F316" s="221">
        <f t="shared" si="447"/>
        <v>0.1</v>
      </c>
      <c r="G316" s="221">
        <f t="shared" si="407"/>
        <v>0.5</v>
      </c>
      <c r="H316" s="221">
        <f t="shared" si="408"/>
        <v>1.5</v>
      </c>
      <c r="I316" s="221">
        <f t="shared" si="409"/>
        <v>4</v>
      </c>
      <c r="J316" s="551">
        <f t="shared" si="410"/>
        <v>28</v>
      </c>
      <c r="K316" s="451">
        <f t="shared" si="411"/>
        <v>695386.58000000007</v>
      </c>
      <c r="L316" s="451">
        <f t="shared" si="412"/>
        <v>695414.58000000007</v>
      </c>
      <c r="M316" s="451"/>
      <c r="N316" s="221">
        <f t="shared" si="413"/>
        <v>0.99995973624826795</v>
      </c>
      <c r="O316" s="176">
        <f t="shared" si="442"/>
        <v>2.577168956603491</v>
      </c>
      <c r="P316" s="176">
        <f t="shared" si="415"/>
        <v>6.8724505509426423</v>
      </c>
      <c r="Q316" s="221">
        <f t="shared" si="416"/>
        <v>0.17181126377356606</v>
      </c>
      <c r="R316" s="221">
        <f t="shared" si="417"/>
        <v>0.32214611957543637</v>
      </c>
      <c r="S316" s="221">
        <f t="shared" si="418"/>
        <v>15</v>
      </c>
      <c r="T316" s="221">
        <f t="shared" si="419"/>
        <v>0.43652551266280309</v>
      </c>
      <c r="U316" s="221">
        <f t="shared" si="420"/>
        <v>0.46770590642443194</v>
      </c>
      <c r="V316" s="221">
        <f t="shared" si="421"/>
        <v>1.8832352761084478E-5</v>
      </c>
      <c r="W316" s="201">
        <f t="shared" si="422"/>
        <v>350</v>
      </c>
      <c r="X316" s="451">
        <f t="shared" si="423"/>
        <v>350</v>
      </c>
      <c r="Z316" s="221">
        <f t="shared" si="424"/>
        <v>2.6665592966620477</v>
      </c>
      <c r="AA316" s="177">
        <f t="shared" si="425"/>
        <v>1.1503929066313219E-4</v>
      </c>
      <c r="AB316" s="177">
        <f t="shared" si="443"/>
        <v>0.66892235755096752</v>
      </c>
      <c r="AC316" s="177"/>
      <c r="AD316" s="177">
        <f t="shared" si="427"/>
        <v>6.4712206554230591E-6</v>
      </c>
      <c r="AE316" s="555">
        <f t="shared" si="444"/>
        <v>16535.308641975313</v>
      </c>
      <c r="AF316" s="538">
        <f t="shared" si="429"/>
        <v>2.1166825946720815E-3</v>
      </c>
      <c r="AH316" s="177">
        <f t="shared" si="430"/>
        <v>1.023532631438318</v>
      </c>
      <c r="AI316" s="177">
        <f t="shared" si="445"/>
        <v>1.023532631438318</v>
      </c>
      <c r="AJ316" s="177">
        <f t="shared" si="446"/>
        <v>1.847061208472828</v>
      </c>
      <c r="AL316" s="555">
        <f t="shared" si="433"/>
        <v>100</v>
      </c>
      <c r="AM316" s="469">
        <f t="shared" si="434"/>
        <v>350</v>
      </c>
      <c r="AO316">
        <f t="shared" si="435"/>
        <v>100</v>
      </c>
      <c r="AP316">
        <f t="shared" si="436"/>
        <v>350</v>
      </c>
      <c r="AR316" s="5">
        <f t="shared" si="406"/>
        <v>2.8571428571428572</v>
      </c>
      <c r="AS316" s="5">
        <f t="shared" si="439"/>
        <v>1.0966421051124835</v>
      </c>
      <c r="AT316" s="5">
        <f t="shared" si="440"/>
        <v>1.7605007520303737</v>
      </c>
      <c r="AU316" s="177">
        <f t="shared" si="441"/>
        <v>0.38382473678936924</v>
      </c>
      <c r="CI316" s="571">
        <f t="shared" si="437"/>
        <v>-50</v>
      </c>
    </row>
    <row r="317" spans="4:87" x14ac:dyDescent="0.25">
      <c r="E317" s="174"/>
      <c r="F317" s="221"/>
      <c r="G317" s="221"/>
    </row>
    <row r="319" spans="4:87" x14ac:dyDescent="0.25">
      <c r="D319" s="77" t="s">
        <v>824</v>
      </c>
    </row>
    <row r="320" spans="4:87" x14ac:dyDescent="0.25">
      <c r="E320" s="77" t="s">
        <v>840</v>
      </c>
      <c r="K320" s="77"/>
      <c r="L320" s="77" t="s">
        <v>844</v>
      </c>
    </row>
    <row r="321" spans="5:16" x14ac:dyDescent="0.25">
      <c r="F321" s="77" t="s">
        <v>841</v>
      </c>
      <c r="G321" s="77" t="s">
        <v>842</v>
      </c>
      <c r="M321" s="77" t="s">
        <v>845</v>
      </c>
      <c r="N321" s="77" t="s">
        <v>846</v>
      </c>
    </row>
    <row r="322" spans="5:16" x14ac:dyDescent="0.25">
      <c r="F322">
        <f>'LM(2)518x PSR flyback converter'!E57</f>
        <v>5.0000000000000001E-3</v>
      </c>
      <c r="G322" s="771">
        <f>F322*Vout</f>
        <v>7.4999999999999997E-2</v>
      </c>
      <c r="M322">
        <f>'LM(2)518x PSR flyback converter'!L57</f>
        <v>5.0000000000000001E-3</v>
      </c>
      <c r="N322" s="771">
        <f>M322*'LM(2)518x PSR flyback converter'!E12</f>
        <v>0.04</v>
      </c>
    </row>
    <row r="323" spans="5:16" x14ac:dyDescent="0.25">
      <c r="E323" t="s">
        <v>832</v>
      </c>
      <c r="L323" t="s">
        <v>832</v>
      </c>
    </row>
    <row r="324" spans="5:16" x14ac:dyDescent="0.25">
      <c r="F324" t="s">
        <v>833</v>
      </c>
      <c r="G324" t="s">
        <v>834</v>
      </c>
      <c r="H324" t="s">
        <v>835</v>
      </c>
      <c r="I324" s="77" t="s">
        <v>676</v>
      </c>
      <c r="M324" t="s">
        <v>833</v>
      </c>
      <c r="N324" t="s">
        <v>834</v>
      </c>
      <c r="O324" t="s">
        <v>835</v>
      </c>
      <c r="P324" s="77" t="s">
        <v>676</v>
      </c>
    </row>
    <row r="325" spans="5:16" x14ac:dyDescent="0.25">
      <c r="F325" s="770">
        <v>1.9999999999999999E-7</v>
      </c>
      <c r="G325">
        <f>VIN_max</f>
        <v>28</v>
      </c>
      <c r="H325">
        <f>15000</f>
        <v>15000</v>
      </c>
      <c r="I325">
        <f>L*0.9</f>
        <v>2.7000000000000002E-5</v>
      </c>
      <c r="M325" s="770">
        <v>1.9999999999999999E-7</v>
      </c>
      <c r="N325">
        <f>VIN_max</f>
        <v>28</v>
      </c>
      <c r="O325">
        <f>15000</f>
        <v>15000</v>
      </c>
      <c r="P325">
        <f>L*0.9</f>
        <v>2.7000000000000002E-5</v>
      </c>
    </row>
    <row r="326" spans="5:16" x14ac:dyDescent="0.25">
      <c r="G326" s="77" t="s">
        <v>836</v>
      </c>
      <c r="N326" s="77" t="s">
        <v>836</v>
      </c>
    </row>
    <row r="327" spans="5:16" x14ac:dyDescent="0.25">
      <c r="G327" s="771">
        <f>0.5*(G325/I325*F325)^2*H325*I325</f>
        <v>8.7111111111111104E-3</v>
      </c>
      <c r="N327" s="771">
        <f>0.5*(N325/P325*M325)^2*O325*P325</f>
        <v>8.7111111111111104E-3</v>
      </c>
    </row>
    <row r="328" spans="5:16" x14ac:dyDescent="0.25">
      <c r="E328" s="77" t="s">
        <v>843</v>
      </c>
      <c r="K328" s="77"/>
      <c r="L328" s="77" t="s">
        <v>847</v>
      </c>
    </row>
    <row r="329" spans="5:16" x14ac:dyDescent="0.25">
      <c r="G329" t="str">
        <f>IF(G322+N322&lt;G327, "Yes", IF(G322&lt;G327, "Yes", "No"))</f>
        <v>No</v>
      </c>
      <c r="H329">
        <f>(Vout*1.05)^2/(G327-G322)</f>
        <v>-3742.1429768689241</v>
      </c>
      <c r="N329" t="str">
        <f>IF(G322+N322&lt;N327, "Yes", IF(N322&lt;N327, "Yes", "No"))</f>
        <v>No</v>
      </c>
      <c r="O329">
        <f>(Vout2*1.05)^2/(N327-N322)</f>
        <v>-2255.113636363636</v>
      </c>
    </row>
    <row r="332" spans="5:16" x14ac:dyDescent="0.25">
      <c r="E332" s="77"/>
    </row>
    <row r="333" spans="5:16" x14ac:dyDescent="0.25">
      <c r="F333" s="77"/>
      <c r="G333" s="77"/>
    </row>
    <row r="334" spans="5:16" x14ac:dyDescent="0.25">
      <c r="G334" s="771"/>
    </row>
    <row r="336" spans="5:16" x14ac:dyDescent="0.25">
      <c r="I336" s="77"/>
    </row>
    <row r="337" spans="5:7" x14ac:dyDescent="0.25">
      <c r="F337" s="770"/>
    </row>
    <row r="338" spans="5:7" x14ac:dyDescent="0.25">
      <c r="G338" s="77"/>
    </row>
    <row r="339" spans="5:7" x14ac:dyDescent="0.25">
      <c r="G339" s="771"/>
    </row>
    <row r="340" spans="5:7" x14ac:dyDescent="0.25">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C3:S106"/>
  <sheetViews>
    <sheetView workbookViewId="0">
      <selection activeCell="V6" sqref="V6"/>
    </sheetView>
  </sheetViews>
  <sheetFormatPr baseColWidth="10" defaultColWidth="8.88671875" defaultRowHeight="13.2" x14ac:dyDescent="0.25"/>
  <cols>
    <col min="3" max="3" width="7.77734375" customWidth="1"/>
    <col min="5" max="5" width="10.21875" customWidth="1"/>
    <col min="7" max="7" width="10.77734375" customWidth="1"/>
    <col min="8" max="8" width="9.77734375" customWidth="1"/>
    <col min="9" max="9" width="9.5546875" customWidth="1"/>
    <col min="10" max="10" width="8.77734375" customWidth="1"/>
    <col min="11" max="11" width="9.77734375" customWidth="1"/>
    <col min="12" max="12" width="10.77734375" customWidth="1"/>
    <col min="13" max="13" width="15" customWidth="1"/>
    <col min="14" max="14" width="11.44140625" customWidth="1"/>
    <col min="15" max="16" width="11" customWidth="1"/>
    <col min="17" max="18" width="11.21875" customWidth="1"/>
    <col min="19" max="19" width="5.21875" customWidth="1"/>
  </cols>
  <sheetData>
    <row r="3" spans="3:19" ht="13.8" thickBot="1" x14ac:dyDescent="0.3"/>
    <row r="4" spans="3:19" x14ac:dyDescent="0.25">
      <c r="C4" s="224" t="s">
        <v>428</v>
      </c>
      <c r="D4" s="225"/>
      <c r="E4" s="226"/>
      <c r="F4" s="850" t="s">
        <v>189</v>
      </c>
      <c r="G4" s="851"/>
      <c r="H4" s="850"/>
      <c r="I4" s="850"/>
      <c r="J4" s="850"/>
      <c r="K4" s="851"/>
      <c r="L4" s="851"/>
      <c r="M4" s="851"/>
      <c r="N4" s="850"/>
      <c r="O4" s="853"/>
      <c r="P4" s="543"/>
      <c r="Q4" s="543"/>
      <c r="R4" s="543"/>
      <c r="S4" s="543"/>
    </row>
    <row r="5" spans="3:19" ht="45" customHeight="1" thickBot="1" x14ac:dyDescent="0.3">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5">
      <c r="C6" s="174">
        <v>0.1</v>
      </c>
      <c r="D6" s="539">
        <f>VIN_min</f>
        <v>20</v>
      </c>
      <c r="E6" s="451">
        <f t="shared" ref="E6:E37" si="0">(Vout+Vfwd1)*Nps</f>
        <v>695386.58000000007</v>
      </c>
      <c r="F6" s="221">
        <f t="shared" ref="F6:F37" si="1">(Vout+Vfwd1)*Nps/((Vout+Vfwd1)*Nps+D6)</f>
        <v>0.9999712398464794</v>
      </c>
      <c r="G6" s="176">
        <f t="shared" ref="G6:G37" si="2">F6*D6*Isw_max*0.5*Efficiency</f>
        <v>6.7498058689637359</v>
      </c>
      <c r="H6" s="221">
        <f t="shared" ref="H6:H37" si="3">G6/Vout</f>
        <v>0.4499870579309157</v>
      </c>
      <c r="I6" s="451">
        <f t="shared" ref="I6:I37" si="4">(Vout+Vfwd1)*Nps+D6</f>
        <v>695406.58000000007</v>
      </c>
      <c r="J6" s="176">
        <f t="shared" ref="J6:J37" si="5">MIN(2*Vout*Iout/(Efficiency*D6*F6), 1.35)</f>
        <v>0.16667146016344847</v>
      </c>
      <c r="K6" s="176">
        <f t="shared" ref="K6:K37" si="6">L*J6/D6*1000000</f>
        <v>0.25000719024517271</v>
      </c>
      <c r="L6" s="176">
        <f t="shared" ref="L6:L37" si="7">L*J6/((Vout+Vfwd1)*Nps)*1000000</f>
        <v>7.190451971194862E-6</v>
      </c>
      <c r="M6" s="451">
        <f>MIN(1/(K6+L6)*1000, 350)</f>
        <v>350</v>
      </c>
      <c r="N6" s="201">
        <f t="shared" ref="N6:N37" si="8">IF(1/((350000*L)*(1/D6+1/E6))&gt;Isw_min, 350, 0.001/((Isw_min*L)*(1/D6+1/E6)))</f>
        <v>350</v>
      </c>
      <c r="O6" s="221">
        <f t="shared" ref="O6:O37" si="9">1/((N6*1000*L)*(1/D6+1/E6))</f>
        <v>1.9047071235171036</v>
      </c>
      <c r="P6" s="177">
        <f t="shared" ref="P6:P37" si="10">L*O6/E6*1000000</f>
        <v>8.2171867201568798E-5</v>
      </c>
      <c r="Q6" s="177">
        <f t="shared" ref="Q6:Q37" si="11">0.5*P6*O6*Nps*N6/1000</f>
        <v>1.2514141549591451</v>
      </c>
      <c r="R6" s="177">
        <f t="shared" ref="R6:R37" si="12">L*Isw_min/E6*1000000</f>
        <v>6.4712206554230591E-6</v>
      </c>
    </row>
    <row r="7" spans="3:19" x14ac:dyDescent="0.25">
      <c r="C7" s="174">
        <v>1</v>
      </c>
      <c r="D7" s="5">
        <f t="shared" ref="D7:D38" si="13">C7/100*(VIN_max-VIN_min)+VIN_min</f>
        <v>20.079999999999998</v>
      </c>
      <c r="E7" s="451">
        <f t="shared" si="0"/>
        <v>695386.58000000007</v>
      </c>
      <c r="F7" s="221">
        <f t="shared" si="1"/>
        <v>0.99997112480918726</v>
      </c>
      <c r="G7" s="176">
        <f t="shared" si="2"/>
        <v>6.7768043128318611</v>
      </c>
      <c r="H7" s="221">
        <f t="shared" si="3"/>
        <v>0.45178695418879072</v>
      </c>
      <c r="I7" s="451">
        <f t="shared" si="4"/>
        <v>695406.66</v>
      </c>
      <c r="J7" s="176">
        <f t="shared" si="5"/>
        <v>0.16600744953927846</v>
      </c>
      <c r="K7" s="176">
        <f t="shared" si="6"/>
        <v>0.24801909791724872</v>
      </c>
      <c r="L7" s="176">
        <f t="shared" si="7"/>
        <v>7.1618055760845336E-6</v>
      </c>
      <c r="M7" s="451">
        <f t="shared" ref="M7:M70" si="14">MIN(1/(K7+L7)*1000, 350)</f>
        <v>350</v>
      </c>
      <c r="N7" s="201">
        <f t="shared" si="8"/>
        <v>350</v>
      </c>
      <c r="O7" s="221">
        <f t="shared" si="9"/>
        <v>1.9123257320160452</v>
      </c>
      <c r="P7" s="177">
        <f t="shared" si="10"/>
        <v>8.2500545179461687E-5</v>
      </c>
      <c r="Q7" s="177">
        <f t="shared" si="11"/>
        <v>1.2614452005904198</v>
      </c>
      <c r="R7" s="177">
        <f t="shared" si="12"/>
        <v>6.4712206554230591E-6</v>
      </c>
    </row>
    <row r="8" spans="3:19" x14ac:dyDescent="0.25">
      <c r="C8" s="174">
        <v>2</v>
      </c>
      <c r="D8" s="5">
        <f t="shared" si="13"/>
        <v>20.16</v>
      </c>
      <c r="E8" s="451">
        <f t="shared" si="0"/>
        <v>695386.58000000007</v>
      </c>
      <c r="F8" s="221">
        <f t="shared" si="1"/>
        <v>0.99997100977192133</v>
      </c>
      <c r="G8" s="176">
        <f t="shared" si="2"/>
        <v>6.8038027504881535</v>
      </c>
      <c r="H8" s="221">
        <f t="shared" si="3"/>
        <v>0.45358685003254356</v>
      </c>
      <c r="I8" s="451">
        <f t="shared" si="4"/>
        <v>695406.74000000011</v>
      </c>
      <c r="J8" s="176">
        <f t="shared" si="5"/>
        <v>0.16534870884069711</v>
      </c>
      <c r="K8" s="176">
        <f t="shared" si="6"/>
        <v>0.24605462625103738</v>
      </c>
      <c r="L8" s="176">
        <f t="shared" si="7"/>
        <v>7.1333865333163511E-6</v>
      </c>
      <c r="M8" s="451">
        <f t="shared" si="14"/>
        <v>350</v>
      </c>
      <c r="N8" s="201">
        <f t="shared" si="8"/>
        <v>350</v>
      </c>
      <c r="O8" s="221">
        <f t="shared" si="9"/>
        <v>1.9199443387620894</v>
      </c>
      <c r="P8" s="177">
        <f t="shared" si="10"/>
        <v>8.2829223081731991E-5</v>
      </c>
      <c r="Q8" s="177">
        <f t="shared" si="11"/>
        <v>1.2715162868402845</v>
      </c>
      <c r="R8" s="177">
        <f t="shared" si="12"/>
        <v>6.4712206554230591E-6</v>
      </c>
    </row>
    <row r="9" spans="3:19" x14ac:dyDescent="0.25">
      <c r="C9" s="174">
        <v>3</v>
      </c>
      <c r="D9" s="5">
        <f t="shared" si="13"/>
        <v>20.239999999999998</v>
      </c>
      <c r="E9" s="451">
        <f t="shared" si="0"/>
        <v>695386.58000000007</v>
      </c>
      <c r="F9" s="221">
        <f t="shared" si="1"/>
        <v>0.99997089473468204</v>
      </c>
      <c r="G9" s="176">
        <f t="shared" si="2"/>
        <v>6.8308011819326131</v>
      </c>
      <c r="H9" s="221">
        <f t="shared" si="3"/>
        <v>0.45538674546217423</v>
      </c>
      <c r="I9" s="451">
        <f t="shared" si="4"/>
        <v>695406.82000000007</v>
      </c>
      <c r="J9" s="176">
        <f t="shared" si="5"/>
        <v>0.16469517557846824</v>
      </c>
      <c r="K9" s="176">
        <f t="shared" si="6"/>
        <v>0.2441134025372553</v>
      </c>
      <c r="L9" s="176">
        <f t="shared" si="7"/>
        <v>7.10519214701274E-6</v>
      </c>
      <c r="M9" s="451">
        <f t="shared" si="14"/>
        <v>350</v>
      </c>
      <c r="N9" s="201">
        <f t="shared" si="8"/>
        <v>350</v>
      </c>
      <c r="O9" s="221">
        <f t="shared" si="9"/>
        <v>1.9275629437552342</v>
      </c>
      <c r="P9" s="177">
        <f t="shared" si="10"/>
        <v>8.3157900908379653E-5</v>
      </c>
      <c r="Q9" s="177">
        <f t="shared" si="11"/>
        <v>1.2816274136810974</v>
      </c>
      <c r="R9" s="177">
        <f t="shared" si="12"/>
        <v>6.4712206554230591E-6</v>
      </c>
    </row>
    <row r="10" spans="3:19" x14ac:dyDescent="0.25">
      <c r="C10" s="174">
        <v>4</v>
      </c>
      <c r="D10" s="5">
        <f t="shared" si="13"/>
        <v>20.32</v>
      </c>
      <c r="E10" s="451">
        <f t="shared" si="0"/>
        <v>695386.58000000007</v>
      </c>
      <c r="F10" s="221">
        <f t="shared" si="1"/>
        <v>0.99997077969746928</v>
      </c>
      <c r="G10" s="176">
        <f t="shared" si="2"/>
        <v>6.8577996071652443</v>
      </c>
      <c r="H10" s="221">
        <f t="shared" si="3"/>
        <v>0.45718664047768293</v>
      </c>
      <c r="I10" s="451">
        <f t="shared" si="4"/>
        <v>695406.9</v>
      </c>
      <c r="J10" s="176">
        <f t="shared" si="5"/>
        <v>0.16404678824743793</v>
      </c>
      <c r="K10" s="176">
        <f t="shared" si="6"/>
        <v>0.24219506138893393</v>
      </c>
      <c r="L10" s="176">
        <f t="shared" si="7"/>
        <v>7.0772197637508875E-6</v>
      </c>
      <c r="M10" s="451">
        <f t="shared" si="14"/>
        <v>350</v>
      </c>
      <c r="N10" s="201">
        <f t="shared" si="8"/>
        <v>350</v>
      </c>
      <c r="O10" s="221">
        <f t="shared" si="9"/>
        <v>1.9351815469954834</v>
      </c>
      <c r="P10" s="177">
        <f t="shared" si="10"/>
        <v>8.348657865940481E-5</v>
      </c>
      <c r="Q10" s="177">
        <f t="shared" si="11"/>
        <v>1.2917785810852245</v>
      </c>
      <c r="R10" s="177">
        <f t="shared" si="12"/>
        <v>6.4712206554230591E-6</v>
      </c>
    </row>
    <row r="11" spans="3:19" x14ac:dyDescent="0.25">
      <c r="C11" s="174">
        <v>5</v>
      </c>
      <c r="D11" s="5">
        <f t="shared" si="13"/>
        <v>20.399999999999999</v>
      </c>
      <c r="E11" s="451">
        <f t="shared" si="0"/>
        <v>695386.58000000007</v>
      </c>
      <c r="F11" s="221">
        <f t="shared" si="1"/>
        <v>0.99997066466028284</v>
      </c>
      <c r="G11" s="176">
        <f t="shared" si="2"/>
        <v>6.8847980261860471</v>
      </c>
      <c r="H11" s="221">
        <f t="shared" si="3"/>
        <v>0.45898653507906978</v>
      </c>
      <c r="I11" s="451">
        <f t="shared" si="4"/>
        <v>695406.9800000001</v>
      </c>
      <c r="J11" s="176">
        <f t="shared" si="5"/>
        <v>0.1634034863072393</v>
      </c>
      <c r="K11" s="176">
        <f t="shared" si="6"/>
        <v>0.24029924456946958</v>
      </c>
      <c r="L11" s="176">
        <f t="shared" si="7"/>
        <v>7.0494667717303057E-6</v>
      </c>
      <c r="M11" s="451">
        <f t="shared" si="14"/>
        <v>350</v>
      </c>
      <c r="N11" s="201">
        <f t="shared" si="8"/>
        <v>350</v>
      </c>
      <c r="O11" s="221">
        <f t="shared" si="9"/>
        <v>1.942800148482835</v>
      </c>
      <c r="P11" s="177">
        <f t="shared" si="10"/>
        <v>8.3815256334807394E-5</v>
      </c>
      <c r="Q11" s="177">
        <f t="shared" si="11"/>
        <v>1.3019697890250237</v>
      </c>
      <c r="R11" s="177">
        <f t="shared" si="12"/>
        <v>6.4712206554230591E-6</v>
      </c>
    </row>
    <row r="12" spans="3:19" x14ac:dyDescent="0.25">
      <c r="C12" s="174">
        <v>6</v>
      </c>
      <c r="D12" s="5">
        <f t="shared" si="13"/>
        <v>20.48</v>
      </c>
      <c r="E12" s="451">
        <f t="shared" si="0"/>
        <v>695386.58000000007</v>
      </c>
      <c r="F12" s="221">
        <f t="shared" si="1"/>
        <v>0.99997054962312293</v>
      </c>
      <c r="G12" s="176">
        <f t="shared" si="2"/>
        <v>6.9117964389950259</v>
      </c>
      <c r="H12" s="221">
        <f t="shared" si="3"/>
        <v>0.46078642926633506</v>
      </c>
      <c r="I12" s="451">
        <f t="shared" si="4"/>
        <v>695407.06</v>
      </c>
      <c r="J12" s="176">
        <f t="shared" si="5"/>
        <v>0.16276521016344844</v>
      </c>
      <c r="K12" s="176">
        <f t="shared" si="6"/>
        <v>0.2384256008253639</v>
      </c>
      <c r="L12" s="176">
        <f t="shared" si="7"/>
        <v>7.021930599959885E-6</v>
      </c>
      <c r="M12" s="451">
        <f t="shared" si="14"/>
        <v>350</v>
      </c>
      <c r="N12" s="201">
        <f t="shared" si="8"/>
        <v>350</v>
      </c>
      <c r="O12" s="221">
        <f t="shared" si="9"/>
        <v>1.950418748217291</v>
      </c>
      <c r="P12" s="177">
        <f t="shared" si="10"/>
        <v>8.4143933934587473E-5</v>
      </c>
      <c r="Q12" s="177">
        <f t="shared" si="11"/>
        <v>1.3122010374728577</v>
      </c>
      <c r="R12" s="177">
        <f t="shared" si="12"/>
        <v>6.4712206554230591E-6</v>
      </c>
    </row>
    <row r="13" spans="3:19" x14ac:dyDescent="0.25">
      <c r="C13" s="174">
        <v>7</v>
      </c>
      <c r="D13" s="5">
        <f t="shared" si="13"/>
        <v>20.56</v>
      </c>
      <c r="E13" s="451">
        <f t="shared" si="0"/>
        <v>695386.58000000007</v>
      </c>
      <c r="F13" s="221">
        <f t="shared" si="1"/>
        <v>0.99997043458598933</v>
      </c>
      <c r="G13" s="176">
        <f t="shared" si="2"/>
        <v>6.93879484559218</v>
      </c>
      <c r="H13" s="221">
        <f t="shared" si="3"/>
        <v>0.46258632303947866</v>
      </c>
      <c r="I13" s="451">
        <f t="shared" si="4"/>
        <v>695407.14000000013</v>
      </c>
      <c r="J13" s="176">
        <f t="shared" si="5"/>
        <v>0.16213190114918133</v>
      </c>
      <c r="K13" s="176">
        <f t="shared" si="6"/>
        <v>0.23657378572351362</v>
      </c>
      <c r="L13" s="176">
        <f t="shared" si="7"/>
        <v>6.9946087174639454E-6</v>
      </c>
      <c r="M13" s="451">
        <f t="shared" si="14"/>
        <v>350</v>
      </c>
      <c r="N13" s="201">
        <f t="shared" si="8"/>
        <v>350</v>
      </c>
      <c r="O13" s="221">
        <f t="shared" si="9"/>
        <v>1.9580373461988518</v>
      </c>
      <c r="P13" s="177">
        <f t="shared" si="10"/>
        <v>8.4472611458745087E-5</v>
      </c>
      <c r="Q13" s="177">
        <f t="shared" si="11"/>
        <v>1.3224723264010891</v>
      </c>
      <c r="R13" s="177">
        <f t="shared" si="12"/>
        <v>6.4712206554230591E-6</v>
      </c>
    </row>
    <row r="14" spans="3:19" s="77" customFormat="1" x14ac:dyDescent="0.25">
      <c r="C14" s="193">
        <v>8</v>
      </c>
      <c r="D14" s="544">
        <f t="shared" si="13"/>
        <v>20.64</v>
      </c>
      <c r="E14" s="545">
        <f t="shared" si="0"/>
        <v>695386.58000000007</v>
      </c>
      <c r="F14" s="333">
        <f t="shared" si="1"/>
        <v>0.99997031954888238</v>
      </c>
      <c r="G14" s="546">
        <f t="shared" si="2"/>
        <v>6.9657932459775145</v>
      </c>
      <c r="H14" s="333">
        <f t="shared" si="3"/>
        <v>0.46438621639850097</v>
      </c>
      <c r="I14" s="545">
        <f t="shared" si="4"/>
        <v>695407.22000000009</v>
      </c>
      <c r="J14" s="176">
        <f t="shared" si="5"/>
        <v>0.16150350150711773</v>
      </c>
      <c r="K14" s="546">
        <f t="shared" si="6"/>
        <v>0.23474346149290368</v>
      </c>
      <c r="L14" s="546">
        <f t="shared" si="7"/>
        <v>6.9674986325067297E-6</v>
      </c>
      <c r="M14" s="545">
        <f t="shared" si="14"/>
        <v>350</v>
      </c>
      <c r="N14" s="547">
        <f t="shared" si="8"/>
        <v>350</v>
      </c>
      <c r="O14" s="333">
        <f t="shared" si="9"/>
        <v>1.9656559424275177</v>
      </c>
      <c r="P14" s="177">
        <f t="shared" si="10"/>
        <v>8.4801288907280223E-5</v>
      </c>
      <c r="Q14" s="548">
        <f t="shared" si="11"/>
        <v>1.3327836557820774</v>
      </c>
      <c r="R14" s="177">
        <f t="shared" si="12"/>
        <v>6.4712206554230591E-6</v>
      </c>
    </row>
    <row r="15" spans="3:19" x14ac:dyDescent="0.25">
      <c r="C15" s="174">
        <v>9</v>
      </c>
      <c r="D15" s="5">
        <f t="shared" si="13"/>
        <v>20.72</v>
      </c>
      <c r="E15" s="451">
        <f t="shared" si="0"/>
        <v>695386.58000000007</v>
      </c>
      <c r="F15" s="221">
        <f t="shared" si="1"/>
        <v>0.99997020451180196</v>
      </c>
      <c r="G15" s="176">
        <f t="shared" si="2"/>
        <v>6.9927916401510313</v>
      </c>
      <c r="H15" s="221">
        <f t="shared" si="3"/>
        <v>0.4661861093434021</v>
      </c>
      <c r="I15" s="451">
        <f t="shared" si="4"/>
        <v>695407.3</v>
      </c>
      <c r="J15" s="176">
        <f t="shared" si="5"/>
        <v>0.16087995437194266</v>
      </c>
      <c r="K15" s="176">
        <f t="shared" si="6"/>
        <v>0.23293429687057338</v>
      </c>
      <c r="L15" s="176">
        <f t="shared" si="7"/>
        <v>6.9405978918348977E-6</v>
      </c>
      <c r="M15" s="451">
        <f t="shared" si="14"/>
        <v>350</v>
      </c>
      <c r="N15" s="201">
        <f t="shared" si="8"/>
        <v>350</v>
      </c>
      <c r="O15" s="221">
        <f t="shared" si="9"/>
        <v>1.9732745369032889</v>
      </c>
      <c r="P15" s="177">
        <f t="shared" si="10"/>
        <v>8.5129966280192895E-5</v>
      </c>
      <c r="Q15" s="177">
        <f t="shared" si="11"/>
        <v>1.3431350255881844</v>
      </c>
      <c r="R15" s="177">
        <f t="shared" si="12"/>
        <v>6.4712206554230591E-6</v>
      </c>
    </row>
    <row r="16" spans="3:19" x14ac:dyDescent="0.25">
      <c r="C16" s="174">
        <v>10</v>
      </c>
      <c r="D16" s="5">
        <f t="shared" si="13"/>
        <v>20.8</v>
      </c>
      <c r="E16" s="451">
        <f t="shared" si="0"/>
        <v>695386.58000000007</v>
      </c>
      <c r="F16" s="221">
        <f t="shared" si="1"/>
        <v>0.99997008947474786</v>
      </c>
      <c r="G16" s="176">
        <f t="shared" si="2"/>
        <v>7.0197900281127303</v>
      </c>
      <c r="H16" s="221">
        <f t="shared" si="3"/>
        <v>0.46798600187418204</v>
      </c>
      <c r="I16" s="451">
        <f t="shared" si="4"/>
        <v>695407.38000000012</v>
      </c>
      <c r="J16" s="176">
        <f t="shared" si="5"/>
        <v>0.16026120375319206</v>
      </c>
      <c r="K16" s="176">
        <f t="shared" si="6"/>
        <v>0.23114596695171932</v>
      </c>
      <c r="L16" s="176">
        <f t="shared" si="7"/>
        <v>6.9139040799374665E-6</v>
      </c>
      <c r="M16" s="451">
        <f t="shared" si="14"/>
        <v>350</v>
      </c>
      <c r="N16" s="201">
        <f t="shared" si="8"/>
        <v>350</v>
      </c>
      <c r="O16" s="221">
        <f t="shared" si="9"/>
        <v>1.9808931296261671</v>
      </c>
      <c r="P16" s="177">
        <f t="shared" si="10"/>
        <v>8.5458643577483197E-5</v>
      </c>
      <c r="Q16" s="177">
        <f t="shared" si="11"/>
        <v>1.3535264357917733</v>
      </c>
      <c r="R16" s="177">
        <f t="shared" si="12"/>
        <v>6.4712206554230591E-6</v>
      </c>
    </row>
    <row r="17" spans="3:18" x14ac:dyDescent="0.25">
      <c r="C17" s="174">
        <v>11</v>
      </c>
      <c r="D17" s="5">
        <f t="shared" si="13"/>
        <v>20.88</v>
      </c>
      <c r="E17" s="451">
        <f t="shared" si="0"/>
        <v>695386.58000000007</v>
      </c>
      <c r="F17" s="221">
        <f t="shared" si="1"/>
        <v>0.99996997443772029</v>
      </c>
      <c r="G17" s="176">
        <f t="shared" si="2"/>
        <v>7.0467884098626143</v>
      </c>
      <c r="H17" s="221">
        <f t="shared" si="3"/>
        <v>0.46978589399084097</v>
      </c>
      <c r="I17" s="451">
        <f t="shared" si="4"/>
        <v>695407.46000000008</v>
      </c>
      <c r="J17" s="176">
        <f t="shared" si="5"/>
        <v>0.15964719451849316</v>
      </c>
      <c r="K17" s="176">
        <f t="shared" si="6"/>
        <v>0.22937815304381204</v>
      </c>
      <c r="L17" s="176">
        <f t="shared" si="7"/>
        <v>6.8874148183227734E-6</v>
      </c>
      <c r="M17" s="451">
        <f t="shared" si="14"/>
        <v>350</v>
      </c>
      <c r="N17" s="201">
        <f t="shared" si="8"/>
        <v>350</v>
      </c>
      <c r="O17" s="221">
        <f t="shared" si="9"/>
        <v>1.9885117205961522</v>
      </c>
      <c r="P17" s="177">
        <f t="shared" si="10"/>
        <v>8.5787320799151116E-5</v>
      </c>
      <c r="Q17" s="177">
        <f t="shared" si="11"/>
        <v>1.3639578863652049</v>
      </c>
      <c r="R17" s="177">
        <f t="shared" si="12"/>
        <v>6.4712206554230591E-6</v>
      </c>
    </row>
    <row r="18" spans="3:18" x14ac:dyDescent="0.25">
      <c r="C18" s="174">
        <v>12</v>
      </c>
      <c r="D18" s="5">
        <f t="shared" si="13"/>
        <v>20.96</v>
      </c>
      <c r="E18" s="451">
        <f t="shared" si="0"/>
        <v>695386.58000000007</v>
      </c>
      <c r="F18" s="221">
        <f t="shared" si="1"/>
        <v>0.99996985940071925</v>
      </c>
      <c r="G18" s="176">
        <f t="shared" si="2"/>
        <v>7.0737867854006895</v>
      </c>
      <c r="H18" s="221">
        <f t="shared" si="3"/>
        <v>0.47158578569337928</v>
      </c>
      <c r="I18" s="451">
        <f t="shared" si="4"/>
        <v>695407.54</v>
      </c>
      <c r="J18" s="176">
        <f t="shared" si="5"/>
        <v>0.15903787237718892</v>
      </c>
      <c r="K18" s="176">
        <f t="shared" si="6"/>
        <v>0.22763054252460246</v>
      </c>
      <c r="L18" s="176">
        <f t="shared" si="7"/>
        <v>6.8611277648120096E-6</v>
      </c>
      <c r="M18" s="451">
        <f t="shared" si="14"/>
        <v>350</v>
      </c>
      <c r="N18" s="201">
        <f t="shared" si="8"/>
        <v>350</v>
      </c>
      <c r="O18" s="221">
        <f t="shared" si="9"/>
        <v>1.9961303098132452</v>
      </c>
      <c r="P18" s="177">
        <f t="shared" si="10"/>
        <v>8.6115997945196692E-5</v>
      </c>
      <c r="Q18" s="177">
        <f t="shared" si="11"/>
        <v>1.3744293772808405</v>
      </c>
      <c r="R18" s="177">
        <f t="shared" si="12"/>
        <v>6.4712206554230591E-6</v>
      </c>
    </row>
    <row r="19" spans="3:18" x14ac:dyDescent="0.25">
      <c r="C19" s="174">
        <v>13</v>
      </c>
      <c r="D19" s="5">
        <f t="shared" si="13"/>
        <v>21.04</v>
      </c>
      <c r="E19" s="451">
        <f t="shared" si="0"/>
        <v>695386.58000000007</v>
      </c>
      <c r="F19" s="221">
        <f t="shared" si="1"/>
        <v>0.99996974436374453</v>
      </c>
      <c r="G19" s="176">
        <f t="shared" si="2"/>
        <v>7.1007851547269505</v>
      </c>
      <c r="H19" s="221">
        <f t="shared" si="3"/>
        <v>0.47338567698179668</v>
      </c>
      <c r="I19" s="451">
        <f t="shared" si="4"/>
        <v>695407.62000000011</v>
      </c>
      <c r="J19" s="176">
        <f t="shared" si="5"/>
        <v>0.15843318386433564</v>
      </c>
      <c r="K19" s="176">
        <f t="shared" si="6"/>
        <v>0.22590282870390066</v>
      </c>
      <c r="L19" s="176">
        <f t="shared" si="7"/>
        <v>6.8350406128488542E-6</v>
      </c>
      <c r="M19" s="451">
        <f t="shared" si="14"/>
        <v>350</v>
      </c>
      <c r="N19" s="201">
        <f t="shared" si="8"/>
        <v>350</v>
      </c>
      <c r="O19" s="221">
        <f t="shared" si="9"/>
        <v>2.003748897277446</v>
      </c>
      <c r="P19" s="177">
        <f t="shared" si="10"/>
        <v>8.6444675015619898E-5</v>
      </c>
      <c r="Q19" s="177">
        <f t="shared" si="11"/>
        <v>1.3849409085110411</v>
      </c>
      <c r="R19" s="177">
        <f t="shared" si="12"/>
        <v>6.4712206554230591E-6</v>
      </c>
    </row>
    <row r="20" spans="3:18" x14ac:dyDescent="0.25">
      <c r="C20" s="174">
        <v>14</v>
      </c>
      <c r="D20" s="5">
        <f t="shared" si="13"/>
        <v>21.12</v>
      </c>
      <c r="E20" s="451">
        <f t="shared" si="0"/>
        <v>695386.58000000007</v>
      </c>
      <c r="F20" s="221">
        <f t="shared" si="1"/>
        <v>0.99996962932679634</v>
      </c>
      <c r="G20" s="176">
        <f t="shared" si="2"/>
        <v>7.1277835178414053</v>
      </c>
      <c r="H20" s="221">
        <f t="shared" si="3"/>
        <v>0.47518556785609367</v>
      </c>
      <c r="I20" s="451">
        <f t="shared" si="4"/>
        <v>695407.70000000007</v>
      </c>
      <c r="J20" s="176">
        <f t="shared" si="5"/>
        <v>0.1578330763250646</v>
      </c>
      <c r="K20" s="176">
        <f t="shared" si="6"/>
        <v>0.2241947106890122</v>
      </c>
      <c r="L20" s="176">
        <f t="shared" si="7"/>
        <v>6.8091510908248155E-6</v>
      </c>
      <c r="M20" s="451">
        <f t="shared" si="14"/>
        <v>350</v>
      </c>
      <c r="N20" s="201">
        <f t="shared" si="8"/>
        <v>350</v>
      </c>
      <c r="O20" s="221">
        <f t="shared" si="9"/>
        <v>2.011367482988756</v>
      </c>
      <c r="P20" s="177">
        <f t="shared" si="10"/>
        <v>8.6773352010420843E-5</v>
      </c>
      <c r="Q20" s="177">
        <f t="shared" si="11"/>
        <v>1.3954924800281698</v>
      </c>
      <c r="R20" s="177">
        <f t="shared" si="12"/>
        <v>6.4712206554230591E-6</v>
      </c>
    </row>
    <row r="21" spans="3:18" x14ac:dyDescent="0.25">
      <c r="C21" s="174">
        <v>15</v>
      </c>
      <c r="D21" s="5">
        <f t="shared" si="13"/>
        <v>21.2</v>
      </c>
      <c r="E21" s="451">
        <f t="shared" si="0"/>
        <v>695386.58000000007</v>
      </c>
      <c r="F21" s="221">
        <f t="shared" si="1"/>
        <v>0.99996951428987468</v>
      </c>
      <c r="G21" s="176">
        <f t="shared" si="2"/>
        <v>7.1547818747440521</v>
      </c>
      <c r="H21" s="221">
        <f t="shared" si="3"/>
        <v>0.47698545831627015</v>
      </c>
      <c r="I21" s="451">
        <f t="shared" si="4"/>
        <v>695407.78</v>
      </c>
      <c r="J21" s="176">
        <f t="shared" si="5"/>
        <v>0.15723749789929753</v>
      </c>
      <c r="K21" s="176">
        <f t="shared" si="6"/>
        <v>0.22250589325372291</v>
      </c>
      <c r="L21" s="176">
        <f t="shared" si="7"/>
        <v>6.7834569614198272E-6</v>
      </c>
      <c r="M21" s="451">
        <f t="shared" si="14"/>
        <v>350</v>
      </c>
      <c r="N21" s="201">
        <f t="shared" si="8"/>
        <v>350</v>
      </c>
      <c r="O21" s="221">
        <f t="shared" si="9"/>
        <v>2.0189860669471753</v>
      </c>
      <c r="P21" s="177">
        <f t="shared" si="10"/>
        <v>8.7102028929599487E-5</v>
      </c>
      <c r="Q21" s="177">
        <f t="shared" si="11"/>
        <v>1.4060840918045874</v>
      </c>
      <c r="R21" s="177">
        <f t="shared" si="12"/>
        <v>6.4712206554230591E-6</v>
      </c>
    </row>
    <row r="22" spans="3:18" s="3" customFormat="1" x14ac:dyDescent="0.25">
      <c r="C22" s="337">
        <v>16</v>
      </c>
      <c r="D22" s="540">
        <f t="shared" si="13"/>
        <v>21.28</v>
      </c>
      <c r="E22" s="541">
        <f t="shared" si="0"/>
        <v>695386.58000000007</v>
      </c>
      <c r="F22" s="542">
        <f t="shared" si="1"/>
        <v>0.99996939925297934</v>
      </c>
      <c r="G22" s="336">
        <f t="shared" si="2"/>
        <v>7.1817802254348981</v>
      </c>
      <c r="H22" s="542">
        <f t="shared" si="3"/>
        <v>0.47878534836232656</v>
      </c>
      <c r="I22" s="541">
        <f t="shared" si="4"/>
        <v>695407.8600000001</v>
      </c>
      <c r="J22" s="176">
        <f t="shared" si="5"/>
        <v>0.15664639750680687</v>
      </c>
      <c r="K22" s="336">
        <f t="shared" si="6"/>
        <v>0.22083608671072394</v>
      </c>
      <c r="L22" s="336">
        <f t="shared" si="7"/>
        <v>6.7579560209577313E-6</v>
      </c>
      <c r="M22" s="541">
        <f t="shared" si="14"/>
        <v>350</v>
      </c>
      <c r="N22" s="339">
        <f t="shared" si="8"/>
        <v>350</v>
      </c>
      <c r="O22" s="542">
        <f t="shared" si="9"/>
        <v>2.0266046491527048</v>
      </c>
      <c r="P22" s="177">
        <f t="shared" si="10"/>
        <v>8.7430705773155896E-5</v>
      </c>
      <c r="Q22" s="549">
        <f t="shared" si="11"/>
        <v>1.4167157438126559</v>
      </c>
      <c r="R22" s="177">
        <f t="shared" si="12"/>
        <v>6.4712206554230591E-6</v>
      </c>
    </row>
    <row r="23" spans="3:18" x14ac:dyDescent="0.25">
      <c r="C23" s="174">
        <v>17</v>
      </c>
      <c r="D23" s="5">
        <f t="shared" si="13"/>
        <v>21.36</v>
      </c>
      <c r="E23" s="451">
        <f t="shared" si="0"/>
        <v>695386.58000000007</v>
      </c>
      <c r="F23" s="221">
        <f t="shared" si="1"/>
        <v>0.99996928421611064</v>
      </c>
      <c r="G23" s="176">
        <f t="shared" si="2"/>
        <v>7.2087785699139406</v>
      </c>
      <c r="H23" s="221">
        <f t="shared" si="3"/>
        <v>0.48058523799426273</v>
      </c>
      <c r="I23" s="451">
        <f t="shared" si="4"/>
        <v>695407.94000000006</v>
      </c>
      <c r="J23" s="176">
        <f t="shared" si="5"/>
        <v>0.15605972483261202</v>
      </c>
      <c r="K23" s="176">
        <f t="shared" si="6"/>
        <v>0.21918500678737646</v>
      </c>
      <c r="L23" s="176">
        <f t="shared" si="7"/>
        <v>6.7326460987762522E-6</v>
      </c>
      <c r="M23" s="451">
        <f t="shared" si="14"/>
        <v>350</v>
      </c>
      <c r="N23" s="201">
        <f t="shared" si="8"/>
        <v>350</v>
      </c>
      <c r="O23" s="221">
        <f t="shared" si="9"/>
        <v>2.0342232296053449</v>
      </c>
      <c r="P23" s="177">
        <f t="shared" si="10"/>
        <v>8.7759382541090084E-5</v>
      </c>
      <c r="Q23" s="177">
        <f t="shared" si="11"/>
        <v>1.4273874360247369</v>
      </c>
      <c r="R23" s="177">
        <f t="shared" si="12"/>
        <v>6.4712206554230591E-6</v>
      </c>
    </row>
    <row r="24" spans="3:18" x14ac:dyDescent="0.25">
      <c r="C24" s="174">
        <v>18</v>
      </c>
      <c r="D24" s="5">
        <f t="shared" si="13"/>
        <v>21.44</v>
      </c>
      <c r="E24" s="451">
        <f t="shared" si="0"/>
        <v>695386.58000000007</v>
      </c>
      <c r="F24" s="221">
        <f t="shared" si="1"/>
        <v>0.99996916917926837</v>
      </c>
      <c r="G24" s="176">
        <f t="shared" si="2"/>
        <v>7.2357769081811876</v>
      </c>
      <c r="H24" s="221">
        <f t="shared" si="3"/>
        <v>0.48238512721207916</v>
      </c>
      <c r="I24" s="451">
        <f t="shared" si="4"/>
        <v>695408.02</v>
      </c>
      <c r="J24" s="176">
        <f t="shared" si="5"/>
        <v>0.15547743031270217</v>
      </c>
      <c r="K24" s="176">
        <f t="shared" si="6"/>
        <v>0.21755237450471385</v>
      </c>
      <c r="L24" s="176">
        <f t="shared" si="7"/>
        <v>6.7075250566110504E-6</v>
      </c>
      <c r="M24" s="451">
        <f t="shared" si="14"/>
        <v>350</v>
      </c>
      <c r="N24" s="201">
        <f t="shared" si="8"/>
        <v>350</v>
      </c>
      <c r="O24" s="221">
        <f t="shared" si="9"/>
        <v>2.0418418083050969</v>
      </c>
      <c r="P24" s="177">
        <f t="shared" si="10"/>
        <v>8.8088059233402093E-5</v>
      </c>
      <c r="Q24" s="177">
        <f t="shared" si="11"/>
        <v>1.4380991684131927</v>
      </c>
      <c r="R24" s="177">
        <f t="shared" si="12"/>
        <v>6.4712206554230591E-6</v>
      </c>
    </row>
    <row r="25" spans="3:18" x14ac:dyDescent="0.25">
      <c r="C25" s="174">
        <v>19</v>
      </c>
      <c r="D25" s="5">
        <f t="shared" si="13"/>
        <v>21.52</v>
      </c>
      <c r="E25" s="451">
        <f t="shared" si="0"/>
        <v>695386.58000000007</v>
      </c>
      <c r="F25" s="221">
        <f t="shared" si="1"/>
        <v>0.99996905414245241</v>
      </c>
      <c r="G25" s="176">
        <f t="shared" si="2"/>
        <v>7.2627752402366328</v>
      </c>
      <c r="H25" s="221">
        <f t="shared" si="3"/>
        <v>0.48418501601577552</v>
      </c>
      <c r="I25" s="451">
        <f t="shared" si="4"/>
        <v>695408.10000000009</v>
      </c>
      <c r="J25" s="176">
        <f t="shared" si="5"/>
        <v>0.15489946512007796</v>
      </c>
      <c r="K25" s="176">
        <f t="shared" si="6"/>
        <v>0.21593791605958823</v>
      </c>
      <c r="L25" s="176">
        <f t="shared" si="7"/>
        <v>6.6825907879935475E-6</v>
      </c>
      <c r="M25" s="451">
        <f t="shared" si="14"/>
        <v>350</v>
      </c>
      <c r="N25" s="201">
        <f t="shared" si="8"/>
        <v>350</v>
      </c>
      <c r="O25" s="221">
        <f t="shared" si="9"/>
        <v>2.0494603852519595</v>
      </c>
      <c r="P25" s="177">
        <f t="shared" si="10"/>
        <v>8.841673585009188E-5</v>
      </c>
      <c r="Q25" s="177">
        <f t="shared" si="11"/>
        <v>1.4488509409503829</v>
      </c>
      <c r="R25" s="177">
        <f t="shared" si="12"/>
        <v>6.4712206554230591E-6</v>
      </c>
    </row>
    <row r="26" spans="3:18" x14ac:dyDescent="0.25">
      <c r="C26" s="174">
        <v>20</v>
      </c>
      <c r="D26" s="5">
        <f t="shared" si="13"/>
        <v>21.6</v>
      </c>
      <c r="E26" s="451">
        <f t="shared" si="0"/>
        <v>695386.58000000007</v>
      </c>
      <c r="F26" s="221">
        <f t="shared" si="1"/>
        <v>0.99996893910566309</v>
      </c>
      <c r="G26" s="176">
        <f t="shared" si="2"/>
        <v>7.2897735660802843</v>
      </c>
      <c r="H26" s="221">
        <f t="shared" si="3"/>
        <v>0.4859849044053523</v>
      </c>
      <c r="I26" s="451">
        <f t="shared" si="4"/>
        <v>695408.18</v>
      </c>
      <c r="J26" s="176">
        <f t="shared" si="5"/>
        <v>0.15432578115110276</v>
      </c>
      <c r="K26" s="176">
        <f t="shared" si="6"/>
        <v>0.21434136270986492</v>
      </c>
      <c r="L26" s="176">
        <f t="shared" si="7"/>
        <v>6.6578412176620985E-6</v>
      </c>
      <c r="M26" s="451">
        <f t="shared" si="14"/>
        <v>350</v>
      </c>
      <c r="N26" s="201">
        <f t="shared" si="8"/>
        <v>350</v>
      </c>
      <c r="O26" s="221">
        <f t="shared" si="9"/>
        <v>2.0570789604459354</v>
      </c>
      <c r="P26" s="177">
        <f t="shared" si="10"/>
        <v>8.8745412391159556E-5</v>
      </c>
      <c r="Q26" s="177">
        <f t="shared" si="11"/>
        <v>1.459642753608672</v>
      </c>
      <c r="R26" s="177">
        <f t="shared" si="12"/>
        <v>6.4712206554230591E-6</v>
      </c>
    </row>
    <row r="27" spans="3:18" x14ac:dyDescent="0.25">
      <c r="C27" s="174">
        <v>21</v>
      </c>
      <c r="D27" s="5">
        <f t="shared" si="13"/>
        <v>21.68</v>
      </c>
      <c r="E27" s="451">
        <f t="shared" si="0"/>
        <v>695386.58000000007</v>
      </c>
      <c r="F27" s="221">
        <f t="shared" si="1"/>
        <v>0.99996882406890009</v>
      </c>
      <c r="G27" s="176">
        <f t="shared" si="2"/>
        <v>7.3167718857121438</v>
      </c>
      <c r="H27" s="221">
        <f t="shared" si="3"/>
        <v>0.48778479238080957</v>
      </c>
      <c r="I27" s="451">
        <f t="shared" si="4"/>
        <v>695408.26000000013</v>
      </c>
      <c r="J27" s="176">
        <f t="shared" si="5"/>
        <v>0.15375633101215697</v>
      </c>
      <c r="K27" s="176">
        <f t="shared" si="6"/>
        <v>0.21276245066257884</v>
      </c>
      <c r="L27" s="176">
        <f t="shared" si="7"/>
        <v>6.6332743009862352E-6</v>
      </c>
      <c r="M27" s="451">
        <f t="shared" si="14"/>
        <v>350</v>
      </c>
      <c r="N27" s="201">
        <f t="shared" si="8"/>
        <v>350</v>
      </c>
      <c r="O27" s="221">
        <f t="shared" si="9"/>
        <v>2.0646975338870242</v>
      </c>
      <c r="P27" s="177">
        <f t="shared" si="10"/>
        <v>8.9074088856605079E-5</v>
      </c>
      <c r="Q27" s="177">
        <f t="shared" si="11"/>
        <v>1.4704746063604193</v>
      </c>
      <c r="R27" s="177">
        <f t="shared" si="12"/>
        <v>6.4712206554230591E-6</v>
      </c>
    </row>
    <row r="28" spans="3:18" x14ac:dyDescent="0.25">
      <c r="C28" s="174">
        <v>22</v>
      </c>
      <c r="D28" s="5">
        <f t="shared" si="13"/>
        <v>21.76</v>
      </c>
      <c r="E28" s="451">
        <f t="shared" si="0"/>
        <v>695386.58000000007</v>
      </c>
      <c r="F28" s="221">
        <f t="shared" si="1"/>
        <v>0.99996870903216373</v>
      </c>
      <c r="G28" s="176">
        <f t="shared" si="2"/>
        <v>7.3437701991322113</v>
      </c>
      <c r="H28" s="221">
        <f t="shared" si="3"/>
        <v>0.48958467994214744</v>
      </c>
      <c r="I28" s="451">
        <f t="shared" si="4"/>
        <v>695408.34000000008</v>
      </c>
      <c r="J28" s="176">
        <f t="shared" si="5"/>
        <v>0.15319106800658569</v>
      </c>
      <c r="K28" s="176">
        <f t="shared" si="6"/>
        <v>0.21120092096496187</v>
      </c>
      <c r="L28" s="176">
        <f t="shared" si="7"/>
        <v>6.608888023403572E-6</v>
      </c>
      <c r="M28" s="451">
        <f t="shared" si="14"/>
        <v>350</v>
      </c>
      <c r="N28" s="201">
        <f t="shared" si="8"/>
        <v>350</v>
      </c>
      <c r="O28" s="221">
        <f t="shared" si="9"/>
        <v>2.0723161055752271</v>
      </c>
      <c r="P28" s="177">
        <f t="shared" si="10"/>
        <v>8.9402765246428544E-5</v>
      </c>
      <c r="Q28" s="177">
        <f t="shared" si="11"/>
        <v>1.481346499177989</v>
      </c>
      <c r="R28" s="177">
        <f t="shared" si="12"/>
        <v>6.4712206554230591E-6</v>
      </c>
    </row>
    <row r="29" spans="3:18" x14ac:dyDescent="0.25">
      <c r="C29" s="174">
        <v>23</v>
      </c>
      <c r="D29" s="5">
        <f t="shared" si="13"/>
        <v>21.84</v>
      </c>
      <c r="E29" s="451">
        <f t="shared" si="0"/>
        <v>695386.58000000007</v>
      </c>
      <c r="F29" s="221">
        <f t="shared" si="1"/>
        <v>0.99996859399545379</v>
      </c>
      <c r="G29" s="176">
        <f t="shared" si="2"/>
        <v>7.3707685063404895</v>
      </c>
      <c r="H29" s="221">
        <f t="shared" si="3"/>
        <v>0.49138456708936595</v>
      </c>
      <c r="I29" s="451">
        <f t="shared" si="4"/>
        <v>695408.42</v>
      </c>
      <c r="J29" s="176">
        <f t="shared" si="5"/>
        <v>0.15262994612193442</v>
      </c>
      <c r="K29" s="176">
        <f t="shared" si="6"/>
        <v>0.20965651939826158</v>
      </c>
      <c r="L29" s="176">
        <f t="shared" si="7"/>
        <v>6.5846803998691375E-6</v>
      </c>
      <c r="M29" s="451">
        <f t="shared" si="14"/>
        <v>350</v>
      </c>
      <c r="N29" s="201">
        <f t="shared" si="8"/>
        <v>350</v>
      </c>
      <c r="O29" s="221">
        <f t="shared" si="9"/>
        <v>2.0799346755105441</v>
      </c>
      <c r="P29" s="177">
        <f t="shared" si="10"/>
        <v>8.9731441560629951E-5</v>
      </c>
      <c r="Q29" s="177">
        <f t="shared" si="11"/>
        <v>1.492258432033742</v>
      </c>
      <c r="R29" s="177">
        <f t="shared" si="12"/>
        <v>6.4712206554230591E-6</v>
      </c>
    </row>
    <row r="30" spans="3:18" x14ac:dyDescent="0.25">
      <c r="C30" s="174">
        <v>24</v>
      </c>
      <c r="D30" s="5">
        <f t="shared" si="13"/>
        <v>21.92</v>
      </c>
      <c r="E30" s="451">
        <f t="shared" si="0"/>
        <v>695386.58000000007</v>
      </c>
      <c r="F30" s="221">
        <f t="shared" si="1"/>
        <v>0.99996847895877017</v>
      </c>
      <c r="G30" s="176">
        <f t="shared" si="2"/>
        <v>7.3977668073369829</v>
      </c>
      <c r="H30" s="221">
        <f t="shared" si="3"/>
        <v>0.49318445382246551</v>
      </c>
      <c r="I30" s="451">
        <f t="shared" si="4"/>
        <v>695408.50000000012</v>
      </c>
      <c r="J30" s="176">
        <f t="shared" si="5"/>
        <v>0.15207292001746306</v>
      </c>
      <c r="K30" s="176">
        <f t="shared" si="6"/>
        <v>0.20812899637426513</v>
      </c>
      <c r="L30" s="176">
        <f t="shared" si="7"/>
        <v>6.5606494743167048E-6</v>
      </c>
      <c r="M30" s="451">
        <f t="shared" si="14"/>
        <v>350</v>
      </c>
      <c r="N30" s="201">
        <f t="shared" si="8"/>
        <v>350</v>
      </c>
      <c r="O30" s="221">
        <f t="shared" si="9"/>
        <v>2.0875532436929753</v>
      </c>
      <c r="P30" s="177">
        <f t="shared" si="10"/>
        <v>9.0060117799209245E-5</v>
      </c>
      <c r="Q30" s="177">
        <f t="shared" si="11"/>
        <v>1.5032104049000377</v>
      </c>
      <c r="R30" s="177">
        <f t="shared" si="12"/>
        <v>6.4712206554230591E-6</v>
      </c>
    </row>
    <row r="31" spans="3:18" x14ac:dyDescent="0.25">
      <c r="C31" s="174">
        <v>25</v>
      </c>
      <c r="D31" s="5">
        <f t="shared" si="13"/>
        <v>22</v>
      </c>
      <c r="E31" s="451">
        <f t="shared" si="0"/>
        <v>695386.58000000007</v>
      </c>
      <c r="F31" s="221">
        <f t="shared" si="1"/>
        <v>0.99996836392211319</v>
      </c>
      <c r="G31" s="176">
        <f t="shared" si="2"/>
        <v>7.4247651021216905</v>
      </c>
      <c r="H31" s="221">
        <f t="shared" si="3"/>
        <v>0.49498434014144604</v>
      </c>
      <c r="I31" s="451">
        <f t="shared" si="4"/>
        <v>695408.58000000007</v>
      </c>
      <c r="J31" s="176">
        <f t="shared" si="5"/>
        <v>0.1515199450119333</v>
      </c>
      <c r="K31" s="176">
        <f t="shared" si="6"/>
        <v>0.20661810683445453</v>
      </c>
      <c r="L31" s="176">
        <f t="shared" si="7"/>
        <v>6.5367933191319269E-6</v>
      </c>
      <c r="M31" s="451">
        <f t="shared" si="14"/>
        <v>350</v>
      </c>
      <c r="N31" s="201">
        <f t="shared" si="8"/>
        <v>350</v>
      </c>
      <c r="O31" s="221">
        <f t="shared" si="9"/>
        <v>2.095171810122523</v>
      </c>
      <c r="P31" s="177">
        <f t="shared" si="10"/>
        <v>9.0388793962166604E-5</v>
      </c>
      <c r="Q31" s="177">
        <f t="shared" si="11"/>
        <v>1.5142024177492424</v>
      </c>
      <c r="R31" s="177">
        <f t="shared" si="12"/>
        <v>6.4712206554230591E-6</v>
      </c>
    </row>
    <row r="32" spans="3:18" x14ac:dyDescent="0.25">
      <c r="C32" s="174">
        <v>26</v>
      </c>
      <c r="D32" s="5">
        <f t="shared" si="13"/>
        <v>22.08</v>
      </c>
      <c r="E32" s="451">
        <f t="shared" si="0"/>
        <v>695386.58000000007</v>
      </c>
      <c r="F32" s="221">
        <f t="shared" si="1"/>
        <v>0.99996824888548275</v>
      </c>
      <c r="G32" s="176">
        <f t="shared" si="2"/>
        <v>7.4517633906946177</v>
      </c>
      <c r="H32" s="221">
        <f t="shared" si="3"/>
        <v>0.49678422604630784</v>
      </c>
      <c r="I32" s="451">
        <f t="shared" si="4"/>
        <v>695408.66</v>
      </c>
      <c r="J32" s="176">
        <f t="shared" si="5"/>
        <v>0.15097097707166102</v>
      </c>
      <c r="K32" s="176">
        <f t="shared" si="6"/>
        <v>0.20512361015171335</v>
      </c>
      <c r="L32" s="176">
        <f t="shared" si="7"/>
        <v>6.5131100346368927E-6</v>
      </c>
      <c r="M32" s="451">
        <f t="shared" si="14"/>
        <v>350</v>
      </c>
      <c r="N32" s="201">
        <f t="shared" si="8"/>
        <v>350</v>
      </c>
      <c r="O32" s="221">
        <f t="shared" si="9"/>
        <v>2.1027903747991861</v>
      </c>
      <c r="P32" s="177">
        <f t="shared" si="10"/>
        <v>9.0717470049501932E-5</v>
      </c>
      <c r="Q32" s="177">
        <f t="shared" si="11"/>
        <v>1.5252344705537146</v>
      </c>
      <c r="R32" s="177">
        <f t="shared" si="12"/>
        <v>6.4712206554230591E-6</v>
      </c>
    </row>
    <row r="33" spans="3:18" x14ac:dyDescent="0.25">
      <c r="C33" s="174">
        <v>27</v>
      </c>
      <c r="D33" s="5">
        <f t="shared" si="13"/>
        <v>22.16</v>
      </c>
      <c r="E33" s="451">
        <f t="shared" si="0"/>
        <v>695386.58000000007</v>
      </c>
      <c r="F33" s="221">
        <f t="shared" si="1"/>
        <v>0.9999681338488785</v>
      </c>
      <c r="G33" s="176">
        <f t="shared" si="2"/>
        <v>7.4787616730557636</v>
      </c>
      <c r="H33" s="221">
        <f t="shared" si="3"/>
        <v>0.4985841115370509</v>
      </c>
      <c r="I33" s="451">
        <f t="shared" si="4"/>
        <v>695408.74000000011</v>
      </c>
      <c r="J33" s="176">
        <f t="shared" si="5"/>
        <v>0.15042597279882755</v>
      </c>
      <c r="K33" s="176">
        <f t="shared" si="6"/>
        <v>0.20364527003451385</v>
      </c>
      <c r="L33" s="176">
        <f t="shared" si="7"/>
        <v>6.4895977485858685E-6</v>
      </c>
      <c r="M33" s="451">
        <f t="shared" si="14"/>
        <v>350</v>
      </c>
      <c r="N33" s="201">
        <f t="shared" si="8"/>
        <v>350</v>
      </c>
      <c r="O33" s="221">
        <f t="shared" si="9"/>
        <v>2.1104089377229664</v>
      </c>
      <c r="P33" s="177">
        <f t="shared" si="10"/>
        <v>9.104614606121531E-5</v>
      </c>
      <c r="Q33" s="177">
        <f t="shared" si="11"/>
        <v>1.5363065632858175</v>
      </c>
      <c r="R33" s="177">
        <f t="shared" si="12"/>
        <v>6.4712206554230591E-6</v>
      </c>
    </row>
    <row r="34" spans="3:18" x14ac:dyDescent="0.25">
      <c r="C34" s="174">
        <v>28</v>
      </c>
      <c r="D34" s="5">
        <f t="shared" si="13"/>
        <v>22.240000000000002</v>
      </c>
      <c r="E34" s="451">
        <f t="shared" si="0"/>
        <v>695386.58000000007</v>
      </c>
      <c r="F34" s="221">
        <f t="shared" si="1"/>
        <v>0.99996801881230091</v>
      </c>
      <c r="G34" s="176">
        <f t="shared" si="2"/>
        <v>7.5057599492051326</v>
      </c>
      <c r="H34" s="221">
        <f t="shared" si="3"/>
        <v>0.5003839966136755</v>
      </c>
      <c r="I34" s="451">
        <f t="shared" si="4"/>
        <v>695408.82000000007</v>
      </c>
      <c r="J34" s="176">
        <f t="shared" si="5"/>
        <v>0.14988488942004319</v>
      </c>
      <c r="K34" s="176">
        <f t="shared" si="6"/>
        <v>0.2021828544335115</v>
      </c>
      <c r="L34" s="176">
        <f t="shared" si="7"/>
        <v>6.4662546156718975E-6</v>
      </c>
      <c r="M34" s="451">
        <f t="shared" si="14"/>
        <v>350</v>
      </c>
      <c r="N34" s="201">
        <f t="shared" si="8"/>
        <v>350</v>
      </c>
      <c r="O34" s="221">
        <f t="shared" si="9"/>
        <v>2.1180274988938641</v>
      </c>
      <c r="P34" s="177">
        <f t="shared" si="10"/>
        <v>9.1374821997306765E-5</v>
      </c>
      <c r="Q34" s="177">
        <f t="shared" si="11"/>
        <v>1.547418695917913</v>
      </c>
      <c r="R34" s="177">
        <f t="shared" si="12"/>
        <v>6.4712206554230591E-6</v>
      </c>
    </row>
    <row r="35" spans="3:18" x14ac:dyDescent="0.25">
      <c r="C35" s="174">
        <v>29</v>
      </c>
      <c r="D35" s="5">
        <f t="shared" si="13"/>
        <v>22.32</v>
      </c>
      <c r="E35" s="451">
        <f t="shared" si="0"/>
        <v>695386.58000000007</v>
      </c>
      <c r="F35" s="221">
        <f t="shared" si="1"/>
        <v>0.99996790377574984</v>
      </c>
      <c r="G35" s="176">
        <f t="shared" si="2"/>
        <v>7.5327582191427238</v>
      </c>
      <c r="H35" s="221">
        <f t="shared" si="3"/>
        <v>0.50218388127618163</v>
      </c>
      <c r="I35" s="451">
        <f t="shared" si="4"/>
        <v>695408.9</v>
      </c>
      <c r="J35" s="176">
        <f t="shared" si="5"/>
        <v>0.14934768477515692</v>
      </c>
      <c r="K35" s="176">
        <f t="shared" si="6"/>
        <v>0.20073613545047975</v>
      </c>
      <c r="L35" s="176">
        <f t="shared" si="7"/>
        <v>6.443078817044049E-6</v>
      </c>
      <c r="M35" s="451">
        <f t="shared" si="14"/>
        <v>350</v>
      </c>
      <c r="N35" s="201">
        <f t="shared" si="8"/>
        <v>350</v>
      </c>
      <c r="O35" s="221">
        <f t="shared" si="9"/>
        <v>2.1256460583118795</v>
      </c>
      <c r="P35" s="177">
        <f t="shared" si="10"/>
        <v>9.1703497857776285E-5</v>
      </c>
      <c r="Q35" s="177">
        <f t="shared" si="11"/>
        <v>1.5585708684223625</v>
      </c>
      <c r="R35" s="177">
        <f t="shared" si="12"/>
        <v>6.4712206554230591E-6</v>
      </c>
    </row>
    <row r="36" spans="3:18" x14ac:dyDescent="0.25">
      <c r="C36" s="174">
        <v>30</v>
      </c>
      <c r="D36" s="5">
        <f t="shared" si="13"/>
        <v>22.4</v>
      </c>
      <c r="E36" s="451">
        <f t="shared" si="0"/>
        <v>695386.58000000007</v>
      </c>
      <c r="F36" s="221">
        <f t="shared" si="1"/>
        <v>0.99996778873922509</v>
      </c>
      <c r="G36" s="176">
        <f t="shared" si="2"/>
        <v>7.5597564828685409</v>
      </c>
      <c r="H36" s="221">
        <f t="shared" si="3"/>
        <v>0.50398376552456936</v>
      </c>
      <c r="I36" s="451">
        <f t="shared" si="4"/>
        <v>695408.9800000001</v>
      </c>
      <c r="J36" s="176">
        <f t="shared" si="5"/>
        <v>0.14881431730630559</v>
      </c>
      <c r="K36" s="176">
        <f t="shared" si="6"/>
        <v>0.19930488924951645</v>
      </c>
      <c r="L36" s="176">
        <f t="shared" si="7"/>
        <v>6.4200685598349735E-6</v>
      </c>
      <c r="M36" s="451">
        <f t="shared" si="14"/>
        <v>350</v>
      </c>
      <c r="N36" s="201">
        <f t="shared" si="8"/>
        <v>350</v>
      </c>
      <c r="O36" s="221">
        <f t="shared" si="9"/>
        <v>2.1332646159770134</v>
      </c>
      <c r="P36" s="177">
        <f t="shared" si="10"/>
        <v>9.2032173642623937E-5</v>
      </c>
      <c r="Q36" s="177">
        <f t="shared" si="11"/>
        <v>1.5697630807715284</v>
      </c>
      <c r="R36" s="177">
        <f t="shared" si="12"/>
        <v>6.4712206554230591E-6</v>
      </c>
    </row>
    <row r="37" spans="3:18" x14ac:dyDescent="0.25">
      <c r="C37" s="174">
        <v>31</v>
      </c>
      <c r="D37" s="5">
        <f t="shared" si="13"/>
        <v>22.48</v>
      </c>
      <c r="E37" s="451">
        <f t="shared" si="0"/>
        <v>695386.58000000007</v>
      </c>
      <c r="F37" s="221">
        <f t="shared" si="1"/>
        <v>0.99996767370272688</v>
      </c>
      <c r="G37" s="176">
        <f t="shared" si="2"/>
        <v>7.5867547403825881</v>
      </c>
      <c r="H37" s="221">
        <f t="shared" si="3"/>
        <v>0.50578364935883924</v>
      </c>
      <c r="I37" s="451">
        <f t="shared" si="4"/>
        <v>695409.06</v>
      </c>
      <c r="J37" s="176">
        <f t="shared" si="5"/>
        <v>0.14828474604719699</v>
      </c>
      <c r="K37" s="176">
        <f t="shared" si="6"/>
        <v>0.19788889597045861</v>
      </c>
      <c r="L37" s="176">
        <f t="shared" si="7"/>
        <v>6.3972220766985595E-6</v>
      </c>
      <c r="M37" s="451">
        <f t="shared" si="14"/>
        <v>350</v>
      </c>
      <c r="N37" s="201">
        <f t="shared" si="8"/>
        <v>350</v>
      </c>
      <c r="O37" s="221">
        <f t="shared" si="9"/>
        <v>2.1408831718892665</v>
      </c>
      <c r="P37" s="177">
        <f t="shared" si="10"/>
        <v>9.2360849351849706E-5</v>
      </c>
      <c r="Q37" s="177">
        <f t="shared" si="11"/>
        <v>1.5809953329377719</v>
      </c>
      <c r="R37" s="177">
        <f t="shared" si="12"/>
        <v>6.4712206554230591E-6</v>
      </c>
    </row>
    <row r="38" spans="3:18" x14ac:dyDescent="0.25">
      <c r="C38" s="174">
        <v>32</v>
      </c>
      <c r="D38" s="5">
        <f t="shared" si="13"/>
        <v>22.56</v>
      </c>
      <c r="E38" s="451">
        <f t="shared" ref="E38:E69" si="15">(Vout+Vfwd1)*Nps</f>
        <v>695386.58000000007</v>
      </c>
      <c r="F38" s="221">
        <f t="shared" ref="F38:F69" si="16">(Vout+Vfwd1)*Nps/((Vout+Vfwd1)*Nps+D38)</f>
        <v>0.99996755866625497</v>
      </c>
      <c r="G38" s="176">
        <f t="shared" ref="G38:G69" si="17">F38*D38*Isw_max*0.5*Efficiency</f>
        <v>7.6137529916848647</v>
      </c>
      <c r="H38" s="221">
        <f t="shared" ref="H38:H69" si="18">G38/Vout</f>
        <v>0.50758353277899093</v>
      </c>
      <c r="I38" s="451">
        <f t="shared" ref="I38:I69" si="19">(Vout+Vfwd1)*Nps+D38</f>
        <v>695409.14000000013</v>
      </c>
      <c r="J38" s="176">
        <f t="shared" ref="J38:J69" si="20">MIN(2*Vout*Iout/(Efficiency*D38*F38), 1.35)</f>
        <v>0.14775893061262108</v>
      </c>
      <c r="K38" s="176">
        <f t="shared" ref="K38:K69" si="21">L*J38/D38*1000000</f>
        <v>0.19648793964444294</v>
      </c>
      <c r="L38" s="176">
        <f t="shared" ref="L38:L69" si="22">L*J38/((Vout+Vfwd1)*Nps)*1000000</f>
        <v>6.3745376253574404E-6</v>
      </c>
      <c r="M38" s="451">
        <f t="shared" si="14"/>
        <v>350</v>
      </c>
      <c r="N38" s="201">
        <f t="shared" ref="N38:N69" si="23">IF(1/((350000*L)*(1/D38+1/E38))&gt;Isw_min, 350, 0.001/((Isw_min*L)*(1/D38+1/E38)))</f>
        <v>350</v>
      </c>
      <c r="O38" s="221">
        <f t="shared" ref="O38:O69" si="24">1/((N38*1000*L)*(1/D38+1/E38))</f>
        <v>2.1485017260486394</v>
      </c>
      <c r="P38" s="177">
        <f t="shared" ref="P38:P69" si="25">L*O38/E38*1000000</f>
        <v>9.2689524985453675E-5</v>
      </c>
      <c r="Q38" s="177">
        <f t="shared" ref="Q38:Q69" si="26">0.5*P38*O38*Nps*N38/1000</f>
        <v>1.5922676248934566</v>
      </c>
      <c r="R38" s="177">
        <f t="shared" ref="R38:R69" si="27">L*Isw_min/E38*1000000</f>
        <v>6.4712206554230591E-6</v>
      </c>
    </row>
    <row r="39" spans="3:18" x14ac:dyDescent="0.25">
      <c r="C39" s="174">
        <v>33</v>
      </c>
      <c r="D39" s="5">
        <f t="shared" ref="D39:D70" si="28">C39/100*(VIN_max-VIN_min)+VIN_min</f>
        <v>22.64</v>
      </c>
      <c r="E39" s="451">
        <f t="shared" si="15"/>
        <v>695386.58000000007</v>
      </c>
      <c r="F39" s="221">
        <f t="shared" si="16"/>
        <v>0.99996744362980983</v>
      </c>
      <c r="G39" s="176">
        <f t="shared" si="17"/>
        <v>7.6407512367753778</v>
      </c>
      <c r="H39" s="221">
        <f t="shared" si="18"/>
        <v>0.50938341578502522</v>
      </c>
      <c r="I39" s="451">
        <f t="shared" si="19"/>
        <v>695409.22000000009</v>
      </c>
      <c r="J39" s="176">
        <f t="shared" si="20"/>
        <v>0.14723683118818343</v>
      </c>
      <c r="K39" s="176">
        <f t="shared" si="21"/>
        <v>0.19510180811155048</v>
      </c>
      <c r="L39" s="176">
        <f t="shared" si="22"/>
        <v>6.3520134881600716E-6</v>
      </c>
      <c r="M39" s="451">
        <f t="shared" si="14"/>
        <v>350</v>
      </c>
      <c r="N39" s="201">
        <f t="shared" si="23"/>
        <v>350</v>
      </c>
      <c r="O39" s="221">
        <f t="shared" si="24"/>
        <v>2.1561202784551328</v>
      </c>
      <c r="P39" s="177">
        <f t="shared" si="25"/>
        <v>9.3018200543435817E-5</v>
      </c>
      <c r="Q39" s="177">
        <f t="shared" si="26"/>
        <v>1.603579956610943</v>
      </c>
      <c r="R39" s="177">
        <f t="shared" si="27"/>
        <v>6.4712206554230591E-6</v>
      </c>
    </row>
    <row r="40" spans="3:18" x14ac:dyDescent="0.25">
      <c r="C40" s="174">
        <v>34</v>
      </c>
      <c r="D40" s="5">
        <f t="shared" si="28"/>
        <v>22.72</v>
      </c>
      <c r="E40" s="451">
        <f t="shared" si="15"/>
        <v>695386.58000000007</v>
      </c>
      <c r="F40" s="221">
        <f t="shared" si="16"/>
        <v>0.99996732859339099</v>
      </c>
      <c r="G40" s="176">
        <f t="shared" si="17"/>
        <v>7.667749475654122</v>
      </c>
      <c r="H40" s="221">
        <f t="shared" si="18"/>
        <v>0.51118329837694143</v>
      </c>
      <c r="I40" s="451">
        <f t="shared" si="19"/>
        <v>695409.3</v>
      </c>
      <c r="J40" s="176">
        <f t="shared" si="20"/>
        <v>0.14671840852025597</v>
      </c>
      <c r="K40" s="176">
        <f t="shared" si="21"/>
        <v>0.19373029294047883</v>
      </c>
      <c r="L40" s="176">
        <f t="shared" si="22"/>
        <v>6.3296479716471924E-6</v>
      </c>
      <c r="M40" s="451">
        <f t="shared" si="14"/>
        <v>350</v>
      </c>
      <c r="N40" s="201">
        <f t="shared" si="23"/>
        <v>350</v>
      </c>
      <c r="O40" s="221">
        <f t="shared" si="24"/>
        <v>2.1637388291087469</v>
      </c>
      <c r="P40" s="177">
        <f t="shared" si="25"/>
        <v>9.3346876025796199E-5</v>
      </c>
      <c r="Q40" s="177">
        <f t="shared" si="26"/>
        <v>1.6149323280625938</v>
      </c>
      <c r="R40" s="177">
        <f t="shared" si="27"/>
        <v>6.4712206554230591E-6</v>
      </c>
    </row>
    <row r="41" spans="3:18" x14ac:dyDescent="0.25">
      <c r="C41" s="174">
        <v>35</v>
      </c>
      <c r="D41" s="5">
        <f t="shared" si="28"/>
        <v>22.8</v>
      </c>
      <c r="E41" s="451">
        <f t="shared" si="15"/>
        <v>695386.58000000007</v>
      </c>
      <c r="F41" s="221">
        <f t="shared" si="16"/>
        <v>0.99996721355699858</v>
      </c>
      <c r="G41" s="176">
        <f t="shared" si="17"/>
        <v>7.6947477083211036</v>
      </c>
      <c r="H41" s="221">
        <f t="shared" si="18"/>
        <v>0.51298318055474024</v>
      </c>
      <c r="I41" s="451">
        <f t="shared" si="19"/>
        <v>695409.38000000012</v>
      </c>
      <c r="J41" s="176">
        <f t="shared" si="20"/>
        <v>0.14620362390613853</v>
      </c>
      <c r="K41" s="176">
        <f t="shared" si="21"/>
        <v>0.1923731893501823</v>
      </c>
      <c r="L41" s="176">
        <f t="shared" si="22"/>
        <v>6.3074394061273886E-6</v>
      </c>
      <c r="M41" s="451">
        <f t="shared" si="14"/>
        <v>350</v>
      </c>
      <c r="N41" s="201">
        <f t="shared" si="23"/>
        <v>350</v>
      </c>
      <c r="O41" s="221">
        <f t="shared" si="24"/>
        <v>2.1713573780094828</v>
      </c>
      <c r="P41" s="177">
        <f t="shared" si="25"/>
        <v>9.3675551432534821E-5</v>
      </c>
      <c r="Q41" s="177">
        <f t="shared" si="26"/>
        <v>1.6263247392207711</v>
      </c>
      <c r="R41" s="177">
        <f t="shared" si="27"/>
        <v>6.4712206554230591E-6</v>
      </c>
    </row>
    <row r="42" spans="3:18" x14ac:dyDescent="0.25">
      <c r="C42" s="174">
        <v>36</v>
      </c>
      <c r="D42" s="5">
        <f t="shared" si="28"/>
        <v>22.88</v>
      </c>
      <c r="E42" s="451">
        <f t="shared" si="15"/>
        <v>695386.58000000007</v>
      </c>
      <c r="F42" s="221">
        <f t="shared" si="16"/>
        <v>0.9999670985206327</v>
      </c>
      <c r="G42" s="176">
        <f t="shared" si="17"/>
        <v>7.7217459347763269</v>
      </c>
      <c r="H42" s="221">
        <f t="shared" si="18"/>
        <v>0.51478306231842175</v>
      </c>
      <c r="I42" s="451">
        <f t="shared" si="19"/>
        <v>695409.46000000008</v>
      </c>
      <c r="J42" s="176">
        <f t="shared" si="20"/>
        <v>0.14569243918442748</v>
      </c>
      <c r="K42" s="176">
        <f t="shared" si="21"/>
        <v>0.19103029613342767</v>
      </c>
      <c r="L42" s="176">
        <f t="shared" si="22"/>
        <v>6.2853861452615672E-6</v>
      </c>
      <c r="M42" s="451">
        <f t="shared" si="14"/>
        <v>350</v>
      </c>
      <c r="N42" s="201">
        <f t="shared" si="23"/>
        <v>350</v>
      </c>
      <c r="O42" s="221">
        <f t="shared" si="24"/>
        <v>2.1789759251573404</v>
      </c>
      <c r="P42" s="177">
        <f t="shared" si="25"/>
        <v>9.4004226763651683E-5</v>
      </c>
      <c r="Q42" s="177">
        <f t="shared" si="26"/>
        <v>1.6377571900578358</v>
      </c>
      <c r="R42" s="177">
        <f t="shared" si="27"/>
        <v>6.4712206554230591E-6</v>
      </c>
    </row>
    <row r="43" spans="3:18" x14ac:dyDescent="0.25">
      <c r="C43" s="174">
        <v>37</v>
      </c>
      <c r="D43" s="5">
        <f t="shared" si="28"/>
        <v>22.96</v>
      </c>
      <c r="E43" s="451">
        <f t="shared" si="15"/>
        <v>695386.58000000007</v>
      </c>
      <c r="F43" s="221">
        <f t="shared" si="16"/>
        <v>0.99996698348429336</v>
      </c>
      <c r="G43" s="176">
        <f t="shared" si="17"/>
        <v>7.7487441550197902</v>
      </c>
      <c r="H43" s="221">
        <f t="shared" si="18"/>
        <v>0.51658294366798596</v>
      </c>
      <c r="I43" s="451">
        <f t="shared" si="19"/>
        <v>695409.54</v>
      </c>
      <c r="J43" s="176">
        <f t="shared" si="20"/>
        <v>0.1451848167255855</v>
      </c>
      <c r="K43" s="176">
        <f t="shared" si="21"/>
        <v>0.18970141558221104</v>
      </c>
      <c r="L43" s="176">
        <f t="shared" si="22"/>
        <v>6.2634865656561351E-6</v>
      </c>
      <c r="M43" s="451">
        <f t="shared" si="14"/>
        <v>350</v>
      </c>
      <c r="N43" s="201">
        <f t="shared" si="23"/>
        <v>350</v>
      </c>
      <c r="O43" s="221">
        <f t="shared" si="24"/>
        <v>2.1865944705523215</v>
      </c>
      <c r="P43" s="177">
        <f t="shared" si="25"/>
        <v>9.4332902019146866E-5</v>
      </c>
      <c r="Q43" s="177">
        <f t="shared" si="26"/>
        <v>1.6492296805461519</v>
      </c>
      <c r="R43" s="177">
        <f t="shared" si="27"/>
        <v>6.4712206554230591E-6</v>
      </c>
    </row>
    <row r="44" spans="3:18" x14ac:dyDescent="0.25">
      <c r="C44" s="174">
        <v>38</v>
      </c>
      <c r="D44" s="5">
        <f t="shared" si="28"/>
        <v>23.04</v>
      </c>
      <c r="E44" s="451">
        <f t="shared" si="15"/>
        <v>695386.58000000007</v>
      </c>
      <c r="F44" s="221">
        <f t="shared" si="16"/>
        <v>0.99996686844798033</v>
      </c>
      <c r="G44" s="176">
        <f t="shared" si="17"/>
        <v>7.7757423690514944</v>
      </c>
      <c r="H44" s="221">
        <f t="shared" si="18"/>
        <v>0.51838282460343299</v>
      </c>
      <c r="I44" s="451">
        <f t="shared" si="19"/>
        <v>695409.62000000011</v>
      </c>
      <c r="J44" s="176">
        <f t="shared" si="20"/>
        <v>0.14468071942270772</v>
      </c>
      <c r="K44" s="176">
        <f t="shared" si="21"/>
        <v>0.18838635341498403</v>
      </c>
      <c r="L44" s="176">
        <f t="shared" si="22"/>
        <v>6.2417390664646297E-6</v>
      </c>
      <c r="M44" s="451">
        <f t="shared" si="14"/>
        <v>350</v>
      </c>
      <c r="N44" s="201">
        <f t="shared" si="23"/>
        <v>350</v>
      </c>
      <c r="O44" s="221">
        <f t="shared" si="24"/>
        <v>2.1942130141944256</v>
      </c>
      <c r="P44" s="177">
        <f t="shared" si="25"/>
        <v>9.4661577199020371E-5</v>
      </c>
      <c r="Q44" s="177">
        <f t="shared" si="26"/>
        <v>1.6607422106580798</v>
      </c>
      <c r="R44" s="177">
        <f t="shared" si="27"/>
        <v>6.4712206554230591E-6</v>
      </c>
    </row>
    <row r="45" spans="3:18" x14ac:dyDescent="0.25">
      <c r="C45" s="174">
        <v>39</v>
      </c>
      <c r="D45" s="5">
        <f t="shared" si="28"/>
        <v>23.12</v>
      </c>
      <c r="E45" s="451">
        <f t="shared" si="15"/>
        <v>695386.58000000007</v>
      </c>
      <c r="F45" s="221">
        <f t="shared" si="16"/>
        <v>0.99996675341169383</v>
      </c>
      <c r="G45" s="176">
        <f t="shared" si="17"/>
        <v>7.8027405768714466</v>
      </c>
      <c r="H45" s="221">
        <f t="shared" si="18"/>
        <v>0.52018270512476306</v>
      </c>
      <c r="I45" s="451">
        <f t="shared" si="19"/>
        <v>695409.70000000007</v>
      </c>
      <c r="J45" s="176">
        <f t="shared" si="20"/>
        <v>0.1441801106824796</v>
      </c>
      <c r="K45" s="176">
        <f t="shared" si="21"/>
        <v>0.18708491870563959</v>
      </c>
      <c r="L45" s="176">
        <f t="shared" si="22"/>
        <v>6.2201420689976317E-6</v>
      </c>
      <c r="M45" s="451">
        <f t="shared" si="14"/>
        <v>350</v>
      </c>
      <c r="N45" s="201">
        <f t="shared" si="23"/>
        <v>350</v>
      </c>
      <c r="O45" s="221">
        <f t="shared" si="24"/>
        <v>2.2018315560836537</v>
      </c>
      <c r="P45" s="177">
        <f t="shared" si="25"/>
        <v>9.4990252303272225E-5</v>
      </c>
      <c r="Q45" s="177">
        <f t="shared" si="26"/>
        <v>1.6722947803659824</v>
      </c>
      <c r="R45" s="177">
        <f t="shared" si="27"/>
        <v>6.4712206554230591E-6</v>
      </c>
    </row>
    <row r="46" spans="3:18" x14ac:dyDescent="0.25">
      <c r="C46" s="174">
        <v>40</v>
      </c>
      <c r="D46" s="5">
        <f t="shared" si="28"/>
        <v>23.2</v>
      </c>
      <c r="E46" s="451">
        <f t="shared" si="15"/>
        <v>695386.58000000007</v>
      </c>
      <c r="F46" s="221">
        <f t="shared" si="16"/>
        <v>0.99996663837543387</v>
      </c>
      <c r="G46" s="176">
        <f t="shared" si="17"/>
        <v>7.8297387784796459</v>
      </c>
      <c r="H46" s="221">
        <f t="shared" si="18"/>
        <v>0.52198258523197638</v>
      </c>
      <c r="I46" s="451">
        <f t="shared" si="19"/>
        <v>695409.78</v>
      </c>
      <c r="J46" s="176">
        <f t="shared" si="20"/>
        <v>0.14368295441632203</v>
      </c>
      <c r="K46" s="176">
        <f t="shared" si="21"/>
        <v>0.18579692381420954</v>
      </c>
      <c r="L46" s="176">
        <f t="shared" si="22"/>
        <v>6.1986940163407537E-6</v>
      </c>
      <c r="M46" s="451">
        <f t="shared" si="14"/>
        <v>350</v>
      </c>
      <c r="N46" s="201">
        <f t="shared" si="23"/>
        <v>350</v>
      </c>
      <c r="O46" s="221">
        <f t="shared" si="24"/>
        <v>2.2094500962200061</v>
      </c>
      <c r="P46" s="177">
        <f t="shared" si="25"/>
        <v>9.5318927331902468E-5</v>
      </c>
      <c r="Q46" s="177">
        <f t="shared" si="26"/>
        <v>1.683887389642222</v>
      </c>
      <c r="R46" s="177">
        <f t="shared" si="27"/>
        <v>6.4712206554230591E-6</v>
      </c>
    </row>
    <row r="47" spans="3:18" x14ac:dyDescent="0.25">
      <c r="C47" s="174">
        <v>41</v>
      </c>
      <c r="D47" s="5">
        <f t="shared" si="28"/>
        <v>23.28</v>
      </c>
      <c r="E47" s="451">
        <f t="shared" si="15"/>
        <v>695386.58000000007</v>
      </c>
      <c r="F47" s="221">
        <f t="shared" si="16"/>
        <v>0.99996652333920022</v>
      </c>
      <c r="G47" s="176">
        <f t="shared" si="17"/>
        <v>7.856736973876095</v>
      </c>
      <c r="H47" s="221">
        <f t="shared" si="18"/>
        <v>0.52378246492507297</v>
      </c>
      <c r="I47" s="451">
        <f t="shared" si="19"/>
        <v>695409.8600000001</v>
      </c>
      <c r="J47" s="176">
        <f t="shared" si="20"/>
        <v>0.1431892150317188</v>
      </c>
      <c r="K47" s="176">
        <f t="shared" si="21"/>
        <v>0.18452218431922526</v>
      </c>
      <c r="L47" s="176">
        <f t="shared" si="22"/>
        <v>6.1773933729804851E-6</v>
      </c>
      <c r="M47" s="451">
        <f t="shared" si="14"/>
        <v>350</v>
      </c>
      <c r="N47" s="201">
        <f t="shared" si="23"/>
        <v>350</v>
      </c>
      <c r="O47" s="221">
        <f t="shared" si="24"/>
        <v>2.2170686346034838</v>
      </c>
      <c r="P47" s="177">
        <f t="shared" si="25"/>
        <v>9.5647602284911086E-5</v>
      </c>
      <c r="Q47" s="177">
        <f t="shared" si="26"/>
        <v>1.6955200384591598</v>
      </c>
      <c r="R47" s="177">
        <f t="shared" si="27"/>
        <v>6.4712206554230591E-6</v>
      </c>
    </row>
    <row r="48" spans="3:18" x14ac:dyDescent="0.25">
      <c r="C48" s="174">
        <v>42</v>
      </c>
      <c r="D48" s="5">
        <f t="shared" si="28"/>
        <v>23.36</v>
      </c>
      <c r="E48" s="451">
        <f t="shared" si="15"/>
        <v>695386.58000000007</v>
      </c>
      <c r="F48" s="221">
        <f t="shared" si="16"/>
        <v>0.99996640830299321</v>
      </c>
      <c r="G48" s="176">
        <f t="shared" si="17"/>
        <v>7.8837351630607984</v>
      </c>
      <c r="H48" s="221">
        <f t="shared" si="18"/>
        <v>0.52558234420405325</v>
      </c>
      <c r="I48" s="451">
        <f t="shared" si="19"/>
        <v>695409.94000000006</v>
      </c>
      <c r="J48" s="176">
        <f t="shared" si="20"/>
        <v>0.14269885742372243</v>
      </c>
      <c r="K48" s="176">
        <f t="shared" si="21"/>
        <v>0.18326051895169834</v>
      </c>
      <c r="L48" s="176">
        <f t="shared" si="22"/>
        <v>6.1562386244377517E-6</v>
      </c>
      <c r="M48" s="451">
        <f t="shared" si="14"/>
        <v>350</v>
      </c>
      <c r="N48" s="201">
        <f t="shared" si="23"/>
        <v>350</v>
      </c>
      <c r="O48" s="221">
        <f t="shared" si="24"/>
        <v>2.2246871712340877</v>
      </c>
      <c r="P48" s="177">
        <f t="shared" si="25"/>
        <v>9.5976277162298162E-5</v>
      </c>
      <c r="Q48" s="177">
        <f t="shared" si="26"/>
        <v>1.70719272678916</v>
      </c>
      <c r="R48" s="177">
        <f t="shared" si="27"/>
        <v>6.4712206554230591E-6</v>
      </c>
    </row>
    <row r="49" spans="3:18" x14ac:dyDescent="0.25">
      <c r="C49" s="174">
        <v>43</v>
      </c>
      <c r="D49" s="5">
        <f t="shared" si="28"/>
        <v>23.44</v>
      </c>
      <c r="E49" s="451">
        <f t="shared" si="15"/>
        <v>695386.58000000007</v>
      </c>
      <c r="F49" s="221">
        <f t="shared" si="16"/>
        <v>0.99996629326681263</v>
      </c>
      <c r="G49" s="176">
        <f t="shared" si="17"/>
        <v>7.9107333460337559</v>
      </c>
      <c r="H49" s="221">
        <f t="shared" si="18"/>
        <v>0.52738222306891702</v>
      </c>
      <c r="I49" s="451">
        <f t="shared" si="19"/>
        <v>695410.02</v>
      </c>
      <c r="J49" s="176">
        <f t="shared" si="20"/>
        <v>0.14221184696663389</v>
      </c>
      <c r="K49" s="176">
        <f t="shared" si="21"/>
        <v>0.18201174953067475</v>
      </c>
      <c r="L49" s="176">
        <f t="shared" si="22"/>
        <v>6.1352282769089619E-6</v>
      </c>
      <c r="M49" s="451">
        <f t="shared" si="14"/>
        <v>350</v>
      </c>
      <c r="N49" s="201">
        <f t="shared" si="23"/>
        <v>350</v>
      </c>
      <c r="O49" s="221">
        <f t="shared" si="24"/>
        <v>2.2323057061118181</v>
      </c>
      <c r="P49" s="177">
        <f t="shared" si="25"/>
        <v>9.6304951964063708E-5</v>
      </c>
      <c r="Q49" s="177">
        <f t="shared" si="26"/>
        <v>1.7189054546045834</v>
      </c>
      <c r="R49" s="177">
        <f t="shared" si="27"/>
        <v>6.4712206554230591E-6</v>
      </c>
    </row>
    <row r="50" spans="3:18" x14ac:dyDescent="0.25">
      <c r="C50" s="174">
        <v>44</v>
      </c>
      <c r="D50" s="5">
        <f t="shared" si="28"/>
        <v>23.52</v>
      </c>
      <c r="E50" s="451">
        <f t="shared" si="15"/>
        <v>695386.58000000007</v>
      </c>
      <c r="F50" s="221">
        <f t="shared" si="16"/>
        <v>0.99996617823065836</v>
      </c>
      <c r="G50" s="176">
        <f t="shared" si="17"/>
        <v>7.9377315227949667</v>
      </c>
      <c r="H50" s="221">
        <f t="shared" si="18"/>
        <v>0.52918210151966449</v>
      </c>
      <c r="I50" s="451">
        <f t="shared" si="19"/>
        <v>695410.10000000009</v>
      </c>
      <c r="J50" s="176">
        <f t="shared" si="20"/>
        <v>0.14172814950585211</v>
      </c>
      <c r="K50" s="176">
        <f t="shared" si="21"/>
        <v>0.18077570090032158</v>
      </c>
      <c r="L50" s="176">
        <f t="shared" si="22"/>
        <v>6.1143608569143845E-6</v>
      </c>
      <c r="M50" s="451">
        <f t="shared" si="14"/>
        <v>350</v>
      </c>
      <c r="N50" s="201">
        <f t="shared" si="23"/>
        <v>350</v>
      </c>
      <c r="O50" s="221">
        <f t="shared" si="24"/>
        <v>2.2399242392366752</v>
      </c>
      <c r="P50" s="177">
        <f t="shared" si="25"/>
        <v>9.6633626690207698E-5</v>
      </c>
      <c r="Q50" s="177">
        <f t="shared" si="26"/>
        <v>1.7306582218777917</v>
      </c>
      <c r="R50" s="177">
        <f t="shared" si="27"/>
        <v>6.4712206554230591E-6</v>
      </c>
    </row>
    <row r="51" spans="3:18" x14ac:dyDescent="0.25">
      <c r="C51" s="174">
        <v>45</v>
      </c>
      <c r="D51" s="5">
        <f t="shared" si="28"/>
        <v>23.6</v>
      </c>
      <c r="E51" s="451">
        <f t="shared" si="15"/>
        <v>695386.58000000007</v>
      </c>
      <c r="F51" s="221">
        <f t="shared" si="16"/>
        <v>0.99996606319453074</v>
      </c>
      <c r="G51" s="176">
        <f t="shared" si="17"/>
        <v>7.9647296933444371</v>
      </c>
      <c r="H51" s="221">
        <f t="shared" si="18"/>
        <v>0.53098197955629578</v>
      </c>
      <c r="I51" s="451">
        <f t="shared" si="19"/>
        <v>695410.18</v>
      </c>
      <c r="J51" s="176">
        <f t="shared" si="20"/>
        <v>0.14124773134988913</v>
      </c>
      <c r="K51" s="176">
        <f t="shared" si="21"/>
        <v>0.17955220086850315</v>
      </c>
      <c r="L51" s="176">
        <f t="shared" si="22"/>
        <v>6.0936349109536653E-6</v>
      </c>
      <c r="M51" s="451">
        <f t="shared" si="14"/>
        <v>350</v>
      </c>
      <c r="N51" s="201">
        <f t="shared" si="23"/>
        <v>350</v>
      </c>
      <c r="O51" s="221">
        <f t="shared" si="24"/>
        <v>2.2475427706086597</v>
      </c>
      <c r="P51" s="177">
        <f t="shared" si="25"/>
        <v>9.6962301340730198E-5</v>
      </c>
      <c r="Q51" s="177">
        <f t="shared" si="26"/>
        <v>1.7424510285811472</v>
      </c>
      <c r="R51" s="177">
        <f t="shared" si="27"/>
        <v>6.4712206554230591E-6</v>
      </c>
    </row>
    <row r="52" spans="3:18" x14ac:dyDescent="0.25">
      <c r="C52" s="174">
        <v>46</v>
      </c>
      <c r="D52" s="5">
        <f t="shared" si="28"/>
        <v>23.68</v>
      </c>
      <c r="E52" s="451">
        <f t="shared" si="15"/>
        <v>695386.58000000007</v>
      </c>
      <c r="F52" s="221">
        <f t="shared" si="16"/>
        <v>0.99996594815842943</v>
      </c>
      <c r="G52" s="176">
        <f t="shared" si="17"/>
        <v>7.991727857682168</v>
      </c>
      <c r="H52" s="221">
        <f t="shared" si="18"/>
        <v>0.53278185717881121</v>
      </c>
      <c r="I52" s="451">
        <f t="shared" si="19"/>
        <v>695410.26000000013</v>
      </c>
      <c r="J52" s="176">
        <f t="shared" si="20"/>
        <v>0.14077055926254756</v>
      </c>
      <c r="K52" s="176">
        <f t="shared" si="21"/>
        <v>0.17834108014680858</v>
      </c>
      <c r="L52" s="176">
        <f t="shared" si="22"/>
        <v>6.0730490051683579E-6</v>
      </c>
      <c r="M52" s="451">
        <f t="shared" si="14"/>
        <v>350</v>
      </c>
      <c r="N52" s="201">
        <f t="shared" si="23"/>
        <v>350</v>
      </c>
      <c r="O52" s="221">
        <f t="shared" si="24"/>
        <v>2.2551613002277722</v>
      </c>
      <c r="P52" s="177">
        <f t="shared" si="25"/>
        <v>9.7290975915631211E-5</v>
      </c>
      <c r="Q52" s="177">
        <f t="shared" si="26"/>
        <v>1.7542838746870124</v>
      </c>
      <c r="R52" s="177">
        <f t="shared" si="27"/>
        <v>6.4712206554230591E-6</v>
      </c>
    </row>
    <row r="53" spans="3:18" x14ac:dyDescent="0.25">
      <c r="C53" s="174">
        <v>47</v>
      </c>
      <c r="D53" s="5">
        <f t="shared" si="28"/>
        <v>23.759999999999998</v>
      </c>
      <c r="E53" s="451">
        <f t="shared" si="15"/>
        <v>695386.58000000007</v>
      </c>
      <c r="F53" s="221">
        <f t="shared" si="16"/>
        <v>0.99996583312235476</v>
      </c>
      <c r="G53" s="176">
        <f t="shared" si="17"/>
        <v>8.0187260158081628</v>
      </c>
      <c r="H53" s="221">
        <f t="shared" si="18"/>
        <v>0.53458173438721091</v>
      </c>
      <c r="I53" s="451">
        <f t="shared" si="19"/>
        <v>695410.34000000008</v>
      </c>
      <c r="J53" s="176">
        <f t="shared" si="20"/>
        <v>0.14029660045525541</v>
      </c>
      <c r="K53" s="176">
        <f t="shared" si="21"/>
        <v>0.17714217229198917</v>
      </c>
      <c r="L53" s="176">
        <f t="shared" si="22"/>
        <v>6.0526017250112339E-6</v>
      </c>
      <c r="M53" s="451">
        <f t="shared" si="14"/>
        <v>350</v>
      </c>
      <c r="N53" s="201">
        <f t="shared" si="23"/>
        <v>350</v>
      </c>
      <c r="O53" s="221">
        <f t="shared" si="24"/>
        <v>2.2627798280940139</v>
      </c>
      <c r="P53" s="177">
        <f t="shared" si="25"/>
        <v>9.7619650414910815E-5</v>
      </c>
      <c r="Q53" s="177">
        <f t="shared" si="26"/>
        <v>1.7661567601677506</v>
      </c>
      <c r="R53" s="177">
        <f t="shared" si="27"/>
        <v>6.4712206554230591E-6</v>
      </c>
    </row>
    <row r="54" spans="3:18" x14ac:dyDescent="0.25">
      <c r="C54" s="174">
        <v>48</v>
      </c>
      <c r="D54" s="5">
        <f t="shared" si="28"/>
        <v>23.84</v>
      </c>
      <c r="E54" s="451">
        <f t="shared" si="15"/>
        <v>695386.58000000007</v>
      </c>
      <c r="F54" s="221">
        <f t="shared" si="16"/>
        <v>0.99996571808630652</v>
      </c>
      <c r="G54" s="176">
        <f t="shared" si="17"/>
        <v>8.0457241677224225</v>
      </c>
      <c r="H54" s="221">
        <f t="shared" si="18"/>
        <v>0.53638161118149486</v>
      </c>
      <c r="I54" s="451">
        <f t="shared" si="19"/>
        <v>695410.42</v>
      </c>
      <c r="J54" s="176">
        <f t="shared" si="20"/>
        <v>0.13982582257955584</v>
      </c>
      <c r="K54" s="176">
        <f t="shared" si="21"/>
        <v>0.17595531364876996</v>
      </c>
      <c r="L54" s="176">
        <f t="shared" si="22"/>
        <v>6.0322916749222782E-6</v>
      </c>
      <c r="M54" s="451">
        <f t="shared" si="14"/>
        <v>350</v>
      </c>
      <c r="N54" s="201">
        <f t="shared" si="23"/>
        <v>350</v>
      </c>
      <c r="O54" s="221">
        <f t="shared" si="24"/>
        <v>2.2703983542073853</v>
      </c>
      <c r="P54" s="177">
        <f t="shared" si="25"/>
        <v>9.7948324838569012E-5</v>
      </c>
      <c r="Q54" s="177">
        <f t="shared" si="26"/>
        <v>1.778069684995724</v>
      </c>
      <c r="R54" s="177">
        <f t="shared" si="27"/>
        <v>6.4712206554230591E-6</v>
      </c>
    </row>
    <row r="55" spans="3:18" x14ac:dyDescent="0.25">
      <c r="C55" s="174">
        <v>49</v>
      </c>
      <c r="D55" s="5">
        <f t="shared" si="28"/>
        <v>23.92</v>
      </c>
      <c r="E55" s="451">
        <f t="shared" si="15"/>
        <v>695386.58000000007</v>
      </c>
      <c r="F55" s="221">
        <f t="shared" si="16"/>
        <v>0.99996560305028459</v>
      </c>
      <c r="G55" s="176">
        <f t="shared" si="17"/>
        <v>8.0727223134249488</v>
      </c>
      <c r="H55" s="221">
        <f t="shared" si="18"/>
        <v>0.53818148756166329</v>
      </c>
      <c r="I55" s="451">
        <f t="shared" si="19"/>
        <v>695410.50000000012</v>
      </c>
      <c r="J55" s="176">
        <f t="shared" si="20"/>
        <v>0.13935819371974725</v>
      </c>
      <c r="K55" s="176">
        <f t="shared" si="21"/>
        <v>0.17478034329399736</v>
      </c>
      <c r="L55" s="176">
        <f t="shared" si="22"/>
        <v>6.0121174780111763E-6</v>
      </c>
      <c r="M55" s="451">
        <f t="shared" si="14"/>
        <v>350</v>
      </c>
      <c r="N55" s="201">
        <f t="shared" si="23"/>
        <v>350</v>
      </c>
      <c r="O55" s="221">
        <f t="shared" si="24"/>
        <v>2.2780168785678865</v>
      </c>
      <c r="P55" s="177">
        <f t="shared" si="25"/>
        <v>9.8276999186605802E-5</v>
      </c>
      <c r="Q55" s="177">
        <f t="shared" si="26"/>
        <v>1.7900226491432933</v>
      </c>
      <c r="R55" s="177">
        <f t="shared" si="27"/>
        <v>6.4712206554230591E-6</v>
      </c>
    </row>
    <row r="56" spans="3:18" x14ac:dyDescent="0.25">
      <c r="C56" s="174">
        <v>50</v>
      </c>
      <c r="D56" s="5">
        <f t="shared" si="28"/>
        <v>24</v>
      </c>
      <c r="E56" s="451">
        <f t="shared" si="15"/>
        <v>695386.58000000007</v>
      </c>
      <c r="F56" s="221">
        <f t="shared" si="16"/>
        <v>0.99996548801428931</v>
      </c>
      <c r="G56" s="176">
        <f t="shared" si="17"/>
        <v>8.0997204529157436</v>
      </c>
      <c r="H56" s="221">
        <f t="shared" si="18"/>
        <v>0.5399813635277162</v>
      </c>
      <c r="I56" s="451">
        <f t="shared" si="19"/>
        <v>695410.58000000007</v>
      </c>
      <c r="J56" s="176">
        <f t="shared" si="20"/>
        <v>0.13889368238567068</v>
      </c>
      <c r="K56" s="176">
        <f t="shared" si="21"/>
        <v>0.17361710298208835</v>
      </c>
      <c r="L56" s="176">
        <f t="shared" si="22"/>
        <v>5.9920777757461464E-6</v>
      </c>
      <c r="M56" s="451">
        <f t="shared" si="14"/>
        <v>350</v>
      </c>
      <c r="N56" s="201">
        <f t="shared" si="23"/>
        <v>350</v>
      </c>
      <c r="O56" s="221">
        <f t="shared" si="24"/>
        <v>2.2856354011755182</v>
      </c>
      <c r="P56" s="177">
        <f t="shared" si="25"/>
        <v>9.8605673459021225E-5</v>
      </c>
      <c r="Q56" s="177">
        <f t="shared" si="26"/>
        <v>1.8020156525828219</v>
      </c>
      <c r="R56" s="177">
        <f t="shared" si="27"/>
        <v>6.4712206554230591E-6</v>
      </c>
    </row>
    <row r="57" spans="3:18" x14ac:dyDescent="0.25">
      <c r="C57" s="174">
        <v>51</v>
      </c>
      <c r="D57" s="5">
        <f t="shared" si="28"/>
        <v>24.08</v>
      </c>
      <c r="E57" s="451">
        <f t="shared" si="15"/>
        <v>695386.58000000007</v>
      </c>
      <c r="F57" s="221">
        <f t="shared" si="16"/>
        <v>0.99996537297832055</v>
      </c>
      <c r="G57" s="176">
        <f t="shared" si="17"/>
        <v>8.1267185861948121</v>
      </c>
      <c r="H57" s="221">
        <f t="shared" si="18"/>
        <v>0.54178123907965414</v>
      </c>
      <c r="I57" s="451">
        <f t="shared" si="19"/>
        <v>695410.66</v>
      </c>
      <c r="J57" s="176">
        <f t="shared" si="20"/>
        <v>0.13843225750564114</v>
      </c>
      <c r="K57" s="176">
        <f t="shared" si="21"/>
        <v>0.17246543709174564</v>
      </c>
      <c r="L57" s="176">
        <f t="shared" si="22"/>
        <v>5.9721712276489917E-6</v>
      </c>
      <c r="M57" s="451">
        <f t="shared" si="14"/>
        <v>350</v>
      </c>
      <c r="N57" s="201">
        <f t="shared" si="23"/>
        <v>350</v>
      </c>
      <c r="O57" s="221">
        <f t="shared" si="24"/>
        <v>2.2932539220302814</v>
      </c>
      <c r="P57" s="177">
        <f t="shared" si="25"/>
        <v>9.8934347655815335E-5</v>
      </c>
      <c r="Q57" s="177">
        <f t="shared" si="26"/>
        <v>1.8140486952866728</v>
      </c>
      <c r="R57" s="177">
        <f t="shared" si="27"/>
        <v>6.4712206554230591E-6</v>
      </c>
    </row>
    <row r="58" spans="3:18" x14ac:dyDescent="0.25">
      <c r="C58" s="174">
        <v>52</v>
      </c>
      <c r="D58" s="5">
        <f t="shared" si="28"/>
        <v>24.16</v>
      </c>
      <c r="E58" s="451">
        <f t="shared" si="15"/>
        <v>695386.58000000007</v>
      </c>
      <c r="F58" s="221">
        <f t="shared" si="16"/>
        <v>0.99996525794237801</v>
      </c>
      <c r="G58" s="176">
        <f t="shared" si="17"/>
        <v>8.1537167132621509</v>
      </c>
      <c r="H58" s="221">
        <f t="shared" si="18"/>
        <v>0.54358111421747668</v>
      </c>
      <c r="I58" s="451">
        <f t="shared" si="19"/>
        <v>695410.74000000011</v>
      </c>
      <c r="J58" s="176">
        <f t="shared" si="20"/>
        <v>0.13797388841951913</v>
      </c>
      <c r="K58" s="176">
        <f t="shared" si="21"/>
        <v>0.17132519257390622</v>
      </c>
      <c r="L58" s="176">
        <f t="shared" si="22"/>
        <v>5.9523965109961906E-6</v>
      </c>
      <c r="M58" s="451">
        <f t="shared" si="14"/>
        <v>350</v>
      </c>
      <c r="N58" s="201">
        <f t="shared" si="23"/>
        <v>350</v>
      </c>
      <c r="O58" s="221">
        <f t="shared" si="24"/>
        <v>2.3008724411321761</v>
      </c>
      <c r="P58" s="177">
        <f t="shared" si="25"/>
        <v>9.9263021776988105E-5</v>
      </c>
      <c r="Q58" s="177">
        <f t="shared" si="26"/>
        <v>1.8261217772272067</v>
      </c>
      <c r="R58" s="177">
        <f t="shared" si="27"/>
        <v>6.4712206554230591E-6</v>
      </c>
    </row>
    <row r="59" spans="3:18" x14ac:dyDescent="0.25">
      <c r="C59" s="174">
        <v>53</v>
      </c>
      <c r="D59" s="5">
        <f t="shared" si="28"/>
        <v>24.240000000000002</v>
      </c>
      <c r="E59" s="451">
        <f t="shared" si="15"/>
        <v>695386.58000000007</v>
      </c>
      <c r="F59" s="221">
        <f t="shared" si="16"/>
        <v>0.9999651429064621</v>
      </c>
      <c r="G59" s="176">
        <f t="shared" si="17"/>
        <v>8.1807148341177669</v>
      </c>
      <c r="H59" s="221">
        <f t="shared" si="18"/>
        <v>0.54538098894118447</v>
      </c>
      <c r="I59" s="451">
        <f t="shared" si="19"/>
        <v>695410.82000000007</v>
      </c>
      <c r="J59" s="176">
        <f t="shared" si="20"/>
        <v>0.13751854487191928</v>
      </c>
      <c r="K59" s="176">
        <f t="shared" si="21"/>
        <v>0.17019621890089018</v>
      </c>
      <c r="L59" s="176">
        <f t="shared" si="22"/>
        <v>5.9327523205259126E-6</v>
      </c>
      <c r="M59" s="451">
        <f t="shared" si="14"/>
        <v>350</v>
      </c>
      <c r="N59" s="201">
        <f t="shared" si="23"/>
        <v>350</v>
      </c>
      <c r="O59" s="221">
        <f t="shared" si="24"/>
        <v>2.3084909584812037</v>
      </c>
      <c r="P59" s="177">
        <f t="shared" si="25"/>
        <v>9.9591695822539604E-5</v>
      </c>
      <c r="Q59" s="177">
        <f t="shared" si="26"/>
        <v>1.8382348983767869</v>
      </c>
      <c r="R59" s="177">
        <f t="shared" si="27"/>
        <v>6.4712206554230591E-6</v>
      </c>
    </row>
    <row r="60" spans="3:18" x14ac:dyDescent="0.25">
      <c r="C60" s="174">
        <v>54</v>
      </c>
      <c r="D60" s="5">
        <f t="shared" si="28"/>
        <v>24.32</v>
      </c>
      <c r="E60" s="451">
        <f t="shared" si="15"/>
        <v>695386.58000000007</v>
      </c>
      <c r="F60" s="221">
        <f t="shared" si="16"/>
        <v>0.99996502787057273</v>
      </c>
      <c r="G60" s="176">
        <f t="shared" si="17"/>
        <v>8.2077129487616602</v>
      </c>
      <c r="H60" s="221">
        <f t="shared" si="18"/>
        <v>0.54718086325077731</v>
      </c>
      <c r="I60" s="451">
        <f t="shared" si="19"/>
        <v>695410.9</v>
      </c>
      <c r="J60" s="176">
        <f t="shared" si="20"/>
        <v>0.1370661970055537</v>
      </c>
      <c r="K60" s="176">
        <f t="shared" si="21"/>
        <v>0.16907836801671919</v>
      </c>
      <c r="L60" s="176">
        <f t="shared" si="22"/>
        <v>5.9132373681508358E-6</v>
      </c>
      <c r="M60" s="451">
        <f t="shared" si="14"/>
        <v>350</v>
      </c>
      <c r="N60" s="201">
        <f t="shared" si="23"/>
        <v>350</v>
      </c>
      <c r="O60" s="221">
        <f t="shared" si="24"/>
        <v>2.3161094740773644</v>
      </c>
      <c r="P60" s="177">
        <f t="shared" si="25"/>
        <v>9.9920369792469858E-5</v>
      </c>
      <c r="Q60" s="177">
        <f t="shared" si="26"/>
        <v>1.8503880587077763</v>
      </c>
      <c r="R60" s="177">
        <f t="shared" si="27"/>
        <v>6.4712206554230591E-6</v>
      </c>
    </row>
    <row r="61" spans="3:18" x14ac:dyDescent="0.25">
      <c r="C61" s="174">
        <v>55</v>
      </c>
      <c r="D61" s="5">
        <f t="shared" si="28"/>
        <v>24.4</v>
      </c>
      <c r="E61" s="451">
        <f t="shared" si="15"/>
        <v>695386.58000000007</v>
      </c>
      <c r="F61" s="221">
        <f t="shared" si="16"/>
        <v>0.99996491283470956</v>
      </c>
      <c r="G61" s="176">
        <f t="shared" si="17"/>
        <v>8.2347110571938344</v>
      </c>
      <c r="H61" s="221">
        <f t="shared" si="18"/>
        <v>0.54898073714625562</v>
      </c>
      <c r="I61" s="451">
        <f t="shared" si="19"/>
        <v>695410.9800000001</v>
      </c>
      <c r="J61" s="176">
        <f t="shared" si="20"/>
        <v>0.1366168153547053</v>
      </c>
      <c r="K61" s="176">
        <f t="shared" si="21"/>
        <v>0.16797149428857211</v>
      </c>
      <c r="L61" s="176">
        <f t="shared" si="22"/>
        <v>5.8938503826765805E-6</v>
      </c>
      <c r="M61" s="451">
        <f t="shared" si="14"/>
        <v>350</v>
      </c>
      <c r="N61" s="201">
        <f t="shared" si="23"/>
        <v>350</v>
      </c>
      <c r="O61" s="221">
        <f t="shared" si="24"/>
        <v>2.3237279879206585</v>
      </c>
      <c r="P61" s="177">
        <f t="shared" si="25"/>
        <v>1.0024904368677887E-4</v>
      </c>
      <c r="Q61" s="177">
        <f t="shared" si="26"/>
        <v>1.8625812581925365</v>
      </c>
      <c r="R61" s="177">
        <f t="shared" si="27"/>
        <v>6.4712206554230591E-6</v>
      </c>
    </row>
    <row r="62" spans="3:18" x14ac:dyDescent="0.25">
      <c r="C62" s="174">
        <v>56</v>
      </c>
      <c r="D62" s="5">
        <f t="shared" si="28"/>
        <v>24.48</v>
      </c>
      <c r="E62" s="451">
        <f t="shared" si="15"/>
        <v>695386.58000000007</v>
      </c>
      <c r="F62" s="221">
        <f t="shared" si="16"/>
        <v>0.99996479779887315</v>
      </c>
      <c r="G62" s="176">
        <f t="shared" si="17"/>
        <v>8.2617091594142895</v>
      </c>
      <c r="H62" s="221">
        <f t="shared" si="18"/>
        <v>0.55078061062761929</v>
      </c>
      <c r="I62" s="451">
        <f t="shared" si="19"/>
        <v>695411.06</v>
      </c>
      <c r="J62" s="176">
        <f t="shared" si="20"/>
        <v>0.13617037083882971</v>
      </c>
      <c r="K62" s="176">
        <f t="shared" si="21"/>
        <v>0.16687545445935015</v>
      </c>
      <c r="L62" s="176">
        <f t="shared" si="22"/>
        <v>5.874590109525684E-6</v>
      </c>
      <c r="M62" s="451">
        <f t="shared" si="14"/>
        <v>350</v>
      </c>
      <c r="N62" s="201">
        <f t="shared" si="23"/>
        <v>350</v>
      </c>
      <c r="O62" s="221">
        <f t="shared" si="24"/>
        <v>2.3313465000110867</v>
      </c>
      <c r="P62" s="177">
        <f t="shared" si="25"/>
        <v>1.0057771750546666E-4</v>
      </c>
      <c r="Q62" s="177">
        <f t="shared" si="26"/>
        <v>1.8748144968034299</v>
      </c>
      <c r="R62" s="177">
        <f t="shared" si="27"/>
        <v>6.4712206554230591E-6</v>
      </c>
    </row>
    <row r="63" spans="3:18" x14ac:dyDescent="0.25">
      <c r="C63" s="174">
        <v>57</v>
      </c>
      <c r="D63" s="5">
        <f t="shared" si="28"/>
        <v>24.56</v>
      </c>
      <c r="E63" s="451">
        <f t="shared" si="15"/>
        <v>695386.58000000007</v>
      </c>
      <c r="F63" s="221">
        <f t="shared" si="16"/>
        <v>0.99996468276306294</v>
      </c>
      <c r="G63" s="176">
        <f t="shared" si="17"/>
        <v>8.2887072554230272</v>
      </c>
      <c r="H63" s="221">
        <f t="shared" si="18"/>
        <v>0.55258048369486845</v>
      </c>
      <c r="I63" s="451">
        <f t="shared" si="19"/>
        <v>695411.14000000013</v>
      </c>
      <c r="J63" s="176">
        <f t="shared" si="20"/>
        <v>0.13572683475628236</v>
      </c>
      <c r="K63" s="176">
        <f t="shared" si="21"/>
        <v>0.1657901076013221</v>
      </c>
      <c r="L63" s="176">
        <f t="shared" si="22"/>
        <v>5.8554553104669786E-6</v>
      </c>
      <c r="M63" s="451">
        <f t="shared" si="14"/>
        <v>350</v>
      </c>
      <c r="N63" s="201">
        <f t="shared" si="23"/>
        <v>350</v>
      </c>
      <c r="O63" s="221">
        <f t="shared" si="24"/>
        <v>2.3389650103486499</v>
      </c>
      <c r="P63" s="177">
        <f t="shared" si="25"/>
        <v>1.0090639124853329E-4</v>
      </c>
      <c r="Q63" s="177">
        <f t="shared" si="26"/>
        <v>1.8870877745128196</v>
      </c>
      <c r="R63" s="177">
        <f t="shared" si="27"/>
        <v>6.4712206554230591E-6</v>
      </c>
    </row>
    <row r="64" spans="3:18" x14ac:dyDescent="0.25">
      <c r="C64" s="174">
        <v>58</v>
      </c>
      <c r="D64" s="5">
        <f t="shared" si="28"/>
        <v>24.64</v>
      </c>
      <c r="E64" s="451">
        <f t="shared" si="15"/>
        <v>695386.58000000007</v>
      </c>
      <c r="F64" s="221">
        <f t="shared" si="16"/>
        <v>0.99996456772727937</v>
      </c>
      <c r="G64" s="176">
        <f t="shared" si="17"/>
        <v>8.3157053452200547</v>
      </c>
      <c r="H64" s="221">
        <f t="shared" si="18"/>
        <v>0.55438035634800364</v>
      </c>
      <c r="I64" s="451">
        <f t="shared" si="19"/>
        <v>695411.22000000009</v>
      </c>
      <c r="J64" s="176">
        <f t="shared" si="20"/>
        <v>0.13528617877816707</v>
      </c>
      <c r="K64" s="176">
        <f t="shared" si="21"/>
        <v>0.16471531507082027</v>
      </c>
      <c r="L64" s="176">
        <f t="shared" si="22"/>
        <v>5.8364447633502096E-6</v>
      </c>
      <c r="M64" s="451">
        <f t="shared" si="14"/>
        <v>350</v>
      </c>
      <c r="N64" s="201">
        <f t="shared" si="23"/>
        <v>350</v>
      </c>
      <c r="O64" s="221">
        <f t="shared" si="24"/>
        <v>2.346583518933349</v>
      </c>
      <c r="P64" s="177">
        <f t="shared" si="25"/>
        <v>1.0123506491597879E-4</v>
      </c>
      <c r="Q64" s="177">
        <f t="shared" si="26"/>
        <v>1.8994010912930688</v>
      </c>
      <c r="R64" s="177">
        <f t="shared" si="27"/>
        <v>6.4712206554230591E-6</v>
      </c>
    </row>
    <row r="65" spans="3:18" x14ac:dyDescent="0.25">
      <c r="C65" s="174">
        <v>59</v>
      </c>
      <c r="D65" s="5">
        <f t="shared" si="28"/>
        <v>24.72</v>
      </c>
      <c r="E65" s="451">
        <f t="shared" si="15"/>
        <v>695386.58000000007</v>
      </c>
      <c r="F65" s="221">
        <f t="shared" si="16"/>
        <v>0.99996445269152234</v>
      </c>
      <c r="G65" s="176">
        <f t="shared" si="17"/>
        <v>8.3427034288053701</v>
      </c>
      <c r="H65" s="221">
        <f t="shared" si="18"/>
        <v>0.55618022858702465</v>
      </c>
      <c r="I65" s="451">
        <f t="shared" si="19"/>
        <v>695411.3</v>
      </c>
      <c r="J65" s="176">
        <f t="shared" si="20"/>
        <v>0.13484837494230498</v>
      </c>
      <c r="K65" s="176">
        <f t="shared" si="21"/>
        <v>0.16365094046396236</v>
      </c>
      <c r="L65" s="176">
        <f t="shared" si="22"/>
        <v>5.8175572618458487E-6</v>
      </c>
      <c r="M65" s="451">
        <f t="shared" si="14"/>
        <v>350</v>
      </c>
      <c r="N65" s="201">
        <f t="shared" si="23"/>
        <v>350</v>
      </c>
      <c r="O65" s="221">
        <f t="shared" si="24"/>
        <v>2.3542020257651837</v>
      </c>
      <c r="P65" s="177">
        <f t="shared" si="25"/>
        <v>1.015637385078031E-4</v>
      </c>
      <c r="Q65" s="177">
        <f t="shared" si="26"/>
        <v>1.9117544471165373</v>
      </c>
      <c r="R65" s="177">
        <f t="shared" si="27"/>
        <v>6.4712206554230591E-6</v>
      </c>
    </row>
    <row r="66" spans="3:18" x14ac:dyDescent="0.25">
      <c r="C66" s="174">
        <v>60</v>
      </c>
      <c r="D66" s="5">
        <f t="shared" si="28"/>
        <v>24.8</v>
      </c>
      <c r="E66" s="451">
        <f t="shared" si="15"/>
        <v>695386.58000000007</v>
      </c>
      <c r="F66" s="221">
        <f t="shared" si="16"/>
        <v>0.99996433765579151</v>
      </c>
      <c r="G66" s="176">
        <f t="shared" si="17"/>
        <v>8.3697015061789752</v>
      </c>
      <c r="H66" s="221">
        <f t="shared" si="18"/>
        <v>0.55798010041193169</v>
      </c>
      <c r="I66" s="451">
        <f t="shared" si="19"/>
        <v>695411.38000000012</v>
      </c>
      <c r="J66" s="176">
        <f t="shared" si="20"/>
        <v>0.13441339564731944</v>
      </c>
      <c r="K66" s="176">
        <f t="shared" si="21"/>
        <v>0.16259684957337028</v>
      </c>
      <c r="L66" s="176">
        <f t="shared" si="22"/>
        <v>5.798791615189904E-6</v>
      </c>
      <c r="M66" s="451">
        <f t="shared" si="14"/>
        <v>350</v>
      </c>
      <c r="N66" s="201">
        <f t="shared" si="23"/>
        <v>350</v>
      </c>
      <c r="O66" s="221">
        <f t="shared" si="24"/>
        <v>2.3618205308441556</v>
      </c>
      <c r="P66" s="177">
        <f t="shared" si="25"/>
        <v>1.0189241202400636E-4</v>
      </c>
      <c r="Q66" s="177">
        <f t="shared" si="26"/>
        <v>1.9241478419555906</v>
      </c>
      <c r="R66" s="177">
        <f t="shared" si="27"/>
        <v>6.4712206554230591E-6</v>
      </c>
    </row>
    <row r="67" spans="3:18" x14ac:dyDescent="0.25">
      <c r="C67" s="174">
        <v>61</v>
      </c>
      <c r="D67" s="5">
        <f t="shared" si="28"/>
        <v>24.88</v>
      </c>
      <c r="E67" s="451">
        <f t="shared" si="15"/>
        <v>695386.58000000007</v>
      </c>
      <c r="F67" s="221">
        <f t="shared" si="16"/>
        <v>0.99996422262008744</v>
      </c>
      <c r="G67" s="176">
        <f t="shared" si="17"/>
        <v>8.3966995773408755</v>
      </c>
      <c r="H67" s="221">
        <f t="shared" si="18"/>
        <v>0.55977997182272499</v>
      </c>
      <c r="I67" s="451">
        <f t="shared" si="19"/>
        <v>695411.46000000008</v>
      </c>
      <c r="J67" s="176">
        <f t="shared" si="20"/>
        <v>0.13398121364683538</v>
      </c>
      <c r="K67" s="176">
        <f t="shared" si="21"/>
        <v>0.16155291034586261</v>
      </c>
      <c r="L67" s="176">
        <f t="shared" si="22"/>
        <v>5.7801466479336737E-6</v>
      </c>
      <c r="M67" s="451">
        <f t="shared" si="14"/>
        <v>350</v>
      </c>
      <c r="N67" s="201">
        <f t="shared" si="23"/>
        <v>350</v>
      </c>
      <c r="O67" s="221">
        <f t="shared" si="24"/>
        <v>2.3694390341702642</v>
      </c>
      <c r="P67" s="177">
        <f t="shared" si="25"/>
        <v>1.0222108546458853E-4</v>
      </c>
      <c r="Q67" s="177">
        <f t="shared" si="26"/>
        <v>1.9365812757825887</v>
      </c>
      <c r="R67" s="177">
        <f t="shared" si="27"/>
        <v>6.4712206554230591E-6</v>
      </c>
    </row>
    <row r="68" spans="3:18" x14ac:dyDescent="0.25">
      <c r="C68" s="174">
        <v>62</v>
      </c>
      <c r="D68" s="5">
        <f t="shared" si="28"/>
        <v>24.96</v>
      </c>
      <c r="E68" s="451">
        <f t="shared" si="15"/>
        <v>695386.58000000007</v>
      </c>
      <c r="F68" s="221">
        <f t="shared" si="16"/>
        <v>0.99996410758440968</v>
      </c>
      <c r="G68" s="176">
        <f t="shared" si="17"/>
        <v>8.4236976422910672</v>
      </c>
      <c r="H68" s="221">
        <f t="shared" si="18"/>
        <v>0.56157984281940443</v>
      </c>
      <c r="I68" s="451">
        <f t="shared" si="19"/>
        <v>695411.54</v>
      </c>
      <c r="J68" s="176">
        <f t="shared" si="20"/>
        <v>0.13355180204379033</v>
      </c>
      <c r="K68" s="176">
        <f t="shared" si="21"/>
        <v>0.16051899284109414</v>
      </c>
      <c r="L68" s="176">
        <f t="shared" si="22"/>
        <v>5.7616211996983164E-6</v>
      </c>
      <c r="M68" s="451">
        <f t="shared" si="14"/>
        <v>350</v>
      </c>
      <c r="N68" s="201">
        <f t="shared" si="23"/>
        <v>350</v>
      </c>
      <c r="O68" s="221">
        <f t="shared" si="24"/>
        <v>2.3770575357435111</v>
      </c>
      <c r="P68" s="177">
        <f t="shared" si="25"/>
        <v>1.0254975882954964E-4</v>
      </c>
      <c r="Q68" s="177">
        <f t="shared" si="26"/>
        <v>1.9490547485698959</v>
      </c>
      <c r="R68" s="177">
        <f t="shared" si="27"/>
        <v>6.4712206554230591E-6</v>
      </c>
    </row>
    <row r="69" spans="3:18" x14ac:dyDescent="0.25">
      <c r="C69" s="174">
        <v>63</v>
      </c>
      <c r="D69" s="5">
        <f t="shared" si="28"/>
        <v>25.04</v>
      </c>
      <c r="E69" s="451">
        <f t="shared" si="15"/>
        <v>695386.58000000007</v>
      </c>
      <c r="F69" s="221">
        <f t="shared" si="16"/>
        <v>0.99996399254875834</v>
      </c>
      <c r="G69" s="176">
        <f t="shared" si="17"/>
        <v>8.4506957010295576</v>
      </c>
      <c r="H69" s="221">
        <f t="shared" si="18"/>
        <v>0.56337971340197046</v>
      </c>
      <c r="I69" s="451">
        <f t="shared" si="19"/>
        <v>695411.62000000011</v>
      </c>
      <c r="J69" s="176">
        <f t="shared" si="20"/>
        <v>0.1331251342848542</v>
      </c>
      <c r="K69" s="176">
        <f t="shared" si="21"/>
        <v>0.15949496919111925</v>
      </c>
      <c r="L69" s="176">
        <f t="shared" si="22"/>
        <v>5.7432141249341133E-6</v>
      </c>
      <c r="M69" s="451">
        <f t="shared" si="14"/>
        <v>350</v>
      </c>
      <c r="N69" s="201">
        <f t="shared" si="23"/>
        <v>350</v>
      </c>
      <c r="O69" s="221">
        <f t="shared" si="24"/>
        <v>2.3846760355638961</v>
      </c>
      <c r="P69" s="177">
        <f t="shared" si="25"/>
        <v>1.0287843211888973E-4</v>
      </c>
      <c r="Q69" s="177">
        <f t="shared" si="26"/>
        <v>1.9615682602898741</v>
      </c>
      <c r="R69" s="177">
        <f t="shared" si="27"/>
        <v>6.4712206554230591E-6</v>
      </c>
    </row>
    <row r="70" spans="3:18" x14ac:dyDescent="0.25">
      <c r="C70" s="174">
        <v>64</v>
      </c>
      <c r="D70" s="5">
        <f t="shared" si="28"/>
        <v>25.12</v>
      </c>
      <c r="E70" s="451">
        <f t="shared" ref="E70:E106" si="29">(Vout+Vfwd1)*Nps</f>
        <v>695386.58000000007</v>
      </c>
      <c r="F70" s="221">
        <f t="shared" ref="F70:F106" si="30">(Vout+Vfwd1)*Nps/((Vout+Vfwd1)*Nps+D70)</f>
        <v>0.99996387751313365</v>
      </c>
      <c r="G70" s="176">
        <f t="shared" ref="G70:G101" si="31">F70*D70*Isw_max*0.5*Efficiency</f>
        <v>8.4776937535563484</v>
      </c>
      <c r="H70" s="221">
        <f t="shared" ref="H70:H101" si="32">G70/Vout</f>
        <v>0.56517958357042319</v>
      </c>
      <c r="I70" s="451">
        <f t="shared" ref="I70:I106" si="33">(Vout+Vfwd1)*Nps+D70</f>
        <v>695411.70000000007</v>
      </c>
      <c r="J70" s="176">
        <f t="shared" ref="J70:J106" si="34">MIN(2*Vout*Iout/(Efficiency*D70*F70), 1.35)</f>
        <v>0.13270118415495588</v>
      </c>
      <c r="K70" s="176">
        <f t="shared" ref="K70:K101" si="35">L*J70/D70*1000000</f>
        <v>0.15848071356085494</v>
      </c>
      <c r="L70" s="176">
        <f t="shared" ref="L70:L106" si="36">L*J70/((Vout+Vfwd1)*Nps)*1000000</f>
        <v>5.7249242926843311E-6</v>
      </c>
      <c r="M70" s="451">
        <f t="shared" si="14"/>
        <v>350</v>
      </c>
      <c r="N70" s="201">
        <f t="shared" ref="N70:N106" si="37">IF(1/((350000*L)*(1/D70+1/E70))&gt;Isw_min, 350, 0.001/((Isw_min*L)*(1/D70+1/E70)))</f>
        <v>350</v>
      </c>
      <c r="O70" s="221">
        <f t="shared" ref="O70:O101" si="38">1/((N70*1000*L)*(1/D70+1/E70))</f>
        <v>2.3922945336314205</v>
      </c>
      <c r="P70" s="177">
        <f t="shared" ref="P70:P101" si="39">L*O70/E70*1000000</f>
        <v>1.0320710533260884E-4</v>
      </c>
      <c r="Q70" s="177">
        <f t="shared" ref="Q70:Q101" si="40">0.5*P70*O70*Nps*N70/1000</f>
        <v>1.9741218109148868</v>
      </c>
      <c r="R70" s="177">
        <f t="shared" ref="R70:R106" si="41">L*Isw_min/E70*1000000</f>
        <v>6.4712206554230591E-6</v>
      </c>
    </row>
    <row r="71" spans="3:18" x14ac:dyDescent="0.25">
      <c r="C71" s="174">
        <v>65</v>
      </c>
      <c r="D71" s="5">
        <f t="shared" ref="D71:D102" si="42">C71/100*(VIN_max-VIN_min)+VIN_min</f>
        <v>25.2</v>
      </c>
      <c r="E71" s="451">
        <f t="shared" si="29"/>
        <v>695386.58000000007</v>
      </c>
      <c r="F71" s="221">
        <f t="shared" si="30"/>
        <v>0.99996376247753527</v>
      </c>
      <c r="G71" s="176">
        <f t="shared" si="31"/>
        <v>8.5046917998714378</v>
      </c>
      <c r="H71" s="221">
        <f t="shared" si="32"/>
        <v>0.56697945332476252</v>
      </c>
      <c r="I71" s="451">
        <f t="shared" si="33"/>
        <v>695411.78</v>
      </c>
      <c r="J71" s="176">
        <f t="shared" si="34"/>
        <v>0.13227992577191405</v>
      </c>
      <c r="K71" s="176">
        <f t="shared" si="35"/>
        <v>0.15747610210942148</v>
      </c>
      <c r="L71" s="176">
        <f t="shared" si="36"/>
        <v>5.706750586353595E-6</v>
      </c>
      <c r="M71" s="451">
        <f t="shared" ref="M71:M106" si="43">MIN(1/(K71+L71)*1000, 350)</f>
        <v>350</v>
      </c>
      <c r="N71" s="201">
        <f t="shared" si="37"/>
        <v>350</v>
      </c>
      <c r="O71" s="221">
        <f t="shared" si="38"/>
        <v>2.3999130299460849</v>
      </c>
      <c r="P71" s="177">
        <f t="shared" si="39"/>
        <v>1.0353577847070695E-4</v>
      </c>
      <c r="Q71" s="177">
        <f t="shared" si="40"/>
        <v>1.9867154004172951</v>
      </c>
      <c r="R71" s="177">
        <f t="shared" si="41"/>
        <v>6.4712206554230591E-6</v>
      </c>
    </row>
    <row r="72" spans="3:18" x14ac:dyDescent="0.25">
      <c r="C72" s="174">
        <v>66</v>
      </c>
      <c r="D72" s="5">
        <f t="shared" si="42"/>
        <v>25.28</v>
      </c>
      <c r="E72" s="451">
        <f t="shared" si="29"/>
        <v>695386.58000000007</v>
      </c>
      <c r="F72" s="221">
        <f t="shared" si="30"/>
        <v>0.99996364744196331</v>
      </c>
      <c r="G72" s="176">
        <f t="shared" si="31"/>
        <v>8.5316898399748311</v>
      </c>
      <c r="H72" s="221">
        <f t="shared" si="32"/>
        <v>0.56877932266498876</v>
      </c>
      <c r="I72" s="451">
        <f t="shared" si="33"/>
        <v>695411.8600000001</v>
      </c>
      <c r="J72" s="176">
        <f t="shared" si="34"/>
        <v>0.13186133358116997</v>
      </c>
      <c r="K72" s="176">
        <f t="shared" si="35"/>
        <v>0.15648101295233777</v>
      </c>
      <c r="L72" s="176">
        <f t="shared" si="36"/>
        <v>5.6886919034806491E-6</v>
      </c>
      <c r="M72" s="451">
        <f t="shared" si="43"/>
        <v>350</v>
      </c>
      <c r="N72" s="201">
        <f t="shared" si="37"/>
        <v>350</v>
      </c>
      <c r="O72" s="221">
        <f t="shared" si="38"/>
        <v>2.4075315245078892</v>
      </c>
      <c r="P72" s="177">
        <f t="shared" si="39"/>
        <v>1.0386445153318413E-4</v>
      </c>
      <c r="Q72" s="177">
        <f t="shared" si="40"/>
        <v>1.9993490287694626</v>
      </c>
      <c r="R72" s="177">
        <f t="shared" si="41"/>
        <v>6.4712206554230591E-6</v>
      </c>
    </row>
    <row r="73" spans="3:18" x14ac:dyDescent="0.25">
      <c r="C73" s="174">
        <v>67</v>
      </c>
      <c r="D73" s="5">
        <f t="shared" si="42"/>
        <v>25.36</v>
      </c>
      <c r="E73" s="451">
        <f t="shared" si="29"/>
        <v>695386.58000000007</v>
      </c>
      <c r="F73" s="221">
        <f t="shared" si="30"/>
        <v>0.999963532406418</v>
      </c>
      <c r="G73" s="176">
        <f t="shared" si="31"/>
        <v>8.558687873866532</v>
      </c>
      <c r="H73" s="221">
        <f t="shared" si="32"/>
        <v>0.57057919159110215</v>
      </c>
      <c r="I73" s="451">
        <f t="shared" si="33"/>
        <v>695411.94000000006</v>
      </c>
      <c r="J73" s="176">
        <f t="shared" si="34"/>
        <v>0.13144538235061987</v>
      </c>
      <c r="K73" s="176">
        <f t="shared" si="35"/>
        <v>0.15549532612455033</v>
      </c>
      <c r="L73" s="176">
        <f t="shared" si="36"/>
        <v>5.6707471555154194E-6</v>
      </c>
      <c r="M73" s="451">
        <f t="shared" si="43"/>
        <v>350</v>
      </c>
      <c r="N73" s="201">
        <f t="shared" si="37"/>
        <v>350</v>
      </c>
      <c r="O73" s="221">
        <f t="shared" si="38"/>
        <v>2.4151500173168343</v>
      </c>
      <c r="P73" s="177">
        <f t="shared" si="39"/>
        <v>1.0419312452004038E-4</v>
      </c>
      <c r="Q73" s="177">
        <f t="shared" si="40"/>
        <v>2.0120226959437515</v>
      </c>
      <c r="R73" s="177">
        <f t="shared" si="41"/>
        <v>6.4712206554230591E-6</v>
      </c>
    </row>
    <row r="74" spans="3:18" x14ac:dyDescent="0.25">
      <c r="C74" s="174">
        <v>68</v>
      </c>
      <c r="D74" s="5">
        <f t="shared" si="42"/>
        <v>25.44</v>
      </c>
      <c r="E74" s="451">
        <f t="shared" si="29"/>
        <v>695386.58000000007</v>
      </c>
      <c r="F74" s="221">
        <f t="shared" si="30"/>
        <v>0.99996341737089911</v>
      </c>
      <c r="G74" s="176">
        <f t="shared" si="31"/>
        <v>8.5856859015465421</v>
      </c>
      <c r="H74" s="221">
        <f t="shared" si="32"/>
        <v>0.5723790601031028</v>
      </c>
      <c r="I74" s="451">
        <f t="shared" si="33"/>
        <v>695412.02</v>
      </c>
      <c r="J74" s="176">
        <f t="shared" si="34"/>
        <v>0.13103204716554487</v>
      </c>
      <c r="K74" s="176">
        <f t="shared" si="35"/>
        <v>0.1545189235442746</v>
      </c>
      <c r="L74" s="176">
        <f t="shared" si="36"/>
        <v>5.6529152676002839E-6</v>
      </c>
      <c r="M74" s="451">
        <f t="shared" si="43"/>
        <v>350</v>
      </c>
      <c r="N74" s="201">
        <f t="shared" si="37"/>
        <v>350</v>
      </c>
      <c r="O74" s="221">
        <f t="shared" si="38"/>
        <v>2.4227685083729211</v>
      </c>
      <c r="P74" s="177">
        <f t="shared" si="39"/>
        <v>1.0452179743127575E-4</v>
      </c>
      <c r="Q74" s="177">
        <f t="shared" si="40"/>
        <v>2.0247364019125254</v>
      </c>
      <c r="R74" s="177">
        <f t="shared" si="41"/>
        <v>6.4712206554230591E-6</v>
      </c>
    </row>
    <row r="75" spans="3:18" x14ac:dyDescent="0.25">
      <c r="C75" s="174">
        <v>69</v>
      </c>
      <c r="D75" s="5">
        <f t="shared" si="42"/>
        <v>25.52</v>
      </c>
      <c r="E75" s="451">
        <f t="shared" si="29"/>
        <v>695386.58000000007</v>
      </c>
      <c r="F75" s="221">
        <f t="shared" si="30"/>
        <v>0.99996330233540653</v>
      </c>
      <c r="G75" s="176">
        <f t="shared" si="31"/>
        <v>8.6126839230148562</v>
      </c>
      <c r="H75" s="221">
        <f t="shared" si="32"/>
        <v>0.57417892820099037</v>
      </c>
      <c r="I75" s="451">
        <f t="shared" si="33"/>
        <v>695412.10000000009</v>
      </c>
      <c r="J75" s="176">
        <f t="shared" si="34"/>
        <v>0.13062130342363656</v>
      </c>
      <c r="K75" s="176">
        <f t="shared" si="35"/>
        <v>0.15355168897762919</v>
      </c>
      <c r="L75" s="176">
        <f t="shared" si="36"/>
        <v>5.6351951783554641E-6</v>
      </c>
      <c r="M75" s="451">
        <f t="shared" si="43"/>
        <v>350</v>
      </c>
      <c r="N75" s="201">
        <f t="shared" si="37"/>
        <v>350</v>
      </c>
      <c r="O75" s="221">
        <f t="shared" si="38"/>
        <v>2.4303869976761501</v>
      </c>
      <c r="P75" s="177">
        <f t="shared" si="39"/>
        <v>1.0485047026689026E-4</v>
      </c>
      <c r="Q75" s="177">
        <f t="shared" si="40"/>
        <v>2.0374901466481457</v>
      </c>
      <c r="R75" s="177">
        <f t="shared" si="41"/>
        <v>6.4712206554230591E-6</v>
      </c>
    </row>
    <row r="76" spans="3:18" x14ac:dyDescent="0.25">
      <c r="C76" s="174">
        <v>70</v>
      </c>
      <c r="D76" s="5">
        <f t="shared" si="42"/>
        <v>25.6</v>
      </c>
      <c r="E76" s="451">
        <f t="shared" si="29"/>
        <v>695386.58000000007</v>
      </c>
      <c r="F76" s="221">
        <f t="shared" si="30"/>
        <v>0.9999631872999406</v>
      </c>
      <c r="G76" s="176">
        <f t="shared" si="31"/>
        <v>8.6396819382714884</v>
      </c>
      <c r="H76" s="221">
        <f t="shared" si="32"/>
        <v>0.57597879588476586</v>
      </c>
      <c r="I76" s="451">
        <f t="shared" si="33"/>
        <v>695412.18</v>
      </c>
      <c r="J76" s="176">
        <f t="shared" si="34"/>
        <v>0.13021312683011513</v>
      </c>
      <c r="K76" s="176">
        <f t="shared" si="35"/>
        <v>0.15259350800404117</v>
      </c>
      <c r="L76" s="176">
        <f t="shared" si="36"/>
        <v>5.6175858396684244E-6</v>
      </c>
      <c r="M76" s="451">
        <f t="shared" si="43"/>
        <v>350</v>
      </c>
      <c r="N76" s="201">
        <f t="shared" si="37"/>
        <v>350</v>
      </c>
      <c r="O76" s="221">
        <f t="shared" si="38"/>
        <v>2.4380054852265216</v>
      </c>
      <c r="P76" s="177">
        <f t="shared" si="39"/>
        <v>1.0517914302688389E-4</v>
      </c>
      <c r="Q76" s="177">
        <f t="shared" si="40"/>
        <v>2.0502839301229749</v>
      </c>
      <c r="R76" s="177">
        <f t="shared" si="41"/>
        <v>6.4712206554230591E-6</v>
      </c>
    </row>
    <row r="77" spans="3:18" x14ac:dyDescent="0.25">
      <c r="C77" s="174">
        <v>71</v>
      </c>
      <c r="D77" s="5">
        <f t="shared" si="42"/>
        <v>25.68</v>
      </c>
      <c r="E77" s="451">
        <f t="shared" si="29"/>
        <v>695386.58000000007</v>
      </c>
      <c r="F77" s="221">
        <f t="shared" si="30"/>
        <v>0.99996307226450099</v>
      </c>
      <c r="G77" s="176">
        <f t="shared" si="31"/>
        <v>8.6666799473164318</v>
      </c>
      <c r="H77" s="221">
        <f t="shared" si="32"/>
        <v>0.57777866315442883</v>
      </c>
      <c r="I77" s="451">
        <f t="shared" si="33"/>
        <v>695412.26000000013</v>
      </c>
      <c r="J77" s="176">
        <f t="shared" si="34"/>
        <v>0.12980749339293965</v>
      </c>
      <c r="K77" s="176">
        <f t="shared" si="35"/>
        <v>0.15164426798240616</v>
      </c>
      <c r="L77" s="176">
        <f t="shared" si="36"/>
        <v>5.6000862164872226E-6</v>
      </c>
      <c r="M77" s="451">
        <f t="shared" si="43"/>
        <v>350</v>
      </c>
      <c r="N77" s="201">
        <f t="shared" si="37"/>
        <v>350</v>
      </c>
      <c r="O77" s="221">
        <f t="shared" si="38"/>
        <v>2.4456239710240371</v>
      </c>
      <c r="P77" s="177">
        <f t="shared" si="39"/>
        <v>1.0550781571125676E-4</v>
      </c>
      <c r="Q77" s="177">
        <f t="shared" si="40"/>
        <v>2.0631177523093789</v>
      </c>
      <c r="R77" s="177">
        <f t="shared" si="41"/>
        <v>6.4712206554230591E-6</v>
      </c>
    </row>
    <row r="78" spans="3:18" x14ac:dyDescent="0.25">
      <c r="C78" s="174">
        <v>72</v>
      </c>
      <c r="D78" s="5">
        <f t="shared" si="42"/>
        <v>25.759999999999998</v>
      </c>
      <c r="E78" s="451">
        <f t="shared" si="29"/>
        <v>695386.58000000007</v>
      </c>
      <c r="F78" s="221">
        <f t="shared" si="30"/>
        <v>0.99996295722908801</v>
      </c>
      <c r="G78" s="176">
        <f t="shared" si="31"/>
        <v>8.6936779501496915</v>
      </c>
      <c r="H78" s="221">
        <f t="shared" si="32"/>
        <v>0.57957853000997939</v>
      </c>
      <c r="I78" s="451">
        <f t="shared" si="33"/>
        <v>695412.34000000008</v>
      </c>
      <c r="J78" s="176">
        <f t="shared" si="34"/>
        <v>0.12940437941810687</v>
      </c>
      <c r="K78" s="176">
        <f t="shared" si="35"/>
        <v>0.15070385801798158</v>
      </c>
      <c r="L78" s="176">
        <f t="shared" si="36"/>
        <v>5.5826952866177047E-6</v>
      </c>
      <c r="M78" s="451">
        <f t="shared" si="43"/>
        <v>350</v>
      </c>
      <c r="N78" s="201">
        <f t="shared" si="37"/>
        <v>350</v>
      </c>
      <c r="O78" s="221">
        <f t="shared" si="38"/>
        <v>2.4532424550686955</v>
      </c>
      <c r="P78" s="177">
        <f t="shared" si="39"/>
        <v>1.058364883200088E-4</v>
      </c>
      <c r="Q78" s="177">
        <f t="shared" si="40"/>
        <v>2.075991613179716</v>
      </c>
      <c r="R78" s="177">
        <f t="shared" si="41"/>
        <v>6.4712206554230591E-6</v>
      </c>
    </row>
    <row r="79" spans="3:18" x14ac:dyDescent="0.25">
      <c r="C79" s="174">
        <v>73</v>
      </c>
      <c r="D79" s="5">
        <f t="shared" si="42"/>
        <v>25.84</v>
      </c>
      <c r="E79" s="451">
        <f t="shared" si="29"/>
        <v>695386.58000000007</v>
      </c>
      <c r="F79" s="221">
        <f t="shared" si="30"/>
        <v>0.99996284219370146</v>
      </c>
      <c r="G79" s="176">
        <f t="shared" si="31"/>
        <v>8.7206759467712711</v>
      </c>
      <c r="H79" s="221">
        <f t="shared" si="32"/>
        <v>0.58137839645141809</v>
      </c>
      <c r="I79" s="451">
        <f t="shared" si="33"/>
        <v>695412.42</v>
      </c>
      <c r="J79" s="176">
        <f t="shared" si="34"/>
        <v>0.12900376150503773</v>
      </c>
      <c r="K79" s="176">
        <f t="shared" si="35"/>
        <v>0.1497721689299974</v>
      </c>
      <c r="L79" s="176">
        <f t="shared" si="36"/>
        <v>5.5654120405244681E-6</v>
      </c>
      <c r="M79" s="451">
        <f t="shared" si="43"/>
        <v>350</v>
      </c>
      <c r="N79" s="201">
        <f t="shared" si="37"/>
        <v>350</v>
      </c>
      <c r="O79" s="221">
        <f t="shared" si="38"/>
        <v>2.4608609373604993</v>
      </c>
      <c r="P79" s="177">
        <f t="shared" si="39"/>
        <v>1.061651608531401E-4</v>
      </c>
      <c r="Q79" s="177">
        <f t="shared" si="40"/>
        <v>2.0889055127063521</v>
      </c>
      <c r="R79" s="177">
        <f t="shared" si="41"/>
        <v>6.4712206554230591E-6</v>
      </c>
    </row>
    <row r="80" spans="3:18" x14ac:dyDescent="0.25">
      <c r="C80" s="174">
        <v>74</v>
      </c>
      <c r="D80" s="5">
        <f t="shared" si="42"/>
        <v>25.92</v>
      </c>
      <c r="E80" s="451">
        <f t="shared" si="29"/>
        <v>695386.58000000007</v>
      </c>
      <c r="F80" s="221">
        <f t="shared" si="30"/>
        <v>0.99996272715834122</v>
      </c>
      <c r="G80" s="176">
        <f t="shared" si="31"/>
        <v>8.7476739371811689</v>
      </c>
      <c r="H80" s="221">
        <f t="shared" si="32"/>
        <v>0.5831782624787446</v>
      </c>
      <c r="I80" s="451">
        <f t="shared" si="33"/>
        <v>695412.50000000012</v>
      </c>
      <c r="J80" s="176">
        <f t="shared" si="34"/>
        <v>0.12860561654204927</v>
      </c>
      <c r="K80" s="176">
        <f t="shared" si="35"/>
        <v>0.14884909321996442</v>
      </c>
      <c r="L80" s="176">
        <f t="shared" si="36"/>
        <v>5.5482354811355108E-6</v>
      </c>
      <c r="M80" s="451">
        <f t="shared" si="43"/>
        <v>350</v>
      </c>
      <c r="N80" s="201">
        <f t="shared" si="37"/>
        <v>350</v>
      </c>
      <c r="O80" s="221">
        <f t="shared" si="38"/>
        <v>2.4684794178994482</v>
      </c>
      <c r="P80" s="177">
        <f t="shared" si="39"/>
        <v>1.0649383331065067E-4</v>
      </c>
      <c r="Q80" s="177">
        <f t="shared" si="40"/>
        <v>2.101859450861649</v>
      </c>
      <c r="R80" s="177">
        <f t="shared" si="41"/>
        <v>6.4712206554230591E-6</v>
      </c>
    </row>
    <row r="81" spans="3:18" x14ac:dyDescent="0.25">
      <c r="C81" s="174">
        <v>75</v>
      </c>
      <c r="D81" s="5">
        <f t="shared" si="42"/>
        <v>26</v>
      </c>
      <c r="E81" s="451">
        <f t="shared" si="29"/>
        <v>695386.58000000007</v>
      </c>
      <c r="F81" s="221">
        <f t="shared" si="30"/>
        <v>0.99996261212300763</v>
      </c>
      <c r="G81" s="176">
        <f t="shared" si="31"/>
        <v>8.774671921379392</v>
      </c>
      <c r="H81" s="221">
        <f t="shared" si="32"/>
        <v>0.58497812809195948</v>
      </c>
      <c r="I81" s="451">
        <f t="shared" si="33"/>
        <v>695412.58000000007</v>
      </c>
      <c r="J81" s="176">
        <f t="shared" si="34"/>
        <v>0.12820992170190998</v>
      </c>
      <c r="K81" s="176">
        <f t="shared" si="35"/>
        <v>0.14793452504066534</v>
      </c>
      <c r="L81" s="176">
        <f t="shared" si="36"/>
        <v>5.5311646236504863E-6</v>
      </c>
      <c r="M81" s="451">
        <f t="shared" si="43"/>
        <v>350</v>
      </c>
      <c r="N81" s="201">
        <f t="shared" si="37"/>
        <v>350</v>
      </c>
      <c r="O81" s="221">
        <f t="shared" si="38"/>
        <v>2.4760978966855425</v>
      </c>
      <c r="P81" s="177">
        <f t="shared" si="39"/>
        <v>1.068225056925405E-4</v>
      </c>
      <c r="Q81" s="177">
        <f t="shared" si="40"/>
        <v>2.1148534276179687</v>
      </c>
      <c r="R81" s="177">
        <f t="shared" si="41"/>
        <v>6.4712206554230591E-6</v>
      </c>
    </row>
    <row r="82" spans="3:18" x14ac:dyDescent="0.25">
      <c r="C82" s="174">
        <v>76</v>
      </c>
      <c r="D82" s="5">
        <f t="shared" si="42"/>
        <v>26.08</v>
      </c>
      <c r="E82" s="451">
        <f t="shared" si="29"/>
        <v>695386.58000000007</v>
      </c>
      <c r="F82" s="221">
        <f t="shared" si="30"/>
        <v>0.99996249708770046</v>
      </c>
      <c r="G82" s="176">
        <f t="shared" si="31"/>
        <v>8.8016698993659386</v>
      </c>
      <c r="H82" s="221">
        <f t="shared" si="32"/>
        <v>0.58677799329106262</v>
      </c>
      <c r="I82" s="451">
        <f t="shared" si="33"/>
        <v>695412.66</v>
      </c>
      <c r="J82" s="176">
        <f t="shared" si="34"/>
        <v>0.12781665443747711</v>
      </c>
      <c r="K82" s="176">
        <f t="shared" si="35"/>
        <v>0.14702836016580959</v>
      </c>
      <c r="L82" s="176">
        <f t="shared" si="36"/>
        <v>5.5141984953524883E-6</v>
      </c>
      <c r="M82" s="451">
        <f t="shared" si="43"/>
        <v>350</v>
      </c>
      <c r="N82" s="201">
        <f t="shared" si="37"/>
        <v>350</v>
      </c>
      <c r="O82" s="221">
        <f t="shared" si="38"/>
        <v>2.4837163737187833</v>
      </c>
      <c r="P82" s="177">
        <f t="shared" si="39"/>
        <v>1.0715117799880965E-4</v>
      </c>
      <c r="Q82" s="177">
        <f t="shared" si="40"/>
        <v>2.1278874429476744</v>
      </c>
      <c r="R82" s="177">
        <f t="shared" si="41"/>
        <v>6.4712206554230591E-6</v>
      </c>
    </row>
    <row r="83" spans="3:18" x14ac:dyDescent="0.25">
      <c r="C83" s="174">
        <v>77</v>
      </c>
      <c r="D83" s="5">
        <f t="shared" si="42"/>
        <v>26.16</v>
      </c>
      <c r="E83" s="451">
        <f t="shared" si="29"/>
        <v>695386.58000000007</v>
      </c>
      <c r="F83" s="221">
        <f t="shared" si="30"/>
        <v>0.99996238205241961</v>
      </c>
      <c r="G83" s="176">
        <f t="shared" si="31"/>
        <v>8.8286678711408122</v>
      </c>
      <c r="H83" s="221">
        <f t="shared" si="32"/>
        <v>0.58857785807605412</v>
      </c>
      <c r="I83" s="451">
        <f t="shared" si="33"/>
        <v>695412.74000000011</v>
      </c>
      <c r="J83" s="176">
        <f t="shared" si="34"/>
        <v>0.12742579247741381</v>
      </c>
      <c r="K83" s="176">
        <f t="shared" si="35"/>
        <v>0.14613049596033695</v>
      </c>
      <c r="L83" s="176">
        <f t="shared" si="36"/>
        <v>5.4973361354232846E-6</v>
      </c>
      <c r="M83" s="451">
        <f t="shared" si="43"/>
        <v>350</v>
      </c>
      <c r="N83" s="201">
        <f t="shared" si="37"/>
        <v>350</v>
      </c>
      <c r="O83" s="221">
        <f t="shared" si="38"/>
        <v>2.4913348489991716</v>
      </c>
      <c r="P83" s="177">
        <f t="shared" si="39"/>
        <v>1.0747985022945819E-4</v>
      </c>
      <c r="Q83" s="177">
        <f t="shared" si="40"/>
        <v>2.140961496823131</v>
      </c>
      <c r="R83" s="177">
        <f t="shared" si="41"/>
        <v>6.4712206554230591E-6</v>
      </c>
    </row>
    <row r="84" spans="3:18" x14ac:dyDescent="0.25">
      <c r="C84" s="174">
        <v>78</v>
      </c>
      <c r="D84" s="5">
        <f t="shared" si="42"/>
        <v>26.240000000000002</v>
      </c>
      <c r="E84" s="451">
        <f t="shared" si="29"/>
        <v>695386.58000000007</v>
      </c>
      <c r="F84" s="221">
        <f t="shared" si="30"/>
        <v>0.9999622670171654</v>
      </c>
      <c r="G84" s="176">
        <f t="shared" si="31"/>
        <v>8.8556658367040164</v>
      </c>
      <c r="H84" s="221">
        <f t="shared" si="32"/>
        <v>0.59037772244693443</v>
      </c>
      <c r="I84" s="451">
        <f t="shared" si="33"/>
        <v>695412.82000000007</v>
      </c>
      <c r="J84" s="176">
        <f t="shared" si="34"/>
        <v>0.12703731382198505</v>
      </c>
      <c r="K84" s="176">
        <f t="shared" si="35"/>
        <v>0.14524083135135485</v>
      </c>
      <c r="L84" s="176">
        <f t="shared" si="36"/>
        <v>5.4805765947619393E-6</v>
      </c>
      <c r="M84" s="451">
        <f t="shared" si="43"/>
        <v>350</v>
      </c>
      <c r="N84" s="201">
        <f t="shared" si="37"/>
        <v>350</v>
      </c>
      <c r="O84" s="221">
        <f t="shared" si="38"/>
        <v>2.4989533225267069</v>
      </c>
      <c r="P84" s="177">
        <f t="shared" si="39"/>
        <v>1.0780852238448605E-4</v>
      </c>
      <c r="Q84" s="177">
        <f t="shared" si="40"/>
        <v>2.1540755892166987</v>
      </c>
      <c r="R84" s="177">
        <f t="shared" si="41"/>
        <v>6.4712206554230591E-6</v>
      </c>
    </row>
    <row r="85" spans="3:18" x14ac:dyDescent="0.25">
      <c r="C85" s="174">
        <v>79</v>
      </c>
      <c r="D85" s="5">
        <f t="shared" si="42"/>
        <v>26.32</v>
      </c>
      <c r="E85" s="451">
        <f t="shared" si="29"/>
        <v>695386.58000000007</v>
      </c>
      <c r="F85" s="221">
        <f t="shared" si="30"/>
        <v>0.99996215198193772</v>
      </c>
      <c r="G85" s="176">
        <f t="shared" si="31"/>
        <v>8.882663796055553</v>
      </c>
      <c r="H85" s="221">
        <f t="shared" si="32"/>
        <v>0.59217758640370355</v>
      </c>
      <c r="I85" s="451">
        <f t="shared" si="33"/>
        <v>695412.9</v>
      </c>
      <c r="J85" s="176">
        <f t="shared" si="34"/>
        <v>0.12665119673892969</v>
      </c>
      <c r="K85" s="176">
        <f t="shared" si="35"/>
        <v>0.14435926679969188</v>
      </c>
      <c r="L85" s="176">
        <f t="shared" si="36"/>
        <v>5.4639189358067422E-6</v>
      </c>
      <c r="M85" s="451">
        <f t="shared" si="43"/>
        <v>350</v>
      </c>
      <c r="N85" s="201">
        <f t="shared" si="37"/>
        <v>350</v>
      </c>
      <c r="O85" s="221">
        <f t="shared" si="38"/>
        <v>2.5065717943013901</v>
      </c>
      <c r="P85" s="177">
        <f t="shared" si="39"/>
        <v>1.081371944638933E-4</v>
      </c>
      <c r="Q85" s="177">
        <f t="shared" si="40"/>
        <v>2.1672297201007407</v>
      </c>
      <c r="R85" s="177">
        <f t="shared" si="41"/>
        <v>6.4712206554230591E-6</v>
      </c>
    </row>
    <row r="86" spans="3:18" x14ac:dyDescent="0.25">
      <c r="C86" s="174">
        <v>80</v>
      </c>
      <c r="D86" s="5">
        <f t="shared" si="42"/>
        <v>26.4</v>
      </c>
      <c r="E86" s="451">
        <f t="shared" si="29"/>
        <v>695386.58000000007</v>
      </c>
      <c r="F86" s="221">
        <f t="shared" si="30"/>
        <v>0.99996203694673624</v>
      </c>
      <c r="G86" s="176">
        <f t="shared" si="31"/>
        <v>8.9096617491954184</v>
      </c>
      <c r="H86" s="221">
        <f t="shared" si="32"/>
        <v>0.59397744994636126</v>
      </c>
      <c r="I86" s="451">
        <f t="shared" si="33"/>
        <v>695412.9800000001</v>
      </c>
      <c r="J86" s="176">
        <f t="shared" si="34"/>
        <v>0.12626741975940808</v>
      </c>
      <c r="K86" s="176">
        <f t="shared" si="35"/>
        <v>0.14348570427205465</v>
      </c>
      <c r="L86" s="176">
        <f t="shared" si="36"/>
        <v>5.4473622323603693E-6</v>
      </c>
      <c r="M86" s="451">
        <f t="shared" si="43"/>
        <v>350</v>
      </c>
      <c r="N86" s="201">
        <f t="shared" si="37"/>
        <v>350</v>
      </c>
      <c r="O86" s="221">
        <f t="shared" si="38"/>
        <v>2.5141902643232226</v>
      </c>
      <c r="P86" s="177">
        <f t="shared" si="39"/>
        <v>1.0846586646767999E-4</v>
      </c>
      <c r="Q86" s="177">
        <f t="shared" si="40"/>
        <v>2.1804238894476211</v>
      </c>
      <c r="R86" s="177">
        <f t="shared" si="41"/>
        <v>6.4712206554230591E-6</v>
      </c>
    </row>
    <row r="87" spans="3:18" x14ac:dyDescent="0.25">
      <c r="C87" s="174">
        <v>81</v>
      </c>
      <c r="D87" s="5">
        <f t="shared" si="42"/>
        <v>26.48</v>
      </c>
      <c r="E87" s="451">
        <f t="shared" si="29"/>
        <v>695386.58000000007</v>
      </c>
      <c r="F87" s="221">
        <f t="shared" si="30"/>
        <v>0.99996192191156152</v>
      </c>
      <c r="G87" s="176">
        <f t="shared" si="31"/>
        <v>8.9366596961236251</v>
      </c>
      <c r="H87" s="221">
        <f t="shared" si="32"/>
        <v>0.59577731307490833</v>
      </c>
      <c r="I87" s="451">
        <f t="shared" si="33"/>
        <v>695413.06</v>
      </c>
      <c r="J87" s="176">
        <f t="shared" si="34"/>
        <v>0.12588596167402247</v>
      </c>
      <c r="K87" s="176">
        <f t="shared" si="35"/>
        <v>0.14262004721377169</v>
      </c>
      <c r="L87" s="176">
        <f t="shared" si="36"/>
        <v>5.430905569418199E-6</v>
      </c>
      <c r="M87" s="451">
        <f t="shared" si="43"/>
        <v>350</v>
      </c>
      <c r="N87" s="201">
        <f t="shared" si="37"/>
        <v>350</v>
      </c>
      <c r="O87" s="221">
        <f t="shared" si="38"/>
        <v>2.5218087325922047</v>
      </c>
      <c r="P87" s="177">
        <f t="shared" si="39"/>
        <v>1.0879453839584615E-4</v>
      </c>
      <c r="Q87" s="177">
        <f t="shared" si="40"/>
        <v>2.1936580972297035</v>
      </c>
      <c r="R87" s="177">
        <f t="shared" si="41"/>
        <v>6.4712206554230591E-6</v>
      </c>
    </row>
    <row r="88" spans="3:18" x14ac:dyDescent="0.25">
      <c r="C88" s="174">
        <v>82</v>
      </c>
      <c r="D88" s="5">
        <f t="shared" si="42"/>
        <v>26.56</v>
      </c>
      <c r="E88" s="451">
        <f t="shared" si="29"/>
        <v>695386.58000000007</v>
      </c>
      <c r="F88" s="221">
        <f t="shared" si="30"/>
        <v>0.99996180687641301</v>
      </c>
      <c r="G88" s="176">
        <f t="shared" si="31"/>
        <v>8.9636576368401659</v>
      </c>
      <c r="H88" s="221">
        <f t="shared" si="32"/>
        <v>0.59757717578934444</v>
      </c>
      <c r="I88" s="451">
        <f t="shared" si="33"/>
        <v>695413.14000000013</v>
      </c>
      <c r="J88" s="176">
        <f t="shared" si="34"/>
        <v>0.12550680152891033</v>
      </c>
      <c r="K88" s="176">
        <f t="shared" si="35"/>
        <v>0.14176220052211261</v>
      </c>
      <c r="L88" s="176">
        <f t="shared" si="36"/>
        <v>5.4145480429997792E-6</v>
      </c>
      <c r="M88" s="451">
        <f t="shared" si="43"/>
        <v>350</v>
      </c>
      <c r="N88" s="201">
        <f t="shared" si="37"/>
        <v>350</v>
      </c>
      <c r="O88" s="221">
        <f t="shared" si="38"/>
        <v>2.5294271991083361</v>
      </c>
      <c r="P88" s="177">
        <f t="shared" si="39"/>
        <v>1.0912321024839173E-4</v>
      </c>
      <c r="Q88" s="177">
        <f t="shared" si="40"/>
        <v>2.2069323434193469</v>
      </c>
      <c r="R88" s="177">
        <f t="shared" si="41"/>
        <v>6.4712206554230591E-6</v>
      </c>
    </row>
    <row r="89" spans="3:18" x14ac:dyDescent="0.25">
      <c r="C89" s="174">
        <v>83</v>
      </c>
      <c r="D89" s="5">
        <f t="shared" si="42"/>
        <v>26.64</v>
      </c>
      <c r="E89" s="451">
        <f t="shared" si="29"/>
        <v>695386.58000000007</v>
      </c>
      <c r="F89" s="221">
        <f t="shared" si="30"/>
        <v>0.99996169184129113</v>
      </c>
      <c r="G89" s="176">
        <f t="shared" si="31"/>
        <v>8.990655571345048</v>
      </c>
      <c r="H89" s="221">
        <f t="shared" si="32"/>
        <v>0.59937703808966991</v>
      </c>
      <c r="I89" s="451">
        <f t="shared" si="33"/>
        <v>695413.22000000009</v>
      </c>
      <c r="J89" s="176">
        <f t="shared" si="34"/>
        <v>0.12512991862190692</v>
      </c>
      <c r="K89" s="176">
        <f t="shared" si="35"/>
        <v>0.14091207052016544</v>
      </c>
      <c r="L89" s="176">
        <f t="shared" si="36"/>
        <v>5.3982887599832706E-6</v>
      </c>
      <c r="M89" s="451">
        <f t="shared" si="43"/>
        <v>350</v>
      </c>
      <c r="N89" s="201">
        <f t="shared" si="37"/>
        <v>350</v>
      </c>
      <c r="O89" s="221">
        <f t="shared" si="38"/>
        <v>2.5370456638716186</v>
      </c>
      <c r="P89" s="177">
        <f t="shared" si="39"/>
        <v>1.0945188202531686E-4</v>
      </c>
      <c r="Q89" s="177">
        <f t="shared" si="40"/>
        <v>2.2202466279889195</v>
      </c>
      <c r="R89" s="177">
        <f t="shared" si="41"/>
        <v>6.4712206554230591E-6</v>
      </c>
    </row>
    <row r="90" spans="3:18" x14ac:dyDescent="0.25">
      <c r="C90" s="174">
        <v>84</v>
      </c>
      <c r="D90" s="5">
        <f t="shared" si="42"/>
        <v>26.72</v>
      </c>
      <c r="E90" s="451">
        <f t="shared" si="29"/>
        <v>695386.58000000007</v>
      </c>
      <c r="F90" s="221">
        <f t="shared" si="30"/>
        <v>0.99996157680619568</v>
      </c>
      <c r="G90" s="176">
        <f t="shared" si="31"/>
        <v>9.0176534996382713</v>
      </c>
      <c r="H90" s="221">
        <f t="shared" si="32"/>
        <v>0.60117689997588475</v>
      </c>
      <c r="I90" s="451">
        <f t="shared" si="33"/>
        <v>695413.3</v>
      </c>
      <c r="J90" s="176">
        <f t="shared" si="34"/>
        <v>0.12475529249877781</v>
      </c>
      <c r="K90" s="176">
        <f t="shared" si="35"/>
        <v>0.14006956493126252</v>
      </c>
      <c r="L90" s="176">
        <f t="shared" si="36"/>
        <v>5.3821268379429098E-6</v>
      </c>
      <c r="M90" s="451">
        <f t="shared" si="43"/>
        <v>350</v>
      </c>
      <c r="N90" s="201">
        <f t="shared" si="37"/>
        <v>350</v>
      </c>
      <c r="O90" s="221">
        <f t="shared" si="38"/>
        <v>2.544664126882052</v>
      </c>
      <c r="P90" s="177">
        <f t="shared" si="39"/>
        <v>1.0978055372662146E-4</v>
      </c>
      <c r="Q90" s="177">
        <f t="shared" si="40"/>
        <v>2.2336009509107804</v>
      </c>
      <c r="R90" s="177">
        <f t="shared" si="41"/>
        <v>6.4712206554230591E-6</v>
      </c>
    </row>
    <row r="91" spans="3:18" x14ac:dyDescent="0.25">
      <c r="C91" s="174">
        <v>85</v>
      </c>
      <c r="D91" s="5">
        <f t="shared" si="42"/>
        <v>26.8</v>
      </c>
      <c r="E91" s="451">
        <f t="shared" si="29"/>
        <v>695386.58000000007</v>
      </c>
      <c r="F91" s="221">
        <f t="shared" si="30"/>
        <v>0.99996146177112666</v>
      </c>
      <c r="G91" s="176">
        <f t="shared" si="31"/>
        <v>9.0446514217198413</v>
      </c>
      <c r="H91" s="221">
        <f t="shared" si="32"/>
        <v>0.6029767614479894</v>
      </c>
      <c r="I91" s="451">
        <f t="shared" si="33"/>
        <v>695413.38000000012</v>
      </c>
      <c r="J91" s="176">
        <f t="shared" si="34"/>
        <v>0.12438290294951811</v>
      </c>
      <c r="K91" s="176">
        <f t="shared" si="35"/>
        <v>0.13923459285393819</v>
      </c>
      <c r="L91" s="176">
        <f t="shared" si="36"/>
        <v>5.366061404989356E-6</v>
      </c>
      <c r="M91" s="451">
        <f t="shared" si="43"/>
        <v>350</v>
      </c>
      <c r="N91" s="201">
        <f t="shared" si="37"/>
        <v>350</v>
      </c>
      <c r="O91" s="221">
        <f t="shared" si="38"/>
        <v>2.5522825881396378</v>
      </c>
      <c r="P91" s="177">
        <f t="shared" si="39"/>
        <v>1.1010922535230566E-4</v>
      </c>
      <c r="Q91" s="177">
        <f t="shared" si="40"/>
        <v>2.2469953121572952</v>
      </c>
      <c r="R91" s="177">
        <f t="shared" si="41"/>
        <v>6.4712206554230591E-6</v>
      </c>
    </row>
    <row r="92" spans="3:18" x14ac:dyDescent="0.25">
      <c r="C92" s="174">
        <v>86</v>
      </c>
      <c r="D92" s="5">
        <f t="shared" si="42"/>
        <v>26.88</v>
      </c>
      <c r="E92" s="451">
        <f t="shared" si="29"/>
        <v>695386.58000000007</v>
      </c>
      <c r="F92" s="221">
        <f t="shared" si="30"/>
        <v>0.99996134673608417</v>
      </c>
      <c r="G92" s="176">
        <f t="shared" si="31"/>
        <v>9.071649337589756</v>
      </c>
      <c r="H92" s="221">
        <f t="shared" si="32"/>
        <v>0.60477662250598374</v>
      </c>
      <c r="I92" s="451">
        <f t="shared" si="33"/>
        <v>695413.46000000008</v>
      </c>
      <c r="J92" s="176">
        <f t="shared" si="34"/>
        <v>0.12401273000471831</v>
      </c>
      <c r="K92" s="176">
        <f t="shared" si="35"/>
        <v>0.13840706473740882</v>
      </c>
      <c r="L92" s="176">
        <f t="shared" si="36"/>
        <v>5.3500915996129066E-6</v>
      </c>
      <c r="M92" s="451">
        <f t="shared" si="43"/>
        <v>350</v>
      </c>
      <c r="N92" s="201">
        <f t="shared" si="37"/>
        <v>350</v>
      </c>
      <c r="O92" s="221">
        <f t="shared" si="38"/>
        <v>2.5599010476443755</v>
      </c>
      <c r="P92" s="177">
        <f t="shared" si="39"/>
        <v>1.1043789690236942E-4</v>
      </c>
      <c r="Q92" s="177">
        <f t="shared" si="40"/>
        <v>2.2604297117008247</v>
      </c>
      <c r="R92" s="177">
        <f t="shared" si="41"/>
        <v>6.4712206554230591E-6</v>
      </c>
    </row>
    <row r="93" spans="3:18" x14ac:dyDescent="0.25">
      <c r="C93" s="174">
        <v>87</v>
      </c>
      <c r="D93" s="5">
        <f t="shared" si="42"/>
        <v>26.96</v>
      </c>
      <c r="E93" s="451">
        <f t="shared" si="29"/>
        <v>695386.58000000007</v>
      </c>
      <c r="F93" s="221">
        <f t="shared" si="30"/>
        <v>0.99996123170106821</v>
      </c>
      <c r="G93" s="176">
        <f t="shared" si="31"/>
        <v>9.0986472472480191</v>
      </c>
      <c r="H93" s="221">
        <f t="shared" si="32"/>
        <v>0.6065764831498679</v>
      </c>
      <c r="I93" s="451">
        <f t="shared" si="33"/>
        <v>695413.54</v>
      </c>
      <c r="J93" s="176">
        <f t="shared" si="34"/>
        <v>0.12364475393199444</v>
      </c>
      <c r="K93" s="176">
        <f t="shared" si="35"/>
        <v>0.13758689235756058</v>
      </c>
      <c r="L93" s="176">
        <f t="shared" si="36"/>
        <v>5.3342165705294933E-6</v>
      </c>
      <c r="M93" s="451">
        <f t="shared" si="43"/>
        <v>350</v>
      </c>
      <c r="N93" s="201">
        <f t="shared" si="37"/>
        <v>350</v>
      </c>
      <c r="O93" s="221">
        <f t="shared" si="38"/>
        <v>2.5675195053962665</v>
      </c>
      <c r="P93" s="177">
        <f t="shared" si="39"/>
        <v>1.1076656837681278E-4</v>
      </c>
      <c r="Q93" s="177">
        <f t="shared" si="40"/>
        <v>2.2739041495137329</v>
      </c>
      <c r="R93" s="177">
        <f t="shared" si="41"/>
        <v>6.4712206554230591E-6</v>
      </c>
    </row>
    <row r="94" spans="3:18" x14ac:dyDescent="0.25">
      <c r="C94" s="174">
        <v>88</v>
      </c>
      <c r="D94" s="5">
        <f t="shared" si="42"/>
        <v>27.04</v>
      </c>
      <c r="E94" s="451">
        <f t="shared" si="29"/>
        <v>695386.58000000007</v>
      </c>
      <c r="F94" s="221">
        <f t="shared" si="30"/>
        <v>0.99996111666607845</v>
      </c>
      <c r="G94" s="176">
        <f t="shared" si="31"/>
        <v>9.1256451506946323</v>
      </c>
      <c r="H94" s="221">
        <f t="shared" si="32"/>
        <v>0.60837634337964219</v>
      </c>
      <c r="I94" s="451">
        <f t="shared" si="33"/>
        <v>695413.62000000011</v>
      </c>
      <c r="J94" s="176">
        <f t="shared" si="34"/>
        <v>0.123278955232482</v>
      </c>
      <c r="K94" s="176">
        <f t="shared" si="35"/>
        <v>0.13677398879343416</v>
      </c>
      <c r="L94" s="176">
        <f t="shared" si="36"/>
        <v>5.3184354765294144E-6</v>
      </c>
      <c r="M94" s="451">
        <f t="shared" si="43"/>
        <v>350</v>
      </c>
      <c r="N94" s="201">
        <f t="shared" si="37"/>
        <v>350</v>
      </c>
      <c r="O94" s="221">
        <f t="shared" si="38"/>
        <v>2.5751379613953107</v>
      </c>
      <c r="P94" s="177">
        <f t="shared" si="39"/>
        <v>1.1109523977563575E-4</v>
      </c>
      <c r="Q94" s="177">
        <f t="shared" si="40"/>
        <v>2.2874186255683826</v>
      </c>
      <c r="R94" s="177">
        <f t="shared" si="41"/>
        <v>6.4712206554230591E-6</v>
      </c>
    </row>
    <row r="95" spans="3:18" x14ac:dyDescent="0.25">
      <c r="C95" s="174">
        <v>89</v>
      </c>
      <c r="D95" s="5">
        <f t="shared" si="42"/>
        <v>27.12</v>
      </c>
      <c r="E95" s="451">
        <f t="shared" si="29"/>
        <v>695386.58000000007</v>
      </c>
      <c r="F95" s="221">
        <f t="shared" si="30"/>
        <v>0.99996100163111545</v>
      </c>
      <c r="G95" s="176">
        <f t="shared" si="31"/>
        <v>9.152643047929601</v>
      </c>
      <c r="H95" s="221">
        <f t="shared" si="32"/>
        <v>0.61017620319530674</v>
      </c>
      <c r="I95" s="451">
        <f t="shared" si="33"/>
        <v>695413.70000000007</v>
      </c>
      <c r="J95" s="176">
        <f t="shared" si="34"/>
        <v>0.12291531463739142</v>
      </c>
      <c r="K95" s="176">
        <f t="shared" si="35"/>
        <v>0.13596826840419404</v>
      </c>
      <c r="L95" s="176">
        <f t="shared" si="36"/>
        <v>5.3027474863287442E-6</v>
      </c>
      <c r="M95" s="451">
        <f t="shared" si="43"/>
        <v>350</v>
      </c>
      <c r="N95" s="201">
        <f t="shared" si="37"/>
        <v>350</v>
      </c>
      <c r="O95" s="221">
        <f t="shared" si="38"/>
        <v>2.5827564156415095</v>
      </c>
      <c r="P95" s="177">
        <f t="shared" si="39"/>
        <v>1.114239110988384E-4</v>
      </c>
      <c r="Q95" s="177">
        <f t="shared" si="40"/>
        <v>2.3009731398371374</v>
      </c>
      <c r="R95" s="177">
        <f t="shared" si="41"/>
        <v>6.4712206554230591E-6</v>
      </c>
    </row>
    <row r="96" spans="3:18" x14ac:dyDescent="0.25">
      <c r="C96" s="174">
        <v>90</v>
      </c>
      <c r="D96" s="5">
        <f t="shared" si="42"/>
        <v>27.2</v>
      </c>
      <c r="E96" s="451">
        <f t="shared" si="29"/>
        <v>695386.58000000007</v>
      </c>
      <c r="F96" s="221">
        <f t="shared" si="30"/>
        <v>0.99996088659617877</v>
      </c>
      <c r="G96" s="176">
        <f t="shared" si="31"/>
        <v>9.1796409389529199</v>
      </c>
      <c r="H96" s="221">
        <f t="shared" si="32"/>
        <v>0.61197606259686133</v>
      </c>
      <c r="I96" s="451">
        <f t="shared" si="33"/>
        <v>695413.78</v>
      </c>
      <c r="J96" s="176">
        <f t="shared" si="34"/>
        <v>0.12255381310462493</v>
      </c>
      <c r="K96" s="176">
        <f t="shared" si="35"/>
        <v>0.13516964680657162</v>
      </c>
      <c r="L96" s="176">
        <f t="shared" si="36"/>
        <v>5.2871517784233735E-6</v>
      </c>
      <c r="M96" s="451">
        <f t="shared" si="43"/>
        <v>350</v>
      </c>
      <c r="N96" s="201">
        <f t="shared" si="37"/>
        <v>350</v>
      </c>
      <c r="O96" s="221">
        <f t="shared" si="38"/>
        <v>2.5903748681348628</v>
      </c>
      <c r="P96" s="177">
        <f t="shared" si="39"/>
        <v>1.1175258234642072E-4</v>
      </c>
      <c r="Q96" s="177">
        <f t="shared" si="40"/>
        <v>2.3145676922923597</v>
      </c>
      <c r="R96" s="177">
        <f t="shared" si="41"/>
        <v>6.4712206554230591E-6</v>
      </c>
    </row>
    <row r="97" spans="3:18" x14ac:dyDescent="0.25">
      <c r="C97" s="174">
        <v>91</v>
      </c>
      <c r="D97" s="5">
        <f t="shared" si="42"/>
        <v>27.28</v>
      </c>
      <c r="E97" s="451">
        <f t="shared" si="29"/>
        <v>695386.58000000007</v>
      </c>
      <c r="F97" s="221">
        <f t="shared" si="30"/>
        <v>0.9999607715612685</v>
      </c>
      <c r="G97" s="176">
        <f t="shared" si="31"/>
        <v>9.2066388237645995</v>
      </c>
      <c r="H97" s="221">
        <f t="shared" si="32"/>
        <v>0.61377592158430661</v>
      </c>
      <c r="I97" s="451">
        <f t="shared" si="33"/>
        <v>695413.8600000001</v>
      </c>
      <c r="J97" s="176">
        <f t="shared" si="34"/>
        <v>0.12219443181545236</v>
      </c>
      <c r="K97" s="176">
        <f t="shared" si="35"/>
        <v>0.13437804085277019</v>
      </c>
      <c r="L97" s="176">
        <f t="shared" si="36"/>
        <v>5.2716475409455993E-6</v>
      </c>
      <c r="M97" s="451">
        <f t="shared" si="43"/>
        <v>350</v>
      </c>
      <c r="N97" s="201">
        <f t="shared" si="37"/>
        <v>350</v>
      </c>
      <c r="O97" s="221">
        <f t="shared" si="38"/>
        <v>2.5979933188753725</v>
      </c>
      <c r="P97" s="177">
        <f t="shared" si="39"/>
        <v>1.1208125351838279E-4</v>
      </c>
      <c r="Q97" s="177">
        <f t="shared" si="40"/>
        <v>2.3282022829064148</v>
      </c>
      <c r="R97" s="177">
        <f t="shared" si="41"/>
        <v>6.4712206554230591E-6</v>
      </c>
    </row>
    <row r="98" spans="3:18" x14ac:dyDescent="0.25">
      <c r="C98" s="174">
        <v>92</v>
      </c>
      <c r="D98" s="5">
        <f t="shared" si="42"/>
        <v>27.36</v>
      </c>
      <c r="E98" s="451">
        <f t="shared" si="29"/>
        <v>695386.58000000007</v>
      </c>
      <c r="F98" s="221">
        <f t="shared" si="30"/>
        <v>0.99996065652638488</v>
      </c>
      <c r="G98" s="176">
        <f t="shared" si="31"/>
        <v>9.2336367023646382</v>
      </c>
      <c r="H98" s="221">
        <f t="shared" si="32"/>
        <v>0.61557578015764258</v>
      </c>
      <c r="I98" s="451">
        <f t="shared" si="33"/>
        <v>695413.94000000006</v>
      </c>
      <c r="J98" s="176">
        <f t="shared" si="34"/>
        <v>0.12183715217124573</v>
      </c>
      <c r="K98" s="176">
        <f t="shared" si="35"/>
        <v>0.13359336860882207</v>
      </c>
      <c r="L98" s="176">
        <f t="shared" si="36"/>
        <v>5.2562339715232523E-6</v>
      </c>
      <c r="M98" s="451">
        <f t="shared" si="43"/>
        <v>350</v>
      </c>
      <c r="N98" s="201">
        <f t="shared" si="37"/>
        <v>350</v>
      </c>
      <c r="O98" s="221">
        <f t="shared" si="38"/>
        <v>2.6056117678630373</v>
      </c>
      <c r="P98" s="177">
        <f t="shared" si="39"/>
        <v>1.1240992461472453E-4</v>
      </c>
      <c r="Q98" s="177">
        <f t="shared" si="40"/>
        <v>2.3418769116516618</v>
      </c>
      <c r="R98" s="177">
        <f t="shared" si="41"/>
        <v>6.4712206554230591E-6</v>
      </c>
    </row>
    <row r="99" spans="3:18" x14ac:dyDescent="0.25">
      <c r="C99" s="174">
        <v>93</v>
      </c>
      <c r="D99" s="5">
        <f t="shared" si="42"/>
        <v>27.44</v>
      </c>
      <c r="E99" s="451">
        <f t="shared" si="29"/>
        <v>695386.58000000007</v>
      </c>
      <c r="F99" s="221">
        <f t="shared" si="30"/>
        <v>0.99996054149152769</v>
      </c>
      <c r="G99" s="176">
        <f t="shared" si="31"/>
        <v>9.2606345747530376</v>
      </c>
      <c r="H99" s="221">
        <f t="shared" si="32"/>
        <v>0.61737563831686915</v>
      </c>
      <c r="I99" s="451">
        <f t="shared" si="33"/>
        <v>695414.02</v>
      </c>
      <c r="J99" s="176">
        <f t="shared" si="34"/>
        <v>0.1214819557902706</v>
      </c>
      <c r="K99" s="176">
        <f t="shared" si="35"/>
        <v>0.13281554933338624</v>
      </c>
      <c r="L99" s="176">
        <f t="shared" si="36"/>
        <v>5.2409102771412664E-6</v>
      </c>
      <c r="M99" s="451">
        <f t="shared" si="43"/>
        <v>350</v>
      </c>
      <c r="N99" s="201">
        <f t="shared" si="37"/>
        <v>350</v>
      </c>
      <c r="O99" s="221">
        <f t="shared" si="38"/>
        <v>2.6132302150978592</v>
      </c>
      <c r="P99" s="177">
        <f t="shared" si="39"/>
        <v>1.1273859563544608E-4</v>
      </c>
      <c r="Q99" s="177">
        <f t="shared" si="40"/>
        <v>2.3555915785004675</v>
      </c>
      <c r="R99" s="177">
        <f t="shared" si="41"/>
        <v>6.4712206554230591E-6</v>
      </c>
    </row>
    <row r="100" spans="3:18" x14ac:dyDescent="0.25">
      <c r="C100" s="174">
        <v>94</v>
      </c>
      <c r="D100" s="5">
        <f t="shared" si="42"/>
        <v>27.52</v>
      </c>
      <c r="E100" s="451">
        <f t="shared" si="29"/>
        <v>695386.58000000007</v>
      </c>
      <c r="F100" s="221">
        <f t="shared" si="30"/>
        <v>0.9999604264566968</v>
      </c>
      <c r="G100" s="176">
        <f t="shared" si="31"/>
        <v>9.2876324409297997</v>
      </c>
      <c r="H100" s="221">
        <f t="shared" si="32"/>
        <v>0.61917549606198663</v>
      </c>
      <c r="I100" s="451">
        <f t="shared" si="33"/>
        <v>695414.10000000009</v>
      </c>
      <c r="J100" s="176">
        <f t="shared" si="34"/>
        <v>0.12112882450453373</v>
      </c>
      <c r="K100" s="176">
        <f t="shared" si="35"/>
        <v>0.13204450345697719</v>
      </c>
      <c r="L100" s="176">
        <f t="shared" si="36"/>
        <v>5.2256756740056898E-6</v>
      </c>
      <c r="M100" s="451">
        <f t="shared" si="43"/>
        <v>350</v>
      </c>
      <c r="N100" s="201">
        <f t="shared" si="37"/>
        <v>350</v>
      </c>
      <c r="O100" s="221">
        <f t="shared" si="38"/>
        <v>2.6208486605798376</v>
      </c>
      <c r="P100" s="177">
        <f t="shared" si="39"/>
        <v>1.1306726658054734E-4</v>
      </c>
      <c r="Q100" s="177">
        <f t="shared" si="40"/>
        <v>2.3693462834251915</v>
      </c>
      <c r="R100" s="177">
        <f t="shared" si="41"/>
        <v>6.4712206554230591E-6</v>
      </c>
    </row>
    <row r="101" spans="3:18" x14ac:dyDescent="0.25">
      <c r="C101" s="174">
        <v>95</v>
      </c>
      <c r="D101" s="5">
        <f t="shared" si="42"/>
        <v>27.6</v>
      </c>
      <c r="E101" s="451">
        <f t="shared" si="29"/>
        <v>695386.58000000007</v>
      </c>
      <c r="F101" s="221">
        <f t="shared" si="30"/>
        <v>0.99996031142189257</v>
      </c>
      <c r="G101" s="176">
        <f t="shared" si="31"/>
        <v>9.3146303008949296</v>
      </c>
      <c r="H101" s="221">
        <f t="shared" si="32"/>
        <v>0.62097535339299526</v>
      </c>
      <c r="I101" s="451">
        <f t="shared" si="33"/>
        <v>695414.18</v>
      </c>
      <c r="J101" s="176">
        <f t="shared" si="34"/>
        <v>0.12077774035668515</v>
      </c>
      <c r="K101" s="176">
        <f t="shared" si="35"/>
        <v>0.13128015256161429</v>
      </c>
      <c r="L101" s="176">
        <f t="shared" si="36"/>
        <v>5.2105293874100278E-6</v>
      </c>
      <c r="M101" s="451">
        <f t="shared" si="43"/>
        <v>350</v>
      </c>
      <c r="N101" s="201">
        <f t="shared" si="37"/>
        <v>350</v>
      </c>
      <c r="O101" s="221">
        <f t="shared" si="38"/>
        <v>2.6284671043089745</v>
      </c>
      <c r="P101" s="177">
        <f t="shared" si="39"/>
        <v>1.1339593745002849E-4</v>
      </c>
      <c r="Q101" s="177">
        <f t="shared" si="40"/>
        <v>2.3831410263982011</v>
      </c>
      <c r="R101" s="177">
        <f t="shared" si="41"/>
        <v>6.4712206554230591E-6</v>
      </c>
    </row>
    <row r="102" spans="3:18" x14ac:dyDescent="0.25">
      <c r="C102" s="174">
        <v>96</v>
      </c>
      <c r="D102" s="5">
        <f t="shared" si="42"/>
        <v>27.68</v>
      </c>
      <c r="E102" s="451">
        <f t="shared" si="29"/>
        <v>695386.58000000007</v>
      </c>
      <c r="F102" s="221">
        <f t="shared" si="30"/>
        <v>0.99996019638711453</v>
      </c>
      <c r="G102" s="176">
        <f t="shared" ref="G102:G106" si="44">F102*D102*Isw_max*0.5*Efficiency</f>
        <v>9.3416281546484239</v>
      </c>
      <c r="H102" s="221">
        <f t="shared" ref="H102:H106" si="45">G102/Vout</f>
        <v>0.62277521030989491</v>
      </c>
      <c r="I102" s="451">
        <f t="shared" si="33"/>
        <v>695414.26000000013</v>
      </c>
      <c r="J102" s="176">
        <f t="shared" si="34"/>
        <v>0.12042868559697451</v>
      </c>
      <c r="K102" s="176">
        <f t="shared" ref="K102:K106" si="46">L*J102/D102*1000000</f>
        <v>0.13052241936088277</v>
      </c>
      <c r="L102" s="176">
        <f t="shared" si="36"/>
        <v>5.1954706516039396E-6</v>
      </c>
      <c r="M102" s="451">
        <f t="shared" si="43"/>
        <v>350</v>
      </c>
      <c r="N102" s="201">
        <f t="shared" si="37"/>
        <v>350</v>
      </c>
      <c r="O102" s="221">
        <f t="shared" ref="O102:O106" si="47">1/((N102*1000*L)*(1/D102+1/E102))</f>
        <v>2.6360855462852695</v>
      </c>
      <c r="P102" s="177">
        <f t="shared" ref="P102:P106" si="48">L*O102/E102*1000000</f>
        <v>1.1372460824388943E-4</v>
      </c>
      <c r="Q102" s="177">
        <f t="shared" ref="Q102:Q106" si="49">0.5*P102*O102*Nps*N102/1000</f>
        <v>2.3969758073918568</v>
      </c>
      <c r="R102" s="177">
        <f t="shared" si="41"/>
        <v>6.4712206554230591E-6</v>
      </c>
    </row>
    <row r="103" spans="3:18" x14ac:dyDescent="0.25">
      <c r="C103" s="174">
        <v>97</v>
      </c>
      <c r="D103" s="5">
        <f t="shared" ref="D103:D106" si="50">C103/100*(VIN_max-VIN_min)+VIN_min</f>
        <v>27.759999999999998</v>
      </c>
      <c r="E103" s="451">
        <f t="shared" si="29"/>
        <v>695386.58000000007</v>
      </c>
      <c r="F103" s="221">
        <f t="shared" si="30"/>
        <v>0.99996008135236325</v>
      </c>
      <c r="G103" s="176">
        <f t="shared" si="44"/>
        <v>9.3686260021902914</v>
      </c>
      <c r="H103" s="221">
        <f t="shared" si="45"/>
        <v>0.62457506681268604</v>
      </c>
      <c r="I103" s="451">
        <f t="shared" si="33"/>
        <v>695414.34000000008</v>
      </c>
      <c r="J103" s="176">
        <f t="shared" si="34"/>
        <v>0.12008164268025923</v>
      </c>
      <c r="K103" s="176">
        <f t="shared" si="46"/>
        <v>0.12977122768039542</v>
      </c>
      <c r="L103" s="176">
        <f t="shared" si="36"/>
        <v>5.1804987096641645E-6</v>
      </c>
      <c r="M103" s="451">
        <f t="shared" si="43"/>
        <v>350</v>
      </c>
      <c r="N103" s="201">
        <f t="shared" si="37"/>
        <v>350</v>
      </c>
      <c r="O103" s="221">
        <f t="shared" si="47"/>
        <v>2.643703986508724</v>
      </c>
      <c r="P103" s="177">
        <f t="shared" si="48"/>
        <v>1.1405327896213027E-4</v>
      </c>
      <c r="Q103" s="177">
        <f t="shared" si="49"/>
        <v>2.4108506263785232</v>
      </c>
      <c r="R103" s="177">
        <f t="shared" si="41"/>
        <v>6.4712206554230591E-6</v>
      </c>
    </row>
    <row r="104" spans="3:18" x14ac:dyDescent="0.25">
      <c r="C104" s="174">
        <v>98</v>
      </c>
      <c r="D104" s="5">
        <f t="shared" si="50"/>
        <v>27.84</v>
      </c>
      <c r="E104" s="451">
        <f t="shared" si="29"/>
        <v>695386.58000000007</v>
      </c>
      <c r="F104" s="221">
        <f t="shared" si="30"/>
        <v>0.99995996631763839</v>
      </c>
      <c r="G104" s="176">
        <f t="shared" si="44"/>
        <v>9.3956238435205304</v>
      </c>
      <c r="H104" s="221">
        <f t="shared" si="45"/>
        <v>0.62637492290136865</v>
      </c>
      <c r="I104" s="451">
        <f t="shared" si="33"/>
        <v>695414.42</v>
      </c>
      <c r="J104" s="176">
        <f t="shared" si="34"/>
        <v>0.11973659426306531</v>
      </c>
      <c r="K104" s="176">
        <f t="shared" si="46"/>
        <v>0.12902650243864794</v>
      </c>
      <c r="L104" s="176">
        <f t="shared" si="36"/>
        <v>5.1656128133677223E-6</v>
      </c>
      <c r="M104" s="451">
        <f t="shared" si="43"/>
        <v>350</v>
      </c>
      <c r="N104" s="201">
        <f t="shared" si="37"/>
        <v>350</v>
      </c>
      <c r="O104" s="221">
        <f t="shared" si="47"/>
        <v>2.6513224249793383</v>
      </c>
      <c r="P104" s="177">
        <f t="shared" si="48"/>
        <v>1.1438194960475099E-4</v>
      </c>
      <c r="Q104" s="177">
        <f t="shared" si="49"/>
        <v>2.4247654833305634</v>
      </c>
      <c r="R104" s="177">
        <f t="shared" si="41"/>
        <v>6.4712206554230591E-6</v>
      </c>
    </row>
    <row r="105" spans="3:18" x14ac:dyDescent="0.25">
      <c r="C105" s="174">
        <v>99</v>
      </c>
      <c r="D105" s="5">
        <f t="shared" si="50"/>
        <v>27.92</v>
      </c>
      <c r="E105" s="451">
        <f t="shared" si="29"/>
        <v>695386.58000000007</v>
      </c>
      <c r="F105" s="221">
        <f t="shared" si="30"/>
        <v>0.99995985128293985</v>
      </c>
      <c r="G105" s="176">
        <f t="shared" si="44"/>
        <v>9.4226216786391426</v>
      </c>
      <c r="H105" s="221">
        <f t="shared" si="45"/>
        <v>0.62817477857594284</v>
      </c>
      <c r="I105" s="451">
        <f t="shared" si="33"/>
        <v>695414.50000000012</v>
      </c>
      <c r="J105" s="176">
        <f t="shared" si="34"/>
        <v>0.11939352320069772</v>
      </c>
      <c r="K105" s="176">
        <f t="shared" si="46"/>
        <v>0.12828816962825687</v>
      </c>
      <c r="L105" s="176">
        <f t="shared" si="36"/>
        <v>5.1508122230672492E-6</v>
      </c>
      <c r="M105" s="451">
        <f t="shared" si="43"/>
        <v>350</v>
      </c>
      <c r="N105" s="201">
        <f t="shared" si="37"/>
        <v>350</v>
      </c>
      <c r="O105" s="221">
        <f t="shared" si="47"/>
        <v>2.6589408616971126</v>
      </c>
      <c r="P105" s="177">
        <f t="shared" si="48"/>
        <v>1.1471062017175163E-4</v>
      </c>
      <c r="Q105" s="177">
        <f t="shared" si="49"/>
        <v>2.4387203782203395</v>
      </c>
      <c r="R105" s="177">
        <f t="shared" si="41"/>
        <v>6.4712206554230591E-6</v>
      </c>
    </row>
    <row r="106" spans="3:18" x14ac:dyDescent="0.25">
      <c r="C106" s="174">
        <v>100</v>
      </c>
      <c r="D106" s="5">
        <f t="shared" si="50"/>
        <v>28</v>
      </c>
      <c r="E106" s="451">
        <f t="shared" si="29"/>
        <v>695386.58000000007</v>
      </c>
      <c r="F106" s="221">
        <f t="shared" si="30"/>
        <v>0.99995973624826795</v>
      </c>
      <c r="G106" s="176">
        <f t="shared" si="44"/>
        <v>9.4496195075461333</v>
      </c>
      <c r="H106" s="221">
        <f t="shared" si="45"/>
        <v>0.62997463383640884</v>
      </c>
      <c r="I106" s="451">
        <f t="shared" si="33"/>
        <v>695414.58000000007</v>
      </c>
      <c r="J106" s="176">
        <f t="shared" si="34"/>
        <v>0.11905241254440084</v>
      </c>
      <c r="K106" s="176">
        <f t="shared" si="46"/>
        <v>0.12755615629757233</v>
      </c>
      <c r="L106" s="176">
        <f t="shared" si="36"/>
        <v>5.1360962075684939E-6</v>
      </c>
      <c r="M106" s="451">
        <f t="shared" si="43"/>
        <v>350</v>
      </c>
      <c r="N106" s="201">
        <f t="shared" si="37"/>
        <v>350</v>
      </c>
      <c r="O106" s="221">
        <f t="shared" si="47"/>
        <v>2.6665592966620477</v>
      </c>
      <c r="P106" s="177">
        <f t="shared" si="48"/>
        <v>1.1503929066313219E-4</v>
      </c>
      <c r="Q106" s="177">
        <f t="shared" si="49"/>
        <v>2.4527153110202145</v>
      </c>
      <c r="R106" s="177">
        <f t="shared" si="41"/>
        <v>6.4712206554230591E-6</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33"/>
  <sheetViews>
    <sheetView showWhiteSpace="0" zoomScale="85" zoomScaleNormal="85" workbookViewId="0">
      <pane ySplit="5" topLeftCell="A6" activePane="bottomLeft" state="frozen"/>
      <selection pane="bottomLeft" activeCell="E31" sqref="E31"/>
    </sheetView>
  </sheetViews>
  <sheetFormatPr baseColWidth="10" defaultColWidth="9.21875" defaultRowHeight="13.2" x14ac:dyDescent="0.25"/>
  <cols>
    <col min="1" max="1" width="15.77734375" style="174" customWidth="1"/>
    <col min="2" max="2" width="11.5546875" style="174" customWidth="1"/>
    <col min="3" max="3" width="9.21875" style="174"/>
    <col min="4" max="4" width="12.44140625" style="174" bestFit="1" customWidth="1"/>
    <col min="5" max="5" width="51.44140625" style="174" customWidth="1"/>
    <col min="6" max="6" width="13.44140625" style="174" customWidth="1"/>
    <col min="7" max="7" width="10" style="174" customWidth="1"/>
    <col min="8" max="8" width="6.77734375" style="174" customWidth="1"/>
    <col min="9" max="9" width="12.44140625" style="174" bestFit="1" customWidth="1"/>
    <col min="10" max="10" width="9.21875" style="220" customWidth="1"/>
    <col min="11" max="11" width="8.77734375"/>
    <col min="13" max="13" width="10.77734375" customWidth="1"/>
    <col min="14" max="14" width="12" style="174" customWidth="1"/>
    <col min="15" max="15" width="12.77734375" style="220" customWidth="1"/>
    <col min="16" max="16" width="11.44140625" style="220" customWidth="1"/>
    <col min="17" max="17" width="12.44140625" style="220" customWidth="1"/>
    <col min="18" max="19" width="10.5546875" style="201" customWidth="1"/>
    <col min="20" max="20" width="10" style="201" customWidth="1"/>
    <col min="21" max="21" width="10.5546875" style="201" customWidth="1"/>
    <col min="22" max="22" width="8.44140625" style="220" customWidth="1"/>
    <col min="23" max="23" width="9.21875" style="220" customWidth="1"/>
    <col min="24" max="24" width="9.44140625" style="174" customWidth="1"/>
    <col min="25" max="25" width="9.44140625" style="220" customWidth="1"/>
    <col min="26" max="26" width="8.21875" style="221" customWidth="1"/>
    <col min="27" max="27" width="9.5546875" style="220" customWidth="1"/>
    <col min="28" max="28" width="9.44140625" style="220" bestFit="1" customWidth="1"/>
    <col min="29" max="29" width="8.5546875" style="220" customWidth="1"/>
    <col min="30" max="30" width="9.77734375" style="222" customWidth="1"/>
    <col min="31" max="31" width="9.21875" style="222" customWidth="1"/>
    <col min="32" max="32" width="8.21875" style="220" customWidth="1"/>
    <col min="33" max="33" width="10.21875" style="220" customWidth="1"/>
    <col min="34" max="34" width="9.44140625" style="220" customWidth="1"/>
    <col min="35" max="35" width="8.77734375"/>
    <col min="36" max="36" width="9.77734375" style="220" customWidth="1"/>
    <col min="37" max="37" width="11.5546875" style="220" customWidth="1"/>
    <col min="38" max="38" width="10.21875" style="220" customWidth="1"/>
    <col min="39" max="39" width="11.21875" style="220" customWidth="1"/>
    <col min="40" max="40" width="9.21875" style="220"/>
    <col min="41" max="41" width="10.21875" style="220" customWidth="1"/>
    <col min="42" max="43" width="9.77734375" style="220" customWidth="1"/>
    <col min="44" max="45" width="10.21875" style="220" customWidth="1"/>
    <col min="46" max="46" width="10.44140625" style="220" customWidth="1"/>
    <col min="47" max="47" width="11.21875" style="220" customWidth="1"/>
    <col min="48" max="48" width="11.77734375" style="220" customWidth="1"/>
    <col min="49" max="49" width="10.44140625" style="220" customWidth="1"/>
    <col min="50" max="50" width="11.44140625" style="220" customWidth="1"/>
    <col min="51" max="51" width="10.21875" style="220" customWidth="1"/>
    <col min="52" max="52" width="10" style="176" bestFit="1" customWidth="1"/>
    <col min="53" max="55" width="12.77734375" style="349" customWidth="1"/>
    <col min="56" max="56" width="14" style="349" customWidth="1"/>
    <col min="57" max="57" width="12.77734375" style="349" customWidth="1"/>
    <col min="58" max="58" width="10.44140625" style="349" customWidth="1"/>
    <col min="59" max="59" width="9" style="349" customWidth="1"/>
    <col min="60" max="60" width="8.77734375" style="349" customWidth="1"/>
    <col min="61" max="61" width="10.77734375" style="349" customWidth="1"/>
    <col min="62" max="62" width="11.21875" style="349" customWidth="1"/>
    <col min="63" max="64" width="9.21875" style="349"/>
    <col min="65" max="65" width="8.77734375" style="176" customWidth="1"/>
    <col min="66" max="66" width="9.21875" style="221"/>
    <col min="67" max="67" width="12.5546875" style="174" customWidth="1"/>
    <col min="68" max="68" width="13.5546875" style="176" customWidth="1"/>
    <col min="69" max="69" width="12.77734375" style="201" customWidth="1"/>
    <col min="70" max="70" width="3.77734375" style="174" customWidth="1"/>
    <col min="71" max="71" width="12.44140625" style="174" bestFit="1" customWidth="1"/>
    <col min="72" max="72" width="3.5546875" style="174" customWidth="1"/>
    <col min="73" max="73" width="9.21875" style="176"/>
    <col min="74" max="74" width="11.21875" style="176" customWidth="1"/>
    <col min="75" max="75" width="9.21875" style="176"/>
    <col min="76" max="76" width="4.77734375" style="174" customWidth="1"/>
    <col min="77" max="77" width="3.77734375" style="174" customWidth="1"/>
    <col min="78" max="78" width="12.44140625" style="174" customWidth="1"/>
    <col min="79" max="79" width="11.77734375" style="174" customWidth="1"/>
    <col min="80" max="80" width="11.5546875" style="174" customWidth="1"/>
    <col min="81" max="81" width="11.77734375" style="174" customWidth="1"/>
    <col min="82" max="82" width="9.21875" style="174"/>
    <col min="83" max="83" width="9.21875" style="174" customWidth="1"/>
    <col min="84" max="16384" width="9.21875" style="174"/>
  </cols>
  <sheetData>
    <row r="1" spans="1:81" x14ac:dyDescent="0.25">
      <c r="A1" s="854" t="s">
        <v>515</v>
      </c>
      <c r="B1" s="854"/>
      <c r="C1" s="854"/>
      <c r="D1" s="854"/>
      <c r="E1" s="854"/>
    </row>
    <row r="2" spans="1:81" ht="15.6" x14ac:dyDescent="0.25">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8" thickBot="1" x14ac:dyDescent="0.3">
      <c r="A3" s="854"/>
      <c r="B3" s="854"/>
      <c r="C3" s="854"/>
      <c r="D3" s="854"/>
      <c r="E3" s="854"/>
    </row>
    <row r="4" spans="1:81" ht="13.8" thickBot="1" x14ac:dyDescent="0.3">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55000000000000004">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x14ac:dyDescent="0.25">
      <c r="A6" s="265" t="s">
        <v>26</v>
      </c>
      <c r="B6" s="266" t="s">
        <v>43</v>
      </c>
      <c r="C6" s="267" t="s">
        <v>33</v>
      </c>
      <c r="D6" s="268" t="s">
        <v>90</v>
      </c>
      <c r="E6" s="269" t="s">
        <v>41</v>
      </c>
      <c r="F6" s="270"/>
      <c r="G6" s="270"/>
      <c r="H6" s="174">
        <v>0.1</v>
      </c>
      <c r="I6" s="465">
        <f t="shared" ref="I6:I37" si="0">IF(PLOT_TYPE=1, H6/100*Iout_max, min_I*EXP(H6*rr/100))</f>
        <v>1E-4</v>
      </c>
      <c r="J6" s="221"/>
      <c r="K6" s="221"/>
      <c r="L6" s="221"/>
      <c r="M6" s="221"/>
      <c r="N6" s="271"/>
      <c r="O6" s="176"/>
      <c r="P6" s="221"/>
      <c r="Q6" s="451"/>
      <c r="S6" s="272"/>
      <c r="T6" s="272"/>
      <c r="U6" s="272"/>
      <c r="AJ6" s="451"/>
      <c r="AY6" s="220">
        <f>Vout*I6</f>
        <v>1.5E-3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t="e">
        <f xml:space="preserve"> CHOOSE(MODE, I6*1000,#REF!)</f>
        <v>#REF!</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t="e">
        <f xml:space="preserve"> IF(MODE=1, BM6,#REF!)</f>
        <v>#REF!</v>
      </c>
      <c r="CA6" s="176" t="e">
        <f xml:space="preserve"> IF(MODE=1, BU6,#REF!)</f>
        <v>#REF!</v>
      </c>
      <c r="CB6" s="176" t="e">
        <f xml:space="preserve"> IF(MODE=1, BV6,#REF!)</f>
        <v>#REF!</v>
      </c>
      <c r="CC6" s="176" t="e">
        <f xml:space="preserve"> IF(MODE=1, BW6,#REF!)</f>
        <v>#REF!</v>
      </c>
    </row>
    <row r="7" spans="1:81" x14ac:dyDescent="0.25">
      <c r="A7" s="422"/>
      <c r="B7" s="266"/>
      <c r="C7" s="267"/>
      <c r="D7" s="268"/>
      <c r="E7" s="269"/>
      <c r="F7" s="270"/>
      <c r="G7" s="270"/>
      <c r="H7" s="174">
        <v>1</v>
      </c>
      <c r="I7" s="465">
        <f t="shared" si="0"/>
        <v>1E-3</v>
      </c>
      <c r="J7" s="221"/>
      <c r="K7" s="221"/>
      <c r="L7" s="221"/>
      <c r="M7" s="221"/>
      <c r="N7" s="271"/>
      <c r="O7" s="176"/>
      <c r="P7" s="221"/>
      <c r="Q7" s="451"/>
      <c r="S7" s="272"/>
      <c r="T7" s="272"/>
      <c r="U7" s="272"/>
      <c r="AJ7" s="451"/>
      <c r="AY7" s="220">
        <f>Vout*I7</f>
        <v>1.4999999999999999E-2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t="e">
        <f xml:space="preserve"> CHOOSE(MODE, I7*1000,#REF!)</f>
        <v>#REF!</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t="e">
        <f xml:space="preserve"> IF(MODE=1, BM7,#REF!)</f>
        <v>#REF!</v>
      </c>
      <c r="CA7" s="176" t="e">
        <f xml:space="preserve"> IF(MODE=1, BU7,#REF!)</f>
        <v>#REF!</v>
      </c>
      <c r="CB7" s="176" t="e">
        <f xml:space="preserve"> IF(MODE=1, BV7,#REF!)</f>
        <v>#REF!</v>
      </c>
      <c r="CC7" s="176" t="e">
        <f xml:space="preserve"> IF(MODE=1, BW7,#REF!)</f>
        <v>#REF!</v>
      </c>
    </row>
    <row r="8" spans="1:81" x14ac:dyDescent="0.25">
      <c r="A8" s="277" t="s">
        <v>3</v>
      </c>
      <c r="B8" s="278">
        <f>Vin</f>
        <v>24</v>
      </c>
      <c r="C8" s="279" t="s">
        <v>0</v>
      </c>
      <c r="D8" s="198">
        <f>B8</f>
        <v>24</v>
      </c>
      <c r="E8" s="192" t="s">
        <v>3</v>
      </c>
      <c r="F8" s="270"/>
      <c r="G8" s="270"/>
      <c r="H8" s="174">
        <v>2</v>
      </c>
      <c r="I8" s="465">
        <f t="shared" si="0"/>
        <v>2E-3</v>
      </c>
      <c r="J8" s="221"/>
      <c r="K8" s="221"/>
      <c r="L8" s="221"/>
      <c r="M8" s="221"/>
      <c r="N8" s="271"/>
      <c r="O8" s="176"/>
      <c r="P8" s="221"/>
      <c r="Q8" s="451"/>
      <c r="S8" s="272"/>
      <c r="T8" s="272"/>
      <c r="U8" s="272"/>
      <c r="AJ8" s="451"/>
      <c r="AY8" s="220">
        <f>Vout*I8</f>
        <v>0.03</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t="e">
        <f xml:space="preserve"> CHOOSE(MODE, I8*1000,#REF!)</f>
        <v>#REF!</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t="e">
        <f xml:space="preserve"> IF(MODE=1, BM8,#REF!)</f>
        <v>#REF!</v>
      </c>
      <c r="CA8" s="176" t="e">
        <f xml:space="preserve"> IF(MODE=1, BU8,#REF!)</f>
        <v>#REF!</v>
      </c>
      <c r="CB8" s="176" t="e">
        <f xml:space="preserve"> IF(MODE=1, BV8,#REF!)</f>
        <v>#REF!</v>
      </c>
      <c r="CC8" s="176" t="e">
        <f xml:space="preserve"> IF(MODE=1, BW8,#REF!)</f>
        <v>#REF!</v>
      </c>
    </row>
    <row r="9" spans="1:81" x14ac:dyDescent="0.25">
      <c r="A9" s="280" t="s">
        <v>4</v>
      </c>
      <c r="B9" s="278">
        <f>Vout</f>
        <v>15</v>
      </c>
      <c r="C9" s="279" t="s">
        <v>0</v>
      </c>
      <c r="D9" s="198">
        <f>B9</f>
        <v>15</v>
      </c>
      <c r="E9" s="192" t="s">
        <v>4</v>
      </c>
      <c r="F9" s="270"/>
      <c r="G9" s="270"/>
      <c r="H9" s="174">
        <v>3</v>
      </c>
      <c r="I9" s="465">
        <f t="shared" si="0"/>
        <v>3.0000000000000001E-3</v>
      </c>
      <c r="J9" s="221"/>
      <c r="K9" s="221"/>
      <c r="L9" s="221"/>
      <c r="M9" s="221"/>
      <c r="N9" s="271"/>
      <c r="O9" s="176"/>
      <c r="P9" s="221"/>
      <c r="Q9" s="451"/>
      <c r="S9" s="272"/>
      <c r="T9" s="272"/>
      <c r="U9" s="272"/>
      <c r="AJ9" s="451"/>
      <c r="AY9" s="220">
        <f>Vout*I9</f>
        <v>4.4999999999999998E-2</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t="e">
        <f xml:space="preserve"> CHOOSE(MODE, I9*1000,#REF!)</f>
        <v>#REF!</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t="e">
        <f xml:space="preserve"> IF(MODE=1, BM9,#REF!)</f>
        <v>#REF!</v>
      </c>
      <c r="CA9" s="176" t="e">
        <f xml:space="preserve"> IF(MODE=1, BU9,#REF!)</f>
        <v>#REF!</v>
      </c>
      <c r="CB9" s="176" t="e">
        <f xml:space="preserve"> IF(MODE=1, BV9,#REF!)</f>
        <v>#REF!</v>
      </c>
      <c r="CC9" s="176" t="e">
        <f xml:space="preserve"> IF(MODE=1, BW9,#REF!)</f>
        <v>#REF!</v>
      </c>
    </row>
    <row r="10" spans="1:81" x14ac:dyDescent="0.25">
      <c r="A10" s="280" t="s">
        <v>5</v>
      </c>
      <c r="B10" s="278">
        <f>Iout</f>
        <v>0.1</v>
      </c>
      <c r="C10" s="279" t="s">
        <v>1</v>
      </c>
      <c r="D10" s="198">
        <f>B10</f>
        <v>0.1</v>
      </c>
      <c r="E10" s="281" t="s">
        <v>241</v>
      </c>
      <c r="F10" s="270"/>
      <c r="G10" s="270"/>
      <c r="H10" s="174">
        <v>4</v>
      </c>
      <c r="I10" s="465">
        <f t="shared" si="0"/>
        <v>4.0000000000000001E-3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x14ac:dyDescent="0.25">
      <c r="A11" s="280" t="s">
        <v>139</v>
      </c>
      <c r="B11" s="361">
        <f>Vout/(Fsw/1000)*100000/16</f>
        <v>187500</v>
      </c>
      <c r="C11" s="282" t="s">
        <v>242</v>
      </c>
      <c r="D11" s="296">
        <f>B11*1000</f>
        <v>187500000</v>
      </c>
      <c r="E11" s="281"/>
      <c r="F11" s="270"/>
      <c r="G11" s="270"/>
      <c r="H11" s="174">
        <v>5</v>
      </c>
      <c r="I11" s="465">
        <f t="shared" si="0"/>
        <v>5.000000000000001E-3</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x14ac:dyDescent="0.25">
      <c r="A12" s="280" t="s">
        <v>243</v>
      </c>
      <c r="B12" s="278">
        <v>25</v>
      </c>
      <c r="C12" s="279" t="s">
        <v>102</v>
      </c>
      <c r="D12" s="198">
        <f>B12</f>
        <v>25</v>
      </c>
      <c r="E12" s="281" t="s">
        <v>244</v>
      </c>
      <c r="F12" s="270">
        <f>Turns_Ratio</f>
        <v>8</v>
      </c>
      <c r="H12" s="174">
        <v>6</v>
      </c>
      <c r="I12" s="465">
        <f t="shared" si="0"/>
        <v>6.0000000000000001E-3</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x14ac:dyDescent="0.25">
      <c r="A13" s="283" t="s">
        <v>245</v>
      </c>
      <c r="B13" s="284">
        <v>5</v>
      </c>
      <c r="C13" s="279" t="s">
        <v>0</v>
      </c>
      <c r="D13" s="198">
        <f>B13</f>
        <v>5</v>
      </c>
      <c r="E13" s="281"/>
      <c r="F13" s="270"/>
      <c r="G13" s="270"/>
      <c r="H13" s="174">
        <v>7</v>
      </c>
      <c r="I13" s="465">
        <f t="shared" si="0"/>
        <v>7.000000000000001E-3</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x14ac:dyDescent="0.25">
      <c r="F14" s="270"/>
      <c r="G14" s="270"/>
      <c r="H14" s="174">
        <v>8</v>
      </c>
      <c r="I14" s="465">
        <f t="shared" si="0"/>
        <v>8.0000000000000002E-3</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x14ac:dyDescent="0.25">
      <c r="A15" s="285" t="s">
        <v>34</v>
      </c>
      <c r="B15" s="243"/>
      <c r="C15" s="243"/>
      <c r="D15" s="243"/>
      <c r="E15" s="244"/>
      <c r="F15" s="270"/>
      <c r="G15" s="270"/>
      <c r="H15" s="174">
        <v>9</v>
      </c>
      <c r="I15" s="465">
        <f t="shared" si="0"/>
        <v>8.9999999999999993E-3</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x14ac:dyDescent="0.25">
      <c r="A16" s="286" t="s">
        <v>26</v>
      </c>
      <c r="B16" s="266" t="s">
        <v>6</v>
      </c>
      <c r="C16" s="287" t="s">
        <v>33</v>
      </c>
      <c r="D16" s="288" t="s">
        <v>90</v>
      </c>
      <c r="E16" s="269" t="s">
        <v>41</v>
      </c>
      <c r="F16" s="270"/>
      <c r="G16" s="270"/>
      <c r="H16" s="174">
        <v>10</v>
      </c>
      <c r="I16" s="465">
        <f t="shared" si="0"/>
        <v>1.0000000000000002E-2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x14ac:dyDescent="0.25">
      <c r="A17" s="289" t="s">
        <v>246</v>
      </c>
      <c r="B17" s="290">
        <f>Vout/Vin/Fsw*1000000</f>
        <v>1250</v>
      </c>
      <c r="C17" s="291" t="s">
        <v>247</v>
      </c>
      <c r="D17" s="292">
        <f>B17/1000000</f>
        <v>1.25E-3</v>
      </c>
      <c r="E17" s="281" t="s">
        <v>248</v>
      </c>
      <c r="F17" s="270"/>
      <c r="G17" s="270"/>
      <c r="H17" s="174">
        <v>11</v>
      </c>
      <c r="I17" s="465">
        <f t="shared" si="0"/>
        <v>1.1000000000000001E-2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x14ac:dyDescent="0.25">
      <c r="A18" s="289" t="s">
        <v>249</v>
      </c>
      <c r="B18" s="290"/>
      <c r="C18" s="291" t="s">
        <v>247</v>
      </c>
      <c r="D18" s="293">
        <f>B18/1000000</f>
        <v>0</v>
      </c>
      <c r="E18" s="279" t="s">
        <v>250</v>
      </c>
      <c r="F18" s="270"/>
      <c r="G18" s="270"/>
      <c r="H18" s="174">
        <v>12</v>
      </c>
      <c r="I18" s="465">
        <f t="shared" si="0"/>
        <v>1.2E-2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6" x14ac:dyDescent="0.35">
      <c r="A19" s="283" t="s">
        <v>251</v>
      </c>
      <c r="B19" s="294">
        <f>(Vin-Vout-(Rdcr_pri+Rdson)*Iout)/L*OnTime*1000</f>
        <v>373125</v>
      </c>
      <c r="C19" s="281" t="s">
        <v>30</v>
      </c>
      <c r="D19" s="194">
        <f>B19/1000</f>
        <v>373.125</v>
      </c>
      <c r="E19" s="279" t="s">
        <v>252</v>
      </c>
      <c r="F19" s="270"/>
      <c r="G19" s="270"/>
      <c r="H19" s="174">
        <v>13</v>
      </c>
      <c r="I19" s="465">
        <f t="shared" si="0"/>
        <v>1.3000000000000001E-2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x14ac:dyDescent="0.25">
      <c r="A20" s="289" t="s">
        <v>253</v>
      </c>
      <c r="B20" s="295">
        <f>'LM(2)518x PSR flyback converter'!E13</f>
        <v>0.5</v>
      </c>
      <c r="C20" s="279" t="s">
        <v>2</v>
      </c>
      <c r="D20" s="296">
        <f>B20*1000</f>
        <v>500</v>
      </c>
      <c r="E20" s="281" t="s">
        <v>254</v>
      </c>
      <c r="F20" s="363"/>
      <c r="G20" s="270"/>
      <c r="H20" s="174">
        <v>14</v>
      </c>
      <c r="I20" s="465">
        <f t="shared" si="0"/>
        <v>1.4000000000000002E-2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x14ac:dyDescent="0.25">
      <c r="A21" s="289" t="s">
        <v>417</v>
      </c>
      <c r="B21" s="294">
        <v>350</v>
      </c>
      <c r="C21" s="281" t="s">
        <v>2</v>
      </c>
      <c r="D21" s="296">
        <f>B21*1000</f>
        <v>350000</v>
      </c>
      <c r="E21" s="281" t="s">
        <v>418</v>
      </c>
      <c r="F21" s="270"/>
      <c r="G21" s="270"/>
      <c r="H21" s="174">
        <v>15</v>
      </c>
      <c r="I21" s="465">
        <f t="shared" si="0"/>
        <v>1.4999999999999999E-2</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x14ac:dyDescent="0.25">
      <c r="A22" s="297" t="s">
        <v>38</v>
      </c>
      <c r="B22" s="298">
        <v>10</v>
      </c>
      <c r="C22" s="279" t="s">
        <v>32</v>
      </c>
      <c r="D22" s="299">
        <f>B22/1000000000</f>
        <v>1E-8</v>
      </c>
      <c r="E22" s="192" t="s">
        <v>255</v>
      </c>
      <c r="F22" s="270"/>
      <c r="G22" s="270"/>
      <c r="H22" s="174">
        <v>16</v>
      </c>
      <c r="I22" s="465">
        <f t="shared" si="0"/>
        <v>1.6E-2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x14ac:dyDescent="0.25">
      <c r="A23" s="297" t="s">
        <v>39</v>
      </c>
      <c r="B23" s="298">
        <v>10</v>
      </c>
      <c r="C23" s="279" t="s">
        <v>32</v>
      </c>
      <c r="D23" s="299">
        <f>B23/1000000000</f>
        <v>1E-8</v>
      </c>
      <c r="E23" s="192" t="s">
        <v>256</v>
      </c>
      <c r="F23" s="270"/>
      <c r="G23" s="270"/>
      <c r="H23" s="174">
        <v>17</v>
      </c>
      <c r="I23" s="465">
        <f t="shared" si="0"/>
        <v>1.7000000000000001E-2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x14ac:dyDescent="0.25">
      <c r="A24" s="244"/>
      <c r="B24" s="244"/>
      <c r="C24" s="244"/>
      <c r="D24" s="244"/>
      <c r="E24" s="244"/>
      <c r="F24" s="270"/>
      <c r="G24" s="270"/>
      <c r="H24" s="174">
        <v>18</v>
      </c>
      <c r="I24" s="465">
        <f t="shared" si="0"/>
        <v>1.7999999999999999E-2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x14ac:dyDescent="0.25">
      <c r="A25" s="286" t="s">
        <v>29</v>
      </c>
      <c r="B25" s="267" t="s">
        <v>43</v>
      </c>
      <c r="C25" s="287" t="s">
        <v>33</v>
      </c>
      <c r="D25" s="288" t="s">
        <v>90</v>
      </c>
      <c r="E25" s="269" t="s">
        <v>41</v>
      </c>
      <c r="F25" s="270"/>
      <c r="G25" s="270"/>
      <c r="H25" s="174">
        <v>19</v>
      </c>
      <c r="I25" s="465">
        <f t="shared" si="0"/>
        <v>1.9000000000000003E-2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8" thickBot="1" x14ac:dyDescent="0.3">
      <c r="A26" s="300" t="s">
        <v>27</v>
      </c>
      <c r="B26" s="281">
        <f>'LM(2)518x PSR flyback converter'!L7</f>
        <v>30</v>
      </c>
      <c r="C26" s="291" t="s">
        <v>96</v>
      </c>
      <c r="D26" s="198">
        <f>B26/1000000</f>
        <v>3.0000000000000001E-5</v>
      </c>
      <c r="E26" s="281" t="s">
        <v>257</v>
      </c>
      <c r="F26" s="301"/>
      <c r="G26" s="270"/>
      <c r="H26" s="174">
        <v>20</v>
      </c>
      <c r="I26" s="465">
        <f t="shared" si="0"/>
        <v>2.0000000000000004E-2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8" thickBot="1" x14ac:dyDescent="0.3">
      <c r="A27" s="302" t="s">
        <v>392</v>
      </c>
      <c r="B27" s="303">
        <f>'LM(2)518x PSR flyback converter'!L8</f>
        <v>100</v>
      </c>
      <c r="C27" s="304" t="s">
        <v>258</v>
      </c>
      <c r="D27" s="198">
        <f>B27/1000</f>
        <v>0.1</v>
      </c>
      <c r="E27" s="281" t="s">
        <v>487</v>
      </c>
      <c r="F27" s="270"/>
      <c r="G27" s="270"/>
      <c r="H27" s="174">
        <v>21</v>
      </c>
      <c r="I27" s="465">
        <f t="shared" si="0"/>
        <v>2.1000000000000001E-2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8" thickBot="1" x14ac:dyDescent="0.3">
      <c r="A28" s="302" t="s">
        <v>455</v>
      </c>
      <c r="B28" s="303">
        <f>'LM(2)518x PSR flyback converter'!L9</f>
        <v>30</v>
      </c>
      <c r="C28" s="304" t="s">
        <v>258</v>
      </c>
      <c r="D28" s="198">
        <f>B28/1000</f>
        <v>0.03</v>
      </c>
      <c r="E28" s="281" t="s">
        <v>661</v>
      </c>
      <c r="F28" s="270"/>
      <c r="G28" s="270"/>
      <c r="H28" s="174">
        <v>22</v>
      </c>
      <c r="I28" s="465">
        <f t="shared" si="0"/>
        <v>2.2000000000000002E-2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8" thickBot="1" x14ac:dyDescent="0.3">
      <c r="A29" s="305" t="s">
        <v>259</v>
      </c>
      <c r="B29" s="306">
        <v>0</v>
      </c>
      <c r="C29" s="304"/>
      <c r="D29" s="307">
        <f>B29</f>
        <v>0</v>
      </c>
      <c r="E29" s="308" t="s">
        <v>486</v>
      </c>
      <c r="F29" s="270"/>
      <c r="G29" s="270"/>
      <c r="H29" s="174">
        <v>23</v>
      </c>
      <c r="I29" s="465">
        <f t="shared" si="0"/>
        <v>2.3000000000000003E-2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8" thickBot="1" x14ac:dyDescent="0.3">
      <c r="A30" s="309" t="s">
        <v>28</v>
      </c>
      <c r="B30" s="303">
        <f>'LM(2)518x PSR flyback converter'!E18</f>
        <v>10</v>
      </c>
      <c r="C30" s="310" t="s">
        <v>97</v>
      </c>
      <c r="D30" s="311">
        <f>B30/1000000</f>
        <v>1.0000000000000001E-5</v>
      </c>
      <c r="E30" s="312" t="s">
        <v>60</v>
      </c>
      <c r="F30" s="270"/>
      <c r="G30" s="270"/>
      <c r="H30" s="174">
        <v>24</v>
      </c>
      <c r="I30" s="465">
        <f t="shared" si="0"/>
        <v>2.4E-2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8" thickBot="1" x14ac:dyDescent="0.3">
      <c r="A31" s="305" t="s">
        <v>260</v>
      </c>
      <c r="B31" s="303">
        <f>'LM(2)518x PSR flyback converter'!E19</f>
        <v>3</v>
      </c>
      <c r="C31" s="304" t="s">
        <v>258</v>
      </c>
      <c r="D31" s="198">
        <f>B31/1000</f>
        <v>3.0000000000000001E-3</v>
      </c>
      <c r="E31" s="281" t="s">
        <v>261</v>
      </c>
      <c r="F31" s="270"/>
      <c r="G31" s="270"/>
      <c r="H31" s="174">
        <v>25</v>
      </c>
      <c r="I31" s="465">
        <f t="shared" si="0"/>
        <v>2.5000000000000001E-2</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8" thickBot="1" x14ac:dyDescent="0.3">
      <c r="A32" s="300" t="s">
        <v>14</v>
      </c>
      <c r="B32" s="362">
        <f>'LM(2)518x PSR flyback converter'!E22</f>
        <v>10</v>
      </c>
      <c r="C32" s="291" t="s">
        <v>97</v>
      </c>
      <c r="D32" s="292">
        <f>B32/1000000</f>
        <v>1.0000000000000001E-5</v>
      </c>
      <c r="E32" s="281" t="s">
        <v>262</v>
      </c>
      <c r="F32" s="270"/>
      <c r="G32" s="270"/>
      <c r="H32" s="174">
        <v>26</v>
      </c>
      <c r="I32" s="465">
        <f t="shared" si="0"/>
        <v>2.6000000000000002E-2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x14ac:dyDescent="0.25">
      <c r="A33" s="305" t="s">
        <v>263</v>
      </c>
      <c r="B33" s="362">
        <f>'LM(2)518x PSR flyback converter'!E23</f>
        <v>3</v>
      </c>
      <c r="C33" s="304" t="s">
        <v>258</v>
      </c>
      <c r="D33" s="198">
        <f>B33/1000</f>
        <v>3.0000000000000001E-3</v>
      </c>
      <c r="E33" s="281" t="s">
        <v>264</v>
      </c>
      <c r="F33" s="270"/>
      <c r="G33" s="270"/>
      <c r="H33" s="174">
        <v>27</v>
      </c>
      <c r="I33" s="465">
        <f t="shared" si="0"/>
        <v>2.7000000000000003E-2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x14ac:dyDescent="0.25">
      <c r="A34" s="313" t="s">
        <v>401</v>
      </c>
      <c r="B34" s="267"/>
      <c r="C34" s="313" t="s">
        <v>33</v>
      </c>
      <c r="D34" s="314" t="s">
        <v>90</v>
      </c>
      <c r="E34" s="315" t="s">
        <v>41</v>
      </c>
      <c r="F34" s="270"/>
      <c r="G34" s="270"/>
      <c r="H34" s="174">
        <v>28</v>
      </c>
      <c r="I34" s="465">
        <f t="shared" si="0"/>
        <v>2.8000000000000004E-2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x14ac:dyDescent="0.25">
      <c r="A35" s="302" t="s">
        <v>406</v>
      </c>
      <c r="B35" s="316">
        <f>CHOOSE(VARIANT, 1.5, 0.75, 1.5, 2.5, 4.1)</f>
        <v>0.75</v>
      </c>
      <c r="C35" s="291" t="s">
        <v>1</v>
      </c>
      <c r="D35" s="273">
        <f>B35</f>
        <v>0.75</v>
      </c>
      <c r="E35" s="192" t="s">
        <v>405</v>
      </c>
      <c r="F35" s="270"/>
      <c r="G35" s="270"/>
      <c r="H35" s="174">
        <v>29</v>
      </c>
      <c r="I35" s="465">
        <f t="shared" si="0"/>
        <v>2.8999999999999998E-2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x14ac:dyDescent="0.25">
      <c r="A36" s="302" t="s">
        <v>414</v>
      </c>
      <c r="B36" s="316">
        <f>B35/5</f>
        <v>0.15</v>
      </c>
      <c r="C36" s="291" t="s">
        <v>1</v>
      </c>
      <c r="D36" s="273">
        <f>B36</f>
        <v>0.15</v>
      </c>
      <c r="E36" s="192" t="s">
        <v>415</v>
      </c>
      <c r="F36" s="270"/>
      <c r="G36" s="270"/>
      <c r="H36" s="174">
        <v>30</v>
      </c>
      <c r="I36" s="465">
        <f t="shared" si="0"/>
        <v>0.03</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8" thickBot="1" x14ac:dyDescent="0.3">
      <c r="A37" s="302" t="s">
        <v>693</v>
      </c>
      <c r="B37" s="650">
        <v>30</v>
      </c>
      <c r="C37" s="174" t="s">
        <v>32</v>
      </c>
      <c r="D37" s="174">
        <f>B37*0.000000001</f>
        <v>3.0000000000000004E-8</v>
      </c>
      <c r="E37" s="174" t="s">
        <v>694</v>
      </c>
      <c r="F37" s="270"/>
      <c r="G37" s="270"/>
      <c r="H37" s="174">
        <v>31</v>
      </c>
      <c r="I37" s="465">
        <f t="shared" si="0"/>
        <v>3.1E-2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8" thickBot="1" x14ac:dyDescent="0.3">
      <c r="A38" s="317" t="s">
        <v>47</v>
      </c>
      <c r="B38" s="536">
        <v>1</v>
      </c>
      <c r="C38" s="291"/>
      <c r="D38" s="273">
        <f>B38</f>
        <v>1</v>
      </c>
      <c r="E38" s="192" t="s">
        <v>416</v>
      </c>
      <c r="H38" s="174">
        <v>32</v>
      </c>
      <c r="I38" s="465">
        <f t="shared" ref="I38:I69" si="24">IF(PLOT_TYPE=1, H38/100*Iout_max, min_I*EXP(H38*rr/100))</f>
        <v>3.2000000000000001E-2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5">
      <c r="A39" s="302" t="s">
        <v>24</v>
      </c>
      <c r="B39" s="318">
        <v>290</v>
      </c>
      <c r="C39" s="291" t="s">
        <v>265</v>
      </c>
      <c r="D39" s="293">
        <f>B39/1000000</f>
        <v>2.9E-4</v>
      </c>
      <c r="E39" s="281" t="s">
        <v>488</v>
      </c>
      <c r="H39" s="174">
        <v>33</v>
      </c>
      <c r="I39" s="465">
        <f t="shared" si="24"/>
        <v>3.3000000000000002E-2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8" thickBot="1" x14ac:dyDescent="0.3">
      <c r="A40" s="313" t="s">
        <v>398</v>
      </c>
      <c r="B40" s="319"/>
      <c r="C40" s="313" t="s">
        <v>33</v>
      </c>
      <c r="D40" s="314" t="s">
        <v>90</v>
      </c>
      <c r="E40" s="320" t="s">
        <v>41</v>
      </c>
      <c r="H40" s="174">
        <v>34</v>
      </c>
      <c r="I40" s="465">
        <f t="shared" si="24"/>
        <v>3.4000000000000002E-2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5">
      <c r="A41" s="321" t="s">
        <v>399</v>
      </c>
      <c r="B41" s="322">
        <f>CHOOSE(VARIANT, 350, 350, 350, 110, 110)</f>
        <v>350</v>
      </c>
      <c r="C41" s="282" t="s">
        <v>258</v>
      </c>
      <c r="D41" s="175">
        <f>B41/1000</f>
        <v>0.35</v>
      </c>
      <c r="E41" s="281" t="s">
        <v>403</v>
      </c>
      <c r="H41" s="174">
        <v>35</v>
      </c>
      <c r="I41" s="465">
        <f t="shared" si="24"/>
        <v>3.4999999999999996E-2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8" thickBot="1" x14ac:dyDescent="0.3">
      <c r="A42" s="174" t="s">
        <v>687</v>
      </c>
      <c r="B42" s="174">
        <v>4500</v>
      </c>
      <c r="C42" s="645" t="s">
        <v>688</v>
      </c>
      <c r="D42" s="175">
        <f>B42/1000000</f>
        <v>4.4999999999999997E-3</v>
      </c>
      <c r="E42" s="646" t="s">
        <v>689</v>
      </c>
      <c r="H42" s="174">
        <v>36</v>
      </c>
      <c r="I42" s="465">
        <f t="shared" si="24"/>
        <v>3.5999999999999997E-2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8" thickBot="1" x14ac:dyDescent="0.3">
      <c r="A43" s="302" t="s">
        <v>266</v>
      </c>
      <c r="B43" s="323"/>
      <c r="C43" s="324" t="s">
        <v>267</v>
      </c>
      <c r="D43" s="175"/>
      <c r="E43" s="281" t="s">
        <v>266</v>
      </c>
      <c r="H43" s="174">
        <v>37</v>
      </c>
      <c r="I43" s="465">
        <f t="shared" si="24"/>
        <v>3.6999999999999998E-2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8" thickBot="1" x14ac:dyDescent="0.3">
      <c r="A44" s="302" t="s">
        <v>400</v>
      </c>
      <c r="B44" s="322">
        <f>CHOOSE(VARIANT, 2.5, 2.5, 2.5, 10, 10)</f>
        <v>2.5</v>
      </c>
      <c r="C44" s="291" t="s">
        <v>31</v>
      </c>
      <c r="D44" s="175">
        <f>B44/1000000000</f>
        <v>2.5000000000000001E-9</v>
      </c>
      <c r="E44" s="281" t="s">
        <v>402</v>
      </c>
      <c r="H44" s="174">
        <v>38</v>
      </c>
      <c r="I44" s="465">
        <f t="shared" si="24"/>
        <v>3.8000000000000006E-2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8" thickBot="1" x14ac:dyDescent="0.3">
      <c r="A45" s="305" t="s">
        <v>240</v>
      </c>
      <c r="B45" s="322">
        <f>CHOOSE(VARIANT, 50, 50, 50, 200, 200)</f>
        <v>50</v>
      </c>
      <c r="C45" s="291" t="s">
        <v>15</v>
      </c>
      <c r="D45" s="325">
        <f>B45/1000000000000</f>
        <v>5.0000000000000002E-11</v>
      </c>
      <c r="E45" s="281" t="s">
        <v>327</v>
      </c>
      <c r="H45" s="174">
        <v>39</v>
      </c>
      <c r="I45" s="465">
        <f t="shared" si="24"/>
        <v>3.9000000000000007E-2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5">
      <c r="A46" s="328" t="s">
        <v>326</v>
      </c>
      <c r="B46" s="322">
        <f>CHOOSE(VARIANT, 50, 50, 50, 250, 250)</f>
        <v>50</v>
      </c>
      <c r="C46" s="291" t="s">
        <v>15</v>
      </c>
      <c r="D46" s="293">
        <f>B46/1000000000000</f>
        <v>5.0000000000000002E-11</v>
      </c>
      <c r="E46" s="281" t="s">
        <v>479</v>
      </c>
      <c r="H46" s="174">
        <v>40</v>
      </c>
      <c r="I46" s="465">
        <f t="shared" si="24"/>
        <v>4.0000000000000008E-2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8" thickBot="1" x14ac:dyDescent="0.3">
      <c r="A47" s="313" t="s">
        <v>404</v>
      </c>
      <c r="B47" s="326"/>
      <c r="C47" s="313" t="s">
        <v>33</v>
      </c>
      <c r="D47" s="314" t="s">
        <v>90</v>
      </c>
      <c r="E47" s="327" t="s">
        <v>41</v>
      </c>
      <c r="H47" s="174">
        <v>41</v>
      </c>
      <c r="I47" s="465">
        <f t="shared" si="24"/>
        <v>4.1000000000000002E-2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8" thickBot="1" x14ac:dyDescent="0.3">
      <c r="A48" s="321" t="s">
        <v>659</v>
      </c>
      <c r="B48" s="322">
        <f>'LM(2)518x PSR flyback converter'!E42</f>
        <v>0.22</v>
      </c>
      <c r="C48" s="279" t="s">
        <v>0</v>
      </c>
      <c r="D48" s="175">
        <f>B48</f>
        <v>0.22</v>
      </c>
      <c r="E48" s="281" t="s">
        <v>658</v>
      </c>
      <c r="H48" s="174">
        <v>42</v>
      </c>
      <c r="I48" s="465">
        <f t="shared" si="24"/>
        <v>4.2000000000000003E-2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8" thickBot="1" x14ac:dyDescent="0.3">
      <c r="A49" s="321" t="s">
        <v>660</v>
      </c>
      <c r="B49" s="322">
        <f>'LM(2)518x PSR flyback converter'!E43</f>
        <v>0.3</v>
      </c>
      <c r="C49" s="279" t="s">
        <v>0</v>
      </c>
      <c r="D49" s="175">
        <f>B49</f>
        <v>0.3</v>
      </c>
      <c r="E49" s="281" t="s">
        <v>657</v>
      </c>
      <c r="H49" s="174">
        <v>43</v>
      </c>
      <c r="I49" s="465">
        <f t="shared" si="24"/>
        <v>4.3000000000000003E-2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8" thickBot="1" x14ac:dyDescent="0.3">
      <c r="A50" s="321" t="s">
        <v>268</v>
      </c>
      <c r="B50" s="322">
        <f>(B49-B48)/Iout</f>
        <v>0.79999999999999982</v>
      </c>
      <c r="C50" s="282" t="s">
        <v>45</v>
      </c>
      <c r="D50" s="175">
        <f>B50</f>
        <v>0.79999999999999982</v>
      </c>
      <c r="E50" s="281" t="s">
        <v>811</v>
      </c>
      <c r="H50" s="174">
        <v>44</v>
      </c>
      <c r="I50" s="465">
        <f t="shared" si="24"/>
        <v>4.4000000000000004E-2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8" thickBot="1" x14ac:dyDescent="0.3">
      <c r="A51" s="302" t="s">
        <v>407</v>
      </c>
      <c r="B51" s="322">
        <v>2</v>
      </c>
      <c r="C51" s="291" t="s">
        <v>31</v>
      </c>
      <c r="D51" s="293">
        <f>B51*0.000000001</f>
        <v>2.0000000000000001E-9</v>
      </c>
      <c r="E51" s="281" t="s">
        <v>269</v>
      </c>
      <c r="H51" s="174">
        <v>45</v>
      </c>
      <c r="I51" s="465">
        <f t="shared" si="24"/>
        <v>4.5000000000000005E-2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8" thickBot="1" x14ac:dyDescent="0.3">
      <c r="A52" s="302" t="s">
        <v>408</v>
      </c>
      <c r="B52" s="322">
        <v>10</v>
      </c>
      <c r="C52" s="291" t="s">
        <v>32</v>
      </c>
      <c r="D52" s="293">
        <f>B52*0.000000001</f>
        <v>1E-8</v>
      </c>
      <c r="E52" s="281" t="s">
        <v>270</v>
      </c>
      <c r="H52" s="174">
        <v>46</v>
      </c>
      <c r="I52" s="465">
        <f t="shared" si="24"/>
        <v>4.6000000000000006E-2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5">
      <c r="A53" s="328" t="s">
        <v>497</v>
      </c>
      <c r="B53" s="322">
        <v>0</v>
      </c>
      <c r="C53" s="279" t="s">
        <v>271</v>
      </c>
      <c r="D53" s="293">
        <f>B53/1000000</f>
        <v>0</v>
      </c>
      <c r="E53" s="281" t="s">
        <v>272</v>
      </c>
      <c r="H53" s="174">
        <v>47</v>
      </c>
      <c r="I53" s="465">
        <f t="shared" si="24"/>
        <v>4.7E-2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5">
      <c r="A54" s="174" t="s">
        <v>691</v>
      </c>
      <c r="B54" s="201">
        <f>'LM(2)518x PSR flyback converter'!E44</f>
        <v>41</v>
      </c>
      <c r="C54" s="645" t="s">
        <v>84</v>
      </c>
      <c r="D54" s="201">
        <f>B54</f>
        <v>41</v>
      </c>
      <c r="E54" s="174" t="s">
        <v>690</v>
      </c>
      <c r="H54" s="174">
        <v>48</v>
      </c>
      <c r="I54" s="465">
        <f t="shared" si="24"/>
        <v>4.8000000000000001E-2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5">
      <c r="H55" s="174">
        <v>49</v>
      </c>
      <c r="I55" s="465">
        <f t="shared" si="24"/>
        <v>4.9000000000000002E-2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5">
      <c r="H56" s="174">
        <v>50</v>
      </c>
      <c r="I56" s="465">
        <f t="shared" si="24"/>
        <v>0.05</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5">
      <c r="H57" s="174">
        <v>51</v>
      </c>
      <c r="I57" s="465">
        <f t="shared" si="24"/>
        <v>5.1000000000000004E-2</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5">
      <c r="H58" s="174">
        <v>52</v>
      </c>
      <c r="I58" s="465">
        <f t="shared" si="24"/>
        <v>5.2000000000000005E-2</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5">
      <c r="H59" s="174">
        <v>53</v>
      </c>
      <c r="I59" s="465">
        <f t="shared" si="24"/>
        <v>5.3000000000000005E-2</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5">
      <c r="H60" s="174">
        <v>54</v>
      </c>
      <c r="I60" s="465">
        <f t="shared" si="24"/>
        <v>5.4000000000000006E-2</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5">
      <c r="H61" s="174">
        <v>55</v>
      </c>
      <c r="I61" s="465">
        <f t="shared" si="24"/>
        <v>5.5000000000000007E-2</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5">
      <c r="H62" s="174">
        <v>56</v>
      </c>
      <c r="I62" s="465">
        <f t="shared" si="24"/>
        <v>5.6000000000000008E-2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x14ac:dyDescent="0.25">
      <c r="F63" s="329" t="s">
        <v>273</v>
      </c>
      <c r="G63" s="329" t="s">
        <v>274</v>
      </c>
      <c r="H63" s="174">
        <v>57</v>
      </c>
      <c r="I63" s="465">
        <f t="shared" si="24"/>
        <v>5.6999999999999995E-2</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5">
      <c r="F64" s="330">
        <f>BM56</f>
        <v>0</v>
      </c>
      <c r="G64" s="331">
        <f>I56*1000</f>
        <v>50</v>
      </c>
      <c r="H64" s="174">
        <v>58</v>
      </c>
      <c r="I64" s="465">
        <f t="shared" si="24"/>
        <v>5.7999999999999996E-2</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5">
      <c r="F65" s="330">
        <f>BM81</f>
        <v>0</v>
      </c>
      <c r="G65" s="331">
        <f>I81*1000</f>
        <v>75.000000000000014</v>
      </c>
      <c r="H65" s="174">
        <v>59</v>
      </c>
      <c r="I65" s="465">
        <f t="shared" si="24"/>
        <v>5.8999999999999997E-2</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5">
      <c r="F66" s="330">
        <f>BM106</f>
        <v>100</v>
      </c>
      <c r="G66" s="331">
        <f>I106*1000</f>
        <v>100</v>
      </c>
      <c r="H66" s="174">
        <v>60</v>
      </c>
      <c r="I66" s="465">
        <f t="shared" si="24"/>
        <v>0.06</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5">
      <c r="H67" s="174">
        <v>61</v>
      </c>
      <c r="I67" s="465">
        <f t="shared" si="24"/>
        <v>6.0999999999999999E-2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5">
      <c r="H68" s="174">
        <v>62</v>
      </c>
      <c r="I68" s="465">
        <f t="shared" si="24"/>
        <v>6.2E-2</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5">
      <c r="H69" s="174">
        <v>63</v>
      </c>
      <c r="I69" s="465">
        <f t="shared" si="24"/>
        <v>6.3E-2</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5">
      <c r="H70" s="174">
        <v>64</v>
      </c>
      <c r="I70" s="465">
        <f t="shared" ref="I70:I101" si="25">IF(PLOT_TYPE=1, H70/100*Iout_max, min_I*EXP(H70*rr/100))</f>
        <v>6.4000000000000001E-2</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5">
      <c r="H71" s="174">
        <v>65</v>
      </c>
      <c r="I71" s="465">
        <f t="shared" si="25"/>
        <v>6.5000000000000002E-2</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5">
      <c r="H72" s="174">
        <v>66</v>
      </c>
      <c r="I72" s="465">
        <f t="shared" si="25"/>
        <v>6.6000000000000003E-2</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5">
      <c r="H73" s="174">
        <v>67</v>
      </c>
      <c r="I73" s="465">
        <f t="shared" si="25"/>
        <v>6.7000000000000004E-2</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5">
      <c r="H74" s="174">
        <v>68</v>
      </c>
      <c r="I74" s="465">
        <f t="shared" si="25"/>
        <v>6.8000000000000005E-2</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5">
      <c r="H75" s="174">
        <v>69</v>
      </c>
      <c r="I75" s="465">
        <f t="shared" si="25"/>
        <v>6.8999999999999992E-2</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5">
      <c r="H76" s="174">
        <v>70</v>
      </c>
      <c r="I76" s="465">
        <f t="shared" si="25"/>
        <v>6.9999999999999993E-2</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5">
      <c r="H77" s="174">
        <v>71</v>
      </c>
      <c r="I77" s="465">
        <f t="shared" si="25"/>
        <v>7.0999999999999994E-2</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5">
      <c r="H78" s="174">
        <v>72</v>
      </c>
      <c r="I78" s="465">
        <f t="shared" si="25"/>
        <v>7.1999999999999995E-2</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5">
      <c r="H79" s="174">
        <v>73</v>
      </c>
      <c r="I79" s="465">
        <f t="shared" si="25"/>
        <v>7.2999999999999995E-2</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5">
      <c r="H80" s="174">
        <v>74</v>
      </c>
      <c r="I80" s="465">
        <f t="shared" si="25"/>
        <v>7.3999999999999996E-2</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5">
      <c r="H81" s="174">
        <v>75</v>
      </c>
      <c r="I81" s="465">
        <f t="shared" si="25"/>
        <v>7.5000000000000011E-2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5">
      <c r="H82" s="174">
        <v>76</v>
      </c>
      <c r="I82" s="465">
        <f t="shared" si="25"/>
        <v>7.6000000000000012E-2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5">
      <c r="H83" s="174">
        <v>77</v>
      </c>
      <c r="I83" s="465">
        <f t="shared" si="25"/>
        <v>7.7000000000000013E-2</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5">
      <c r="H84" s="174">
        <v>78</v>
      </c>
      <c r="I84" s="465">
        <f t="shared" si="25"/>
        <v>7.8000000000000014E-2</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5">
      <c r="H85" s="174">
        <v>79</v>
      </c>
      <c r="I85" s="465">
        <f t="shared" si="25"/>
        <v>7.9000000000000015E-2</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5">
      <c r="H86" s="174">
        <v>80</v>
      </c>
      <c r="I86" s="465">
        <f t="shared" si="25"/>
        <v>8.0000000000000016E-2</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5">
      <c r="H87" s="174">
        <v>81</v>
      </c>
      <c r="I87" s="465">
        <f t="shared" si="25"/>
        <v>8.1000000000000016E-2</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x14ac:dyDescent="0.25">
      <c r="F88" s="329" t="s">
        <v>273</v>
      </c>
      <c r="G88" s="329" t="s">
        <v>274</v>
      </c>
      <c r="H88" s="174">
        <v>82</v>
      </c>
      <c r="I88" s="465">
        <f t="shared" si="25"/>
        <v>8.2000000000000003E-2</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5">
      <c r="F89" s="330">
        <f>BO51</f>
        <v>0</v>
      </c>
      <c r="G89" s="331">
        <f>I56*1000</f>
        <v>50</v>
      </c>
      <c r="H89" s="174">
        <v>83</v>
      </c>
      <c r="I89" s="465">
        <f t="shared" si="25"/>
        <v>8.3000000000000004E-2</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5">
      <c r="F90" s="330">
        <f>BO81</f>
        <v>0</v>
      </c>
      <c r="G90" s="331">
        <f>I81*1000</f>
        <v>75.000000000000014</v>
      </c>
      <c r="H90" s="174">
        <v>84</v>
      </c>
      <c r="I90" s="465">
        <f t="shared" si="25"/>
        <v>8.4000000000000005E-2</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5">
      <c r="F91" s="330">
        <f>BO106</f>
        <v>88.698181382326453</v>
      </c>
      <c r="G91" s="331">
        <f>I106*1000</f>
        <v>100</v>
      </c>
      <c r="H91" s="174">
        <v>85</v>
      </c>
      <c r="I91" s="465">
        <f t="shared" si="25"/>
        <v>8.5000000000000006E-2</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5">
      <c r="H92" s="174">
        <v>86</v>
      </c>
      <c r="I92" s="465">
        <f t="shared" si="25"/>
        <v>8.6000000000000007E-2</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5">
      <c r="H93" s="174">
        <v>87</v>
      </c>
      <c r="I93" s="465">
        <f t="shared" si="25"/>
        <v>8.7000000000000008E-2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5">
      <c r="H94" s="174">
        <v>88</v>
      </c>
      <c r="I94" s="465">
        <f t="shared" si="25"/>
        <v>8.8000000000000009E-2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5">
      <c r="H95" s="174">
        <v>89</v>
      </c>
      <c r="I95" s="465">
        <f t="shared" si="25"/>
        <v>8.900000000000001E-2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5">
      <c r="H96" s="174">
        <v>90</v>
      </c>
      <c r="I96" s="465">
        <f t="shared" si="25"/>
        <v>9.0000000000000011E-2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5">
      <c r="H97" s="174">
        <v>91</v>
      </c>
      <c r="I97" s="465">
        <f t="shared" si="25"/>
        <v>9.1000000000000011E-2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5">
      <c r="H98" s="174">
        <v>92</v>
      </c>
      <c r="I98" s="465">
        <f t="shared" si="25"/>
        <v>9.2000000000000012E-2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5">
      <c r="H99" s="174">
        <v>93</v>
      </c>
      <c r="I99" s="465">
        <f t="shared" si="25"/>
        <v>9.3000000000000013E-2</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5">
      <c r="H100" s="174">
        <v>94</v>
      </c>
      <c r="I100" s="465">
        <f t="shared" si="25"/>
        <v>9.4E-2</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5">
      <c r="H101" s="174">
        <v>95</v>
      </c>
      <c r="I101" s="465">
        <f t="shared" si="25"/>
        <v>9.5000000000000001E-2</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5">
      <c r="H102" s="174">
        <v>96</v>
      </c>
      <c r="I102" s="465">
        <f t="shared" ref="I102:I106" si="26">IF(PLOT_TYPE=1, H102/100*Iout_max, min_I*EXP(H102*rr/100))</f>
        <v>9.6000000000000002E-2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5">
      <c r="H103" s="174">
        <v>97</v>
      </c>
      <c r="I103" s="465">
        <f t="shared" si="26"/>
        <v>9.7000000000000003E-2</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5">
      <c r="H104" s="174">
        <v>98</v>
      </c>
      <c r="I104" s="465">
        <f t="shared" si="26"/>
        <v>9.8000000000000004E-2</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5">
      <c r="H105" s="174">
        <v>99</v>
      </c>
      <c r="I105" s="465">
        <f t="shared" si="26"/>
        <v>9.9000000000000005E-2</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5">
      <c r="H106" s="174">
        <v>100</v>
      </c>
      <c r="I106" s="465">
        <f t="shared" si="26"/>
        <v>0.1</v>
      </c>
      <c r="J106" s="221"/>
      <c r="K106" s="221"/>
      <c r="L106" s="221"/>
      <c r="M106" s="221"/>
      <c r="N106" s="271"/>
      <c r="O106" s="176"/>
      <c r="P106" s="221"/>
      <c r="Q106" s="451"/>
      <c r="S106" s="272"/>
      <c r="T106" s="272"/>
      <c r="U106" s="272"/>
      <c r="AJ106" s="451"/>
      <c r="AY106" s="220">
        <f>Vout*I106</f>
        <v>1.5</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t="e">
        <f xml:space="preserve"> CHOOSE(MODE, I106*1000,#REF!)</f>
        <v>#REF!</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t="e">
        <f xml:space="preserve"> IF(MODE=1, BM106,#REF!)</f>
        <v>#REF!</v>
      </c>
      <c r="CA106" s="176" t="e">
        <f xml:space="preserve"> IF(MODE=1, BU106,#REF!)</f>
        <v>#REF!</v>
      </c>
      <c r="CB106" s="176" t="e">
        <f xml:space="preserve"> IF(MODE=1, BV106,#REF!)</f>
        <v>#REF!</v>
      </c>
      <c r="CC106" s="176" t="e">
        <f xml:space="preserve"> IF(MODE=1, BW106,#REF!)</f>
        <v>#REF!</v>
      </c>
    </row>
    <row r="107" spans="8:81" x14ac:dyDescent="0.25">
      <c r="BQ107" s="274"/>
      <c r="BR107" s="275"/>
      <c r="BS107" s="275"/>
      <c r="BT107" s="276"/>
      <c r="BX107" s="223"/>
      <c r="BY107" s="223"/>
    </row>
    <row r="108" spans="8:81" x14ac:dyDescent="0.25">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x14ac:dyDescent="0.25">
      <c r="H109" s="335">
        <f>Iout_max</f>
        <v>0.1</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x14ac:dyDescent="0.25">
      <c r="H110" s="335">
        <f>LOG(max_I/min_I,EXP(1))</f>
        <v>9.2103403719761836</v>
      </c>
      <c r="I110" s="221"/>
      <c r="J110" s="334" t="s">
        <v>278</v>
      </c>
    </row>
    <row r="111" spans="8:81" x14ac:dyDescent="0.25">
      <c r="AZ111" s="336"/>
      <c r="BA111" s="356"/>
      <c r="BB111" s="356"/>
      <c r="BC111" s="356"/>
      <c r="BD111" s="356"/>
      <c r="BE111" s="356"/>
      <c r="BF111" s="356"/>
      <c r="BG111" s="356"/>
      <c r="BH111" s="356"/>
      <c r="BI111" s="356"/>
      <c r="BJ111" s="356"/>
    </row>
    <row r="112" spans="8:81" x14ac:dyDescent="0.25">
      <c r="J112" s="338"/>
      <c r="R112" s="339"/>
      <c r="S112" s="339"/>
      <c r="T112" s="339"/>
      <c r="U112" s="339"/>
      <c r="V112" s="340"/>
    </row>
    <row r="113" spans="10:22" x14ac:dyDescent="0.25">
      <c r="J113" s="338"/>
      <c r="R113" s="339"/>
      <c r="S113" s="339"/>
      <c r="T113" s="339"/>
      <c r="U113" s="339"/>
      <c r="V113" s="340"/>
    </row>
    <row r="114" spans="10:22" x14ac:dyDescent="0.25">
      <c r="R114" s="341"/>
      <c r="S114" s="341"/>
      <c r="T114" s="341"/>
      <c r="U114" s="341"/>
      <c r="V114" s="340"/>
    </row>
    <row r="116" spans="10:22" x14ac:dyDescent="0.25">
      <c r="R116" s="341"/>
      <c r="S116" s="341"/>
      <c r="T116" s="341"/>
      <c r="U116" s="341"/>
      <c r="V116" s="340"/>
    </row>
    <row r="121" spans="10:22" x14ac:dyDescent="0.25">
      <c r="V121" s="334"/>
    </row>
    <row r="122" spans="10:22" x14ac:dyDescent="0.25">
      <c r="O122" s="334"/>
      <c r="P122" s="334"/>
      <c r="Q122" s="334"/>
    </row>
    <row r="123" spans="10:22" x14ac:dyDescent="0.25">
      <c r="O123" s="334"/>
      <c r="P123" s="334"/>
      <c r="Q123" s="334"/>
    </row>
    <row r="124" spans="10:22" x14ac:dyDescent="0.25">
      <c r="O124" s="334"/>
      <c r="P124" s="334"/>
      <c r="Q124" s="334"/>
    </row>
    <row r="125" spans="10:22" x14ac:dyDescent="0.25">
      <c r="O125" s="334"/>
      <c r="P125" s="334"/>
      <c r="Q125" s="334"/>
    </row>
    <row r="126" spans="10:22" x14ac:dyDescent="0.25">
      <c r="J126" s="342"/>
      <c r="O126" s="334"/>
      <c r="P126" s="334"/>
      <c r="Q126" s="334"/>
    </row>
    <row r="127" spans="10:22" x14ac:dyDescent="0.25">
      <c r="J127" s="342"/>
      <c r="O127" s="334"/>
      <c r="P127" s="334"/>
      <c r="Q127" s="334"/>
    </row>
    <row r="128" spans="10:22" x14ac:dyDescent="0.25">
      <c r="J128" s="342"/>
      <c r="O128" s="334"/>
      <c r="P128" s="334"/>
      <c r="Q128" s="334"/>
    </row>
    <row r="129" spans="10:17" x14ac:dyDescent="0.25">
      <c r="J129" s="333"/>
      <c r="O129" s="334"/>
      <c r="P129" s="334"/>
      <c r="Q129" s="334"/>
    </row>
    <row r="130" spans="10:17" x14ac:dyDescent="0.25">
      <c r="J130" s="333"/>
    </row>
    <row r="131" spans="10:17" x14ac:dyDescent="0.25">
      <c r="J131" s="333"/>
    </row>
    <row r="132" spans="10:17" x14ac:dyDescent="0.25">
      <c r="J132" s="333"/>
    </row>
    <row r="133" spans="10:17" x14ac:dyDescent="0.25">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182880</xdr:colOff>
                <xdr:row>111</xdr:row>
                <xdr:rowOff>144780</xdr:rowOff>
              </from>
              <to>
                <xdr:col>36</xdr:col>
                <xdr:colOff>15240</xdr:colOff>
                <xdr:row>125</xdr:row>
                <xdr:rowOff>144780</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'BOM &amp; Schematic'!Druckbereich</vt:lpstr>
      <vt:lpstr>'LM(2)518x PSR flyback converter'!Druckbereich</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Lauritzen</cp:lastModifiedBy>
  <cp:lastPrinted>2016-03-02T21:18:53Z</cp:lastPrinted>
  <dcterms:created xsi:type="dcterms:W3CDTF">1996-10-14T23:33:28Z</dcterms:created>
  <dcterms:modified xsi:type="dcterms:W3CDTF">2025-02-25T14:40:27Z</dcterms:modified>
</cp:coreProperties>
</file>