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7470" windowHeight="1100" tabRatio="487" activeTab="1"/>
  </bookViews>
  <sheets>
    <sheet name="Intro" sheetId="7" r:id="rId1"/>
    <sheet name="Design_Calculator" sheetId="1" r:id="rId2"/>
    <sheet name="SOA_Look_Up" sheetId="9" r:id="rId3"/>
    <sheet name="Start_Up_Worksheet" sheetId="8" r:id="rId4"/>
  </sheets>
  <definedNames>
    <definedName name="Cgate">Design_Calculator!$C$90</definedName>
    <definedName name="COUT">Design_Calculator!$C$50</definedName>
    <definedName name="Ctimer">Design_Calculator!$C$94</definedName>
    <definedName name="dVdT">Design_Calculator!$C$67</definedName>
    <definedName name="ENF">Design_Calculator!$C$40</definedName>
    <definedName name="ENR">Design_Calculator!$C$39</definedName>
    <definedName name="ENRise">Design_Calculator!$C$97</definedName>
    <definedName name="FB_max">Design_Calculator!#REF!</definedName>
    <definedName name="FET_Gate_Charge_to_reach_Vgs_5.9V">Design_Calculator!$C$64</definedName>
    <definedName name="I_gate">Design_Calculator!$C$41</definedName>
    <definedName name="I_limit">Design_Calculator!$C$87</definedName>
    <definedName name="I_SOA_100ms">Design_Calculator!$C$60</definedName>
    <definedName name="I_SOA_10ms">Design_Calculator!$C$59</definedName>
    <definedName name="I_SOA_1ms">Design_Calculator!$C$58</definedName>
    <definedName name="I_source">Design_Calculator!$C$46</definedName>
    <definedName name="Ilim_min">Design_Calculator!#REF!</definedName>
    <definedName name="Iload_max">Design_Calculator!$C$48</definedName>
    <definedName name="IMON_scale_factor">Design_Calculator!#REF!</definedName>
    <definedName name="Irampo">Design_Calculator!$C$68</definedName>
    <definedName name="Itimer">Design_Calculator!$C$38</definedName>
    <definedName name="No_of_FETs">Design_Calculator!$C$65</definedName>
    <definedName name="OVF">Design_Calculator!#REF!</definedName>
    <definedName name="OVLO_F">Design_Calculator!#REF!</definedName>
    <definedName name="OVLO_R">Design_Calculator!#REF!</definedName>
    <definedName name="OVR">Design_Calculator!#REF!</definedName>
    <definedName name="OVRise">Design_Calculator!#REF!</definedName>
    <definedName name="P_DC_FET">Design_Calculator!$C$78</definedName>
    <definedName name="P_lim_min">Design_Calculator!#REF!</definedName>
    <definedName name="P_limit">Design_Calculator!#REF!</definedName>
    <definedName name="PLIM">Design_Calculator!#REF!</definedName>
    <definedName name="Power_limit_pass">Design_Calculator!#REF!</definedName>
    <definedName name="QFET">Design_Calculator!$C$47</definedName>
    <definedName name="R_1">Design_Calculator!$C$98</definedName>
    <definedName name="R_1c">Design_Calculator!#REF!</definedName>
    <definedName name="R_2">Design_Calculator!#REF!</definedName>
    <definedName name="R_3">Design_Calculator!$C$100</definedName>
    <definedName name="R_3c">Design_Calculator!$C$99</definedName>
    <definedName name="R_dson_125C">Design_Calculator!$C$62</definedName>
    <definedName name="R_dson_max">Design_Calculator!$C$62</definedName>
    <definedName name="R_JA">Design_Calculator!$C$53</definedName>
    <definedName name="Rds_on_Max">Design_Calculator!$C$61</definedName>
    <definedName name="Rdson">Design_Calculator!$C$63</definedName>
    <definedName name="Retry">Design_Calculator!$C$66</definedName>
    <definedName name="Retry_duty_cycle">Design_Calculator!$C$36</definedName>
    <definedName name="Rimon1">Design_Calculator!#REF!</definedName>
    <definedName name="Rload_st">Design_Calculator!$C$51</definedName>
    <definedName name="Rprog">Design_Calculator!#REF!</definedName>
    <definedName name="Rprog1">Design_Calculator!#REF!</definedName>
    <definedName name="Rsense">Design_Calculator!$C$55</definedName>
    <definedName name="Rsense_max">Design_Calculator!$C$54</definedName>
    <definedName name="Rset">Design_Calculator!#REF!</definedName>
    <definedName name="SOA_25C">Design_Calculator!$C$80</definedName>
    <definedName name="SOA_av">Design_Calculator!$C$81</definedName>
    <definedName name="SOA_margin">Design_Calculator!$C$83</definedName>
    <definedName name="SOA_mrg">Design_Calculator!$C$82</definedName>
    <definedName name="SOA_pass">Design_Calculator!$C$84</definedName>
    <definedName name="solver_adj" localSheetId="1" hidden="1">Design_Calculator!#REF!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Design_Calculator!#REF!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  <definedName name="T_amb_deg">Design_Calculator!$C$52</definedName>
    <definedName name="T_dVdT">Design_Calculator!$C$74</definedName>
    <definedName name="T_fault">Design_Calculator!$C$77</definedName>
    <definedName name="T_fault_actual">Design_Calculator!$C$95</definedName>
    <definedName name="T_FET1">Design_Calculator!$C$73</definedName>
    <definedName name="T_j_DC_max">Design_Calculator!$C$79</definedName>
    <definedName name="T_jfet_max">Design_Calculator!$C$57</definedName>
    <definedName name="T_margin">Design_Calculator!$C$76</definedName>
    <definedName name="T_total">Design_Calculator!$C$75</definedName>
    <definedName name="Tcap">Design_Calculator!$C$72</definedName>
    <definedName name="Tfault">Design_Calculator!$C$93</definedName>
    <definedName name="UVLO_F">Design_Calculator!$C$103</definedName>
    <definedName name="UVLO_R">Design_Calculator!$C$102</definedName>
    <definedName name="V_bus_max">Design_Calculator!$C$49</definedName>
    <definedName name="V_sns_cl_max">Design_Calculator!$C$42</definedName>
    <definedName name="V_sns_min">Design_Calculator!#REF!</definedName>
    <definedName name="Vta">Design_Calculator!$C$43</definedName>
    <definedName name="Vtimer">Design_Calculator!$C$37</definedName>
  </definedNames>
  <calcPr calcId="145621"/>
</workbook>
</file>

<file path=xl/calcChain.xml><?xml version="1.0" encoding="utf-8"?>
<calcChain xmlns="http://schemas.openxmlformats.org/spreadsheetml/2006/main">
  <c r="C64" i="1" l="1"/>
  <c r="C87" i="1" l="1"/>
  <c r="C103" i="1"/>
  <c r="C102" i="1"/>
  <c r="C99" i="1"/>
  <c r="C9" i="9" l="1"/>
  <c r="C4" i="9"/>
  <c r="C91" i="1" l="1"/>
  <c r="C89" i="1"/>
  <c r="C73" i="1"/>
  <c r="C63" i="1" l="1"/>
  <c r="C62" i="1"/>
  <c r="C78" i="1" s="1"/>
  <c r="C54" i="1" l="1"/>
  <c r="C95" i="1" l="1"/>
  <c r="C74" i="1"/>
  <c r="C79" i="1" l="1"/>
  <c r="E4" i="9"/>
  <c r="D4" i="9"/>
  <c r="M17" i="8" l="1"/>
  <c r="M10" i="8"/>
  <c r="M13" i="8" s="1"/>
  <c r="M19" i="8" l="1"/>
  <c r="H2" i="8"/>
  <c r="H3" i="8" s="1"/>
  <c r="H4" i="8" s="1"/>
  <c r="H5" i="8" s="1"/>
  <c r="H6" i="8" s="1"/>
  <c r="H7" i="8" s="1"/>
  <c r="A2" i="8"/>
  <c r="D2" i="8"/>
  <c r="D3" i="8" s="1"/>
  <c r="D4" i="8" s="1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D34" i="8" s="1"/>
  <c r="D35" i="8" s="1"/>
  <c r="D36" i="8" s="1"/>
  <c r="D37" i="8" s="1"/>
  <c r="D38" i="8" s="1"/>
  <c r="D39" i="8" s="1"/>
  <c r="D40" i="8" s="1"/>
  <c r="D41" i="8" s="1"/>
  <c r="D42" i="8" s="1"/>
  <c r="D43" i="8" s="1"/>
  <c r="D44" i="8" s="1"/>
  <c r="D45" i="8" s="1"/>
  <c r="D46" i="8" s="1"/>
  <c r="D47" i="8" s="1"/>
  <c r="D48" i="8" s="1"/>
  <c r="D49" i="8" s="1"/>
  <c r="D50" i="8" s="1"/>
  <c r="D51" i="8" s="1"/>
  <c r="D52" i="8" s="1"/>
  <c r="D53" i="8" s="1"/>
  <c r="D54" i="8" s="1"/>
  <c r="D55" i="8" s="1"/>
  <c r="D56" i="8" s="1"/>
  <c r="D57" i="8" s="1"/>
  <c r="D58" i="8" s="1"/>
  <c r="D59" i="8" s="1"/>
  <c r="D60" i="8" s="1"/>
  <c r="D61" i="8" s="1"/>
  <c r="D62" i="8" s="1"/>
  <c r="D63" i="8" s="1"/>
  <c r="D64" i="8" s="1"/>
  <c r="D65" i="8" s="1"/>
  <c r="D66" i="8" s="1"/>
  <c r="D67" i="8" s="1"/>
  <c r="D68" i="8" s="1"/>
  <c r="D69" i="8" s="1"/>
  <c r="D70" i="8" s="1"/>
  <c r="D71" i="8" s="1"/>
  <c r="D72" i="8" s="1"/>
  <c r="D73" i="8" s="1"/>
  <c r="D74" i="8" s="1"/>
  <c r="D75" i="8" s="1"/>
  <c r="D76" i="8" s="1"/>
  <c r="D77" i="8" s="1"/>
  <c r="D78" i="8" s="1"/>
  <c r="D79" i="8" s="1"/>
  <c r="D80" i="8" s="1"/>
  <c r="D81" i="8" s="1"/>
  <c r="D82" i="8" s="1"/>
  <c r="D83" i="8" s="1"/>
  <c r="D84" i="8" s="1"/>
  <c r="D85" i="8" s="1"/>
  <c r="D86" i="8" s="1"/>
  <c r="D87" i="8" s="1"/>
  <c r="D88" i="8" s="1"/>
  <c r="D89" i="8" s="1"/>
  <c r="D90" i="8" s="1"/>
  <c r="D91" i="8" s="1"/>
  <c r="D92" i="8" s="1"/>
  <c r="D93" i="8" s="1"/>
  <c r="D94" i="8" s="1"/>
  <c r="D95" i="8" s="1"/>
  <c r="D96" i="8" s="1"/>
  <c r="D97" i="8" s="1"/>
  <c r="D98" i="8" s="1"/>
  <c r="D99" i="8" s="1"/>
  <c r="D100" i="8" s="1"/>
  <c r="D101" i="8" s="1"/>
  <c r="D102" i="8" s="1"/>
  <c r="B2" i="8"/>
  <c r="B3" i="8" s="1"/>
  <c r="C31" i="8" s="1"/>
  <c r="A3" i="8" l="1"/>
  <c r="F2" i="8"/>
  <c r="C48" i="8"/>
  <c r="E48" i="8" s="1"/>
  <c r="C70" i="8"/>
  <c r="E70" i="8" s="1"/>
  <c r="C56" i="8"/>
  <c r="E56" i="8" s="1"/>
  <c r="C94" i="8"/>
  <c r="E94" i="8" s="1"/>
  <c r="C55" i="8"/>
  <c r="E55" i="8" s="1"/>
  <c r="C75" i="8"/>
  <c r="E75" i="8" s="1"/>
  <c r="C17" i="8"/>
  <c r="E17" i="8" s="1"/>
  <c r="C9" i="8"/>
  <c r="E9" i="8" s="1"/>
  <c r="C77" i="8"/>
  <c r="E77" i="8" s="1"/>
  <c r="C38" i="8"/>
  <c r="E38" i="8" s="1"/>
  <c r="C47" i="8"/>
  <c r="E47" i="8" s="1"/>
  <c r="C12" i="8"/>
  <c r="E12" i="8" s="1"/>
  <c r="C21" i="8"/>
  <c r="E21" i="8" s="1"/>
  <c r="C83" i="8"/>
  <c r="E83" i="8" s="1"/>
  <c r="C54" i="8"/>
  <c r="E54" i="8" s="1"/>
  <c r="C91" i="8"/>
  <c r="E91" i="8" s="1"/>
  <c r="C16" i="8"/>
  <c r="E16" i="8" s="1"/>
  <c r="C98" i="8"/>
  <c r="E98" i="8" s="1"/>
  <c r="C40" i="8"/>
  <c r="E40" i="8" s="1"/>
  <c r="C92" i="8"/>
  <c r="E92" i="8" s="1"/>
  <c r="C50" i="8"/>
  <c r="E50" i="8" s="1"/>
  <c r="C25" i="8"/>
  <c r="E25" i="8" s="1"/>
  <c r="C44" i="8"/>
  <c r="E44" i="8" s="1"/>
  <c r="C8" i="8"/>
  <c r="E8" i="8" s="1"/>
  <c r="C34" i="8"/>
  <c r="E34" i="8" s="1"/>
  <c r="C96" i="8"/>
  <c r="E96" i="8" s="1"/>
  <c r="C93" i="8"/>
  <c r="E93" i="8" s="1"/>
  <c r="C29" i="8"/>
  <c r="E29" i="8" s="1"/>
  <c r="C62" i="8"/>
  <c r="E62" i="8" s="1"/>
  <c r="C97" i="8"/>
  <c r="E97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C79" i="8"/>
  <c r="E79" i="8" s="1"/>
  <c r="C59" i="8"/>
  <c r="E59" i="8" s="1"/>
  <c r="C99" i="8"/>
  <c r="E99" i="8" s="1"/>
  <c r="C58" i="8"/>
  <c r="E58" i="8" s="1"/>
  <c r="C30" i="8"/>
  <c r="E30" i="8" s="1"/>
  <c r="C82" i="8"/>
  <c r="E82" i="8" s="1"/>
  <c r="E2" i="8"/>
  <c r="H8" i="8"/>
  <c r="E31" i="8"/>
  <c r="C80" i="8"/>
  <c r="E80" i="8" s="1"/>
  <c r="C85" i="8"/>
  <c r="E85" i="8" s="1"/>
  <c r="C63" i="8"/>
  <c r="E63" i="8" s="1"/>
  <c r="C15" i="8"/>
  <c r="E15" i="8" s="1"/>
  <c r="C60" i="8"/>
  <c r="E60" i="8" s="1"/>
  <c r="C57" i="8"/>
  <c r="E57" i="8" s="1"/>
  <c r="C81" i="8"/>
  <c r="E81" i="8" s="1"/>
  <c r="C88" i="8"/>
  <c r="E88" i="8" s="1"/>
  <c r="C41" i="8"/>
  <c r="E41" i="8" s="1"/>
  <c r="C36" i="8"/>
  <c r="E36" i="8" s="1"/>
  <c r="C3" i="8"/>
  <c r="E3" i="8" s="1"/>
  <c r="C49" i="8"/>
  <c r="E49" i="8" s="1"/>
  <c r="C23" i="8"/>
  <c r="E23" i="8" s="1"/>
  <c r="C19" i="8"/>
  <c r="E19" i="8" s="1"/>
  <c r="C66" i="8"/>
  <c r="E66" i="8" s="1"/>
  <c r="C74" i="8"/>
  <c r="E74" i="8" s="1"/>
  <c r="C18" i="8"/>
  <c r="E18" i="8" s="1"/>
  <c r="C51" i="8"/>
  <c r="E51" i="8" s="1"/>
  <c r="C52" i="8"/>
  <c r="E52" i="8" s="1"/>
  <c r="C102" i="8"/>
  <c r="E102" i="8" s="1"/>
  <c r="C64" i="8"/>
  <c r="E64" i="8" s="1"/>
  <c r="C13" i="8"/>
  <c r="E13" i="8" s="1"/>
  <c r="C87" i="8"/>
  <c r="E87" i="8" s="1"/>
  <c r="C6" i="8"/>
  <c r="E6" i="8" s="1"/>
  <c r="C10" i="8"/>
  <c r="E10" i="8" s="1"/>
  <c r="C32" i="8"/>
  <c r="E32" i="8" s="1"/>
  <c r="C20" i="8"/>
  <c r="E20" i="8" s="1"/>
  <c r="C27" i="8"/>
  <c r="E27" i="8" s="1"/>
  <c r="C45" i="8"/>
  <c r="E45" i="8" s="1"/>
  <c r="C72" i="8"/>
  <c r="E72" i="8" s="1"/>
  <c r="C101" i="8"/>
  <c r="E101" i="8" s="1"/>
  <c r="C100" i="8"/>
  <c r="E100" i="8" s="1"/>
  <c r="C73" i="8"/>
  <c r="E73" i="8" s="1"/>
  <c r="C5" i="8"/>
  <c r="E5" i="8" s="1"/>
  <c r="C42" i="8"/>
  <c r="E42" i="8" s="1"/>
  <c r="C53" i="8"/>
  <c r="E53" i="8" s="1"/>
  <c r="C65" i="8"/>
  <c r="E65" i="8" s="1"/>
  <c r="C78" i="8"/>
  <c r="E78" i="8" s="1"/>
  <c r="C95" i="8"/>
  <c r="E95" i="8" s="1"/>
  <c r="C90" i="8"/>
  <c r="E90" i="8" s="1"/>
  <c r="C67" i="8"/>
  <c r="E67" i="8" s="1"/>
  <c r="C35" i="8"/>
  <c r="E35" i="8" s="1"/>
  <c r="C24" i="8"/>
  <c r="E24" i="8" s="1"/>
  <c r="C11" i="8"/>
  <c r="E11" i="8" s="1"/>
  <c r="C39" i="8"/>
  <c r="E39" i="8" s="1"/>
  <c r="C22" i="8"/>
  <c r="E22" i="8" s="1"/>
  <c r="C14" i="8"/>
  <c r="E14" i="8" s="1"/>
  <c r="C46" i="8"/>
  <c r="E46" i="8" s="1"/>
  <c r="C37" i="8"/>
  <c r="E37" i="8" s="1"/>
  <c r="C69" i="8"/>
  <c r="E69" i="8" s="1"/>
  <c r="C89" i="8"/>
  <c r="E89" i="8" s="1"/>
  <c r="C43" i="8"/>
  <c r="E43" i="8" s="1"/>
  <c r="C33" i="8"/>
  <c r="E33" i="8" s="1"/>
  <c r="C76" i="8"/>
  <c r="E76" i="8" s="1"/>
  <c r="C28" i="8"/>
  <c r="E28" i="8" s="1"/>
  <c r="C7" i="8"/>
  <c r="E7" i="8" s="1"/>
  <c r="C84" i="8"/>
  <c r="E84" i="8" s="1"/>
  <c r="C26" i="8"/>
  <c r="E26" i="8" s="1"/>
  <c r="C61" i="8"/>
  <c r="E61" i="8" s="1"/>
  <c r="C86" i="8"/>
  <c r="E86" i="8" s="1"/>
  <c r="C4" i="8"/>
  <c r="E4" i="8" s="1"/>
  <c r="C68" i="8"/>
  <c r="E68" i="8" s="1"/>
  <c r="C71" i="8"/>
  <c r="E71" i="8" s="1"/>
  <c r="A4" i="8" l="1"/>
  <c r="F3" i="8"/>
  <c r="G3" i="8" s="1"/>
  <c r="I3" i="8" s="1"/>
  <c r="G2" i="8"/>
  <c r="H9" i="8"/>
  <c r="A5" i="8" l="1"/>
  <c r="F4" i="8"/>
  <c r="G4" i="8" s="1"/>
  <c r="I4" i="8" s="1"/>
  <c r="I2" i="8"/>
  <c r="H10" i="8"/>
  <c r="A6" i="8" l="1"/>
  <c r="F5" i="8"/>
  <c r="G5" i="8" s="1"/>
  <c r="I5" i="8" s="1"/>
  <c r="H11" i="8"/>
  <c r="A7" i="8" l="1"/>
  <c r="F6" i="8"/>
  <c r="G6" i="8" s="1"/>
  <c r="I6" i="8" s="1"/>
  <c r="H12" i="8"/>
  <c r="A8" i="8" l="1"/>
  <c r="F7" i="8"/>
  <c r="G7" i="8" s="1"/>
  <c r="I7" i="8" s="1"/>
  <c r="H13" i="8"/>
  <c r="A9" i="8" l="1"/>
  <c r="F8" i="8"/>
  <c r="G8" i="8" s="1"/>
  <c r="I8" i="8" s="1"/>
  <c r="H14" i="8"/>
  <c r="A10" i="8" l="1"/>
  <c r="F9" i="8"/>
  <c r="G9" i="8" s="1"/>
  <c r="I9" i="8" s="1"/>
  <c r="H15" i="8"/>
  <c r="A11" i="8" l="1"/>
  <c r="F10" i="8"/>
  <c r="G10" i="8" s="1"/>
  <c r="I10" i="8" s="1"/>
  <c r="H16" i="8"/>
  <c r="A12" i="8" l="1"/>
  <c r="F11" i="8"/>
  <c r="G11" i="8" s="1"/>
  <c r="I11" i="8" s="1"/>
  <c r="H17" i="8"/>
  <c r="A13" i="8" l="1"/>
  <c r="F12" i="8"/>
  <c r="G12" i="8" s="1"/>
  <c r="I12" i="8" s="1"/>
  <c r="H18" i="8"/>
  <c r="A14" i="8" l="1"/>
  <c r="F13" i="8"/>
  <c r="G13" i="8" s="1"/>
  <c r="I13" i="8" s="1"/>
  <c r="H19" i="8"/>
  <c r="A15" i="8" l="1"/>
  <c r="F14" i="8"/>
  <c r="G14" i="8" s="1"/>
  <c r="I14" i="8" s="1"/>
  <c r="H20" i="8"/>
  <c r="A16" i="8" l="1"/>
  <c r="F15" i="8"/>
  <c r="G15" i="8" s="1"/>
  <c r="I15" i="8" s="1"/>
  <c r="H21" i="8"/>
  <c r="A17" i="8" l="1"/>
  <c r="F16" i="8"/>
  <c r="G16" i="8" s="1"/>
  <c r="I16" i="8" s="1"/>
  <c r="H22" i="8"/>
  <c r="A18" i="8" l="1"/>
  <c r="F17" i="8"/>
  <c r="G17" i="8" s="1"/>
  <c r="I17" i="8" s="1"/>
  <c r="H23" i="8"/>
  <c r="A19" i="8" l="1"/>
  <c r="F18" i="8"/>
  <c r="G18" i="8" s="1"/>
  <c r="I18" i="8" s="1"/>
  <c r="H24" i="8"/>
  <c r="A20" i="8" l="1"/>
  <c r="F19" i="8"/>
  <c r="G19" i="8" s="1"/>
  <c r="I19" i="8" s="1"/>
  <c r="H25" i="8"/>
  <c r="A21" i="8" l="1"/>
  <c r="F20" i="8"/>
  <c r="G20" i="8" s="1"/>
  <c r="I20" i="8" s="1"/>
  <c r="H26" i="8"/>
  <c r="A22" i="8" l="1"/>
  <c r="F21" i="8"/>
  <c r="G21" i="8" s="1"/>
  <c r="I21" i="8" s="1"/>
  <c r="H27" i="8"/>
  <c r="A23" i="8" l="1"/>
  <c r="F22" i="8"/>
  <c r="G22" i="8" s="1"/>
  <c r="I22" i="8" s="1"/>
  <c r="H28" i="8"/>
  <c r="A24" i="8" l="1"/>
  <c r="F23" i="8"/>
  <c r="G23" i="8" s="1"/>
  <c r="I23" i="8" s="1"/>
  <c r="H29" i="8"/>
  <c r="A25" i="8" l="1"/>
  <c r="F24" i="8"/>
  <c r="G24" i="8" s="1"/>
  <c r="I24" i="8" s="1"/>
  <c r="H30" i="8"/>
  <c r="A26" i="8" l="1"/>
  <c r="F25" i="8"/>
  <c r="G25" i="8" s="1"/>
  <c r="I25" i="8" s="1"/>
  <c r="H31" i="8"/>
  <c r="A27" i="8" l="1"/>
  <c r="F26" i="8"/>
  <c r="G26" i="8" s="1"/>
  <c r="I26" i="8" s="1"/>
  <c r="H32" i="8"/>
  <c r="A28" i="8" l="1"/>
  <c r="F27" i="8"/>
  <c r="G27" i="8" s="1"/>
  <c r="I27" i="8" s="1"/>
  <c r="H33" i="8"/>
  <c r="A29" i="8" l="1"/>
  <c r="F28" i="8"/>
  <c r="G28" i="8" s="1"/>
  <c r="I28" i="8" s="1"/>
  <c r="H34" i="8"/>
  <c r="A30" i="8" l="1"/>
  <c r="F29" i="8"/>
  <c r="G29" i="8" s="1"/>
  <c r="I29" i="8" s="1"/>
  <c r="H35" i="8"/>
  <c r="A31" i="8" l="1"/>
  <c r="F30" i="8"/>
  <c r="G30" i="8" s="1"/>
  <c r="I30" i="8" s="1"/>
  <c r="H36" i="8"/>
  <c r="A32" i="8" l="1"/>
  <c r="F31" i="8"/>
  <c r="G31" i="8" s="1"/>
  <c r="I31" i="8" s="1"/>
  <c r="H37" i="8"/>
  <c r="A33" i="8" l="1"/>
  <c r="F32" i="8"/>
  <c r="G32" i="8" s="1"/>
  <c r="I32" i="8" s="1"/>
  <c r="H38" i="8"/>
  <c r="A34" i="8" l="1"/>
  <c r="F33" i="8"/>
  <c r="G33" i="8" s="1"/>
  <c r="I33" i="8" s="1"/>
  <c r="H39" i="8"/>
  <c r="A35" i="8" l="1"/>
  <c r="F34" i="8"/>
  <c r="G34" i="8" s="1"/>
  <c r="I34" i="8" s="1"/>
  <c r="H40" i="8"/>
  <c r="A36" i="8" l="1"/>
  <c r="F35" i="8"/>
  <c r="G35" i="8" s="1"/>
  <c r="I35" i="8" s="1"/>
  <c r="H41" i="8"/>
  <c r="A37" i="8" l="1"/>
  <c r="F36" i="8"/>
  <c r="G36" i="8" s="1"/>
  <c r="I36" i="8" s="1"/>
  <c r="H42" i="8"/>
  <c r="A38" i="8" l="1"/>
  <c r="F37" i="8"/>
  <c r="G37" i="8" s="1"/>
  <c r="I37" i="8" s="1"/>
  <c r="H43" i="8"/>
  <c r="A39" i="8" l="1"/>
  <c r="F38" i="8"/>
  <c r="G38" i="8" s="1"/>
  <c r="I38" i="8" s="1"/>
  <c r="H44" i="8"/>
  <c r="A40" i="8" l="1"/>
  <c r="F39" i="8"/>
  <c r="G39" i="8" s="1"/>
  <c r="I39" i="8" s="1"/>
  <c r="H45" i="8"/>
  <c r="A41" i="8" l="1"/>
  <c r="F40" i="8"/>
  <c r="G40" i="8" s="1"/>
  <c r="I40" i="8" s="1"/>
  <c r="H46" i="8"/>
  <c r="A42" i="8" l="1"/>
  <c r="F41" i="8"/>
  <c r="G41" i="8" s="1"/>
  <c r="I41" i="8" s="1"/>
  <c r="H47" i="8"/>
  <c r="A43" i="8" l="1"/>
  <c r="F42" i="8"/>
  <c r="G42" i="8" s="1"/>
  <c r="I42" i="8" s="1"/>
  <c r="H48" i="8"/>
  <c r="A44" i="8" l="1"/>
  <c r="F43" i="8"/>
  <c r="G43" i="8" s="1"/>
  <c r="I43" i="8" s="1"/>
  <c r="H49" i="8"/>
  <c r="A45" i="8" l="1"/>
  <c r="F44" i="8"/>
  <c r="G44" i="8" s="1"/>
  <c r="I44" i="8" s="1"/>
  <c r="H50" i="8"/>
  <c r="A46" i="8" l="1"/>
  <c r="F45" i="8"/>
  <c r="G45" i="8" s="1"/>
  <c r="I45" i="8" s="1"/>
  <c r="H51" i="8"/>
  <c r="A47" i="8" l="1"/>
  <c r="F46" i="8"/>
  <c r="G46" i="8" s="1"/>
  <c r="I46" i="8" s="1"/>
  <c r="H52" i="8"/>
  <c r="A48" i="8" l="1"/>
  <c r="F47" i="8"/>
  <c r="G47" i="8" s="1"/>
  <c r="I47" i="8" s="1"/>
  <c r="H53" i="8"/>
  <c r="A49" i="8" l="1"/>
  <c r="F48" i="8"/>
  <c r="G48" i="8" s="1"/>
  <c r="I48" i="8" s="1"/>
  <c r="H54" i="8"/>
  <c r="A50" i="8" l="1"/>
  <c r="F49" i="8"/>
  <c r="G49" i="8" s="1"/>
  <c r="I49" i="8" s="1"/>
  <c r="H55" i="8"/>
  <c r="A51" i="8" l="1"/>
  <c r="F50" i="8"/>
  <c r="G50" i="8" s="1"/>
  <c r="I50" i="8" s="1"/>
  <c r="H56" i="8"/>
  <c r="A52" i="8" l="1"/>
  <c r="F51" i="8"/>
  <c r="G51" i="8" s="1"/>
  <c r="I51" i="8" s="1"/>
  <c r="H57" i="8"/>
  <c r="A53" i="8" l="1"/>
  <c r="F52" i="8"/>
  <c r="G52" i="8" s="1"/>
  <c r="I52" i="8" s="1"/>
  <c r="H58" i="8"/>
  <c r="A54" i="8" l="1"/>
  <c r="F53" i="8"/>
  <c r="G53" i="8" s="1"/>
  <c r="I53" i="8" s="1"/>
  <c r="H59" i="8"/>
  <c r="A55" i="8" l="1"/>
  <c r="F54" i="8"/>
  <c r="G54" i="8" s="1"/>
  <c r="I54" i="8" s="1"/>
  <c r="H60" i="8"/>
  <c r="A56" i="8" l="1"/>
  <c r="F55" i="8"/>
  <c r="G55" i="8" s="1"/>
  <c r="I55" i="8" s="1"/>
  <c r="H61" i="8"/>
  <c r="A57" i="8" l="1"/>
  <c r="F56" i="8"/>
  <c r="G56" i="8" s="1"/>
  <c r="I56" i="8" s="1"/>
  <c r="H62" i="8"/>
  <c r="A58" i="8" l="1"/>
  <c r="F57" i="8"/>
  <c r="G57" i="8" s="1"/>
  <c r="I57" i="8" s="1"/>
  <c r="H63" i="8"/>
  <c r="A59" i="8" l="1"/>
  <c r="F58" i="8"/>
  <c r="G58" i="8" s="1"/>
  <c r="I58" i="8" s="1"/>
  <c r="H64" i="8"/>
  <c r="A60" i="8" l="1"/>
  <c r="F59" i="8"/>
  <c r="G59" i="8" s="1"/>
  <c r="I59" i="8" s="1"/>
  <c r="H65" i="8"/>
  <c r="A61" i="8" l="1"/>
  <c r="F60" i="8"/>
  <c r="G60" i="8" s="1"/>
  <c r="I60" i="8" s="1"/>
  <c r="H66" i="8"/>
  <c r="A62" i="8" l="1"/>
  <c r="F61" i="8"/>
  <c r="G61" i="8" s="1"/>
  <c r="I61" i="8" s="1"/>
  <c r="H67" i="8"/>
  <c r="A63" i="8" l="1"/>
  <c r="F62" i="8"/>
  <c r="G62" i="8" s="1"/>
  <c r="I62" i="8" s="1"/>
  <c r="H68" i="8"/>
  <c r="A64" i="8" l="1"/>
  <c r="F63" i="8"/>
  <c r="G63" i="8" s="1"/>
  <c r="I63" i="8" s="1"/>
  <c r="H69" i="8"/>
  <c r="A65" i="8" l="1"/>
  <c r="F64" i="8"/>
  <c r="G64" i="8" s="1"/>
  <c r="I64" i="8" s="1"/>
  <c r="H70" i="8"/>
  <c r="A66" i="8" l="1"/>
  <c r="F65" i="8"/>
  <c r="G65" i="8" s="1"/>
  <c r="I65" i="8" s="1"/>
  <c r="H71" i="8"/>
  <c r="A67" i="8" l="1"/>
  <c r="F66" i="8"/>
  <c r="G66" i="8" s="1"/>
  <c r="I66" i="8" s="1"/>
  <c r="H72" i="8"/>
  <c r="A68" i="8" l="1"/>
  <c r="F67" i="8"/>
  <c r="G67" i="8" s="1"/>
  <c r="I67" i="8" s="1"/>
  <c r="H73" i="8"/>
  <c r="A69" i="8" l="1"/>
  <c r="F68" i="8"/>
  <c r="G68" i="8" s="1"/>
  <c r="I68" i="8" s="1"/>
  <c r="H74" i="8"/>
  <c r="A70" i="8" l="1"/>
  <c r="F69" i="8"/>
  <c r="G69" i="8" s="1"/>
  <c r="I69" i="8" s="1"/>
  <c r="H75" i="8"/>
  <c r="A71" i="8" l="1"/>
  <c r="F70" i="8"/>
  <c r="G70" i="8" s="1"/>
  <c r="I70" i="8" s="1"/>
  <c r="H76" i="8"/>
  <c r="A72" i="8" l="1"/>
  <c r="F71" i="8"/>
  <c r="G71" i="8" s="1"/>
  <c r="I71" i="8" s="1"/>
  <c r="H77" i="8"/>
  <c r="A73" i="8" l="1"/>
  <c r="F72" i="8"/>
  <c r="G72" i="8" s="1"/>
  <c r="I72" i="8" s="1"/>
  <c r="H78" i="8"/>
  <c r="A74" i="8" l="1"/>
  <c r="F73" i="8"/>
  <c r="G73" i="8" s="1"/>
  <c r="I73" i="8" s="1"/>
  <c r="H79" i="8"/>
  <c r="A75" i="8" l="1"/>
  <c r="F74" i="8"/>
  <c r="G74" i="8" s="1"/>
  <c r="I74" i="8" s="1"/>
  <c r="H80" i="8"/>
  <c r="A76" i="8" l="1"/>
  <c r="F75" i="8"/>
  <c r="G75" i="8" s="1"/>
  <c r="I75" i="8" s="1"/>
  <c r="H81" i="8"/>
  <c r="A77" i="8" l="1"/>
  <c r="F76" i="8"/>
  <c r="G76" i="8" s="1"/>
  <c r="I76" i="8" s="1"/>
  <c r="H82" i="8"/>
  <c r="A78" i="8" l="1"/>
  <c r="F77" i="8"/>
  <c r="G77" i="8" s="1"/>
  <c r="I77" i="8" s="1"/>
  <c r="H83" i="8"/>
  <c r="A79" i="8" l="1"/>
  <c r="F78" i="8"/>
  <c r="G78" i="8" s="1"/>
  <c r="I78" i="8" s="1"/>
  <c r="H84" i="8"/>
  <c r="A80" i="8" l="1"/>
  <c r="F79" i="8"/>
  <c r="G79" i="8" s="1"/>
  <c r="I79" i="8" s="1"/>
  <c r="H85" i="8"/>
  <c r="A81" i="8" l="1"/>
  <c r="F80" i="8"/>
  <c r="G80" i="8" s="1"/>
  <c r="I80" i="8" s="1"/>
  <c r="H86" i="8"/>
  <c r="A82" i="8" l="1"/>
  <c r="F81" i="8"/>
  <c r="G81" i="8" s="1"/>
  <c r="I81" i="8" s="1"/>
  <c r="H87" i="8"/>
  <c r="A83" i="8" l="1"/>
  <c r="F82" i="8"/>
  <c r="G82" i="8" s="1"/>
  <c r="I82" i="8" s="1"/>
  <c r="H88" i="8"/>
  <c r="A84" i="8" l="1"/>
  <c r="F83" i="8"/>
  <c r="G83" i="8" s="1"/>
  <c r="I83" i="8" s="1"/>
  <c r="H89" i="8"/>
  <c r="A85" i="8" l="1"/>
  <c r="F84" i="8"/>
  <c r="G84" i="8" s="1"/>
  <c r="I84" i="8" s="1"/>
  <c r="H90" i="8"/>
  <c r="A86" i="8" l="1"/>
  <c r="F85" i="8"/>
  <c r="G85" i="8" s="1"/>
  <c r="I85" i="8" s="1"/>
  <c r="H91" i="8"/>
  <c r="A87" i="8" l="1"/>
  <c r="F86" i="8"/>
  <c r="G86" i="8" s="1"/>
  <c r="I86" i="8" s="1"/>
  <c r="H92" i="8"/>
  <c r="A88" i="8" l="1"/>
  <c r="F87" i="8"/>
  <c r="G87" i="8" s="1"/>
  <c r="I87" i="8" s="1"/>
  <c r="H93" i="8"/>
  <c r="A89" i="8" l="1"/>
  <c r="F88" i="8"/>
  <c r="G88" i="8" s="1"/>
  <c r="I88" i="8" s="1"/>
  <c r="H94" i="8"/>
  <c r="A90" i="8" l="1"/>
  <c r="F89" i="8"/>
  <c r="G89" i="8" s="1"/>
  <c r="I89" i="8" s="1"/>
  <c r="H95" i="8"/>
  <c r="A91" i="8" l="1"/>
  <c r="F90" i="8"/>
  <c r="G90" i="8" s="1"/>
  <c r="I90" i="8" s="1"/>
  <c r="H96" i="8"/>
  <c r="A92" i="8" l="1"/>
  <c r="F91" i="8"/>
  <c r="G91" i="8" s="1"/>
  <c r="I91" i="8" s="1"/>
  <c r="H97" i="8"/>
  <c r="A93" i="8" l="1"/>
  <c r="F92" i="8"/>
  <c r="G92" i="8" s="1"/>
  <c r="I92" i="8" s="1"/>
  <c r="H98" i="8"/>
  <c r="A94" i="8" l="1"/>
  <c r="F93" i="8"/>
  <c r="G93" i="8" s="1"/>
  <c r="I93" i="8" s="1"/>
  <c r="H99" i="8"/>
  <c r="A95" i="8" l="1"/>
  <c r="F94" i="8"/>
  <c r="G94" i="8" s="1"/>
  <c r="I94" i="8" s="1"/>
  <c r="H100" i="8"/>
  <c r="A96" i="8" l="1"/>
  <c r="F95" i="8"/>
  <c r="G95" i="8" s="1"/>
  <c r="I95" i="8" s="1"/>
  <c r="H101" i="8"/>
  <c r="A97" i="8" l="1"/>
  <c r="F96" i="8"/>
  <c r="G96" i="8" s="1"/>
  <c r="I96" i="8" s="1"/>
  <c r="H102" i="8"/>
  <c r="A98" i="8" l="1"/>
  <c r="F97" i="8"/>
  <c r="G97" i="8" s="1"/>
  <c r="I97" i="8" s="1"/>
  <c r="A99" i="8" l="1"/>
  <c r="F98" i="8"/>
  <c r="G98" i="8" s="1"/>
  <c r="I98" i="8" s="1"/>
  <c r="A100" i="8" l="1"/>
  <c r="F99" i="8"/>
  <c r="G99" i="8" s="1"/>
  <c r="I99" i="8" s="1"/>
  <c r="A101" i="8" l="1"/>
  <c r="F100" i="8"/>
  <c r="G100" i="8" s="1"/>
  <c r="I100" i="8" s="1"/>
  <c r="A102" i="8" l="1"/>
  <c r="F102" i="8" s="1"/>
  <c r="G102" i="8" s="1"/>
  <c r="G104" i="8" s="1"/>
  <c r="F101" i="8"/>
  <c r="G101" i="8" s="1"/>
  <c r="I101" i="8" s="1"/>
  <c r="I102" i="8"/>
  <c r="C72" i="1" l="1"/>
  <c r="C75" i="1" l="1"/>
  <c r="C77" i="1" s="1"/>
  <c r="C8" i="9" l="1"/>
  <c r="C10" i="9" s="1"/>
  <c r="C93" i="1"/>
  <c r="C12" i="9" l="1"/>
  <c r="C11" i="9"/>
  <c r="C13" i="9" s="1"/>
  <c r="C18" i="9" l="1"/>
  <c r="C17" i="9" s="1"/>
  <c r="C19" i="9" s="1"/>
  <c r="C21" i="9" s="1"/>
  <c r="C80" i="1" s="1"/>
  <c r="C81" i="1" s="1"/>
  <c r="C82" i="1" s="1"/>
  <c r="C84" i="1" s="1"/>
</calcChain>
</file>

<file path=xl/sharedStrings.xml><?xml version="1.0" encoding="utf-8"?>
<sst xmlns="http://schemas.openxmlformats.org/spreadsheetml/2006/main" count="248" uniqueCount="189">
  <si>
    <t>V</t>
  </si>
  <si>
    <t>Disclaimer</t>
  </si>
  <si>
    <t>This product is designed as an aid for customers of Texas Instruments.  No warranties, either express</t>
  </si>
  <si>
    <t>or implied, with respect to this software or its fitness for any particular purpose is claimed by Texas</t>
  </si>
  <si>
    <t>Instruments or the author.  The software is licensed solely on an "as is" basis.  The entire risk as to its</t>
  </si>
  <si>
    <t>quality and performance is with the customer.</t>
  </si>
  <si>
    <t>Parameter</t>
  </si>
  <si>
    <t>Description</t>
  </si>
  <si>
    <t>Notes</t>
  </si>
  <si>
    <t>1. This worksheet is designed for use with Microsoft Excel 5.0 or later.  It's use is intended to assist power supply designers in their</t>
  </si>
  <si>
    <t xml:space="preserve">routine, day-to-day calculations.  </t>
  </si>
  <si>
    <t>3. Formulas and device constants used in the spreadsheet are locked to prohibit them from accidentally being overwritten or deleted.</t>
  </si>
  <si>
    <t xml:space="preserve">Value </t>
  </si>
  <si>
    <t xml:space="preserve"> Units</t>
  </si>
  <si>
    <t>A</t>
  </si>
  <si>
    <t>Ohm</t>
  </si>
  <si>
    <t>Device Parameters</t>
  </si>
  <si>
    <t>W</t>
  </si>
  <si>
    <t>Output load capacitance</t>
  </si>
  <si>
    <t>I-LIM</t>
  </si>
  <si>
    <t>Vin</t>
  </si>
  <si>
    <t>Vout</t>
  </si>
  <si>
    <t>RLOAD</t>
  </si>
  <si>
    <t>ILOAD</t>
  </si>
  <si>
    <t>Iout</t>
  </si>
  <si>
    <t>I-Cap</t>
  </si>
  <si>
    <t>Cout</t>
  </si>
  <si>
    <t>dt</t>
  </si>
  <si>
    <t>ms</t>
  </si>
  <si>
    <r>
      <t>C</t>
    </r>
    <r>
      <rPr>
        <vertAlign val="subscript"/>
        <sz val="10"/>
        <rFont val="Arial"/>
        <family val="2"/>
      </rPr>
      <t>LOAD</t>
    </r>
  </si>
  <si>
    <r>
      <t>R</t>
    </r>
    <r>
      <rPr>
        <vertAlign val="subscript"/>
        <sz val="10"/>
        <rFont val="Arial"/>
        <family val="2"/>
      </rPr>
      <t>LOAD</t>
    </r>
    <r>
      <rPr>
        <sz val="10"/>
        <rFont val="Arial"/>
        <family val="2"/>
      </rPr>
      <t>-start</t>
    </r>
  </si>
  <si>
    <r>
      <t>Resistive load present at start up (must be &gt; R</t>
    </r>
    <r>
      <rPr>
        <vertAlign val="subscript"/>
        <sz val="10"/>
        <rFont val="Arial"/>
        <family val="2"/>
      </rPr>
      <t>MIN</t>
    </r>
    <r>
      <rPr>
        <sz val="10"/>
        <rFont val="Arial"/>
        <family val="2"/>
      </rPr>
      <t>-start)</t>
    </r>
  </si>
  <si>
    <t>2. All worksheets have yellow input cells and light blue calculated cells. Grey cells are for device constants.</t>
  </si>
  <si>
    <t>T_total</t>
  </si>
  <si>
    <t>uF</t>
  </si>
  <si>
    <t>mV</t>
  </si>
  <si>
    <t>Rsense</t>
  </si>
  <si>
    <t>Results</t>
  </si>
  <si>
    <t>Typical Start Time</t>
  </si>
  <si>
    <t>Programmed Fault time</t>
  </si>
  <si>
    <t>Timer Margin (Accounts for tolerance of QFET, I_timer, I_source, P_LIM, C_timer)</t>
  </si>
  <si>
    <t>Tcap</t>
  </si>
  <si>
    <t>T_fault</t>
  </si>
  <si>
    <t>T_margin</t>
  </si>
  <si>
    <t>SOA_mrg</t>
  </si>
  <si>
    <t>SOA_25C</t>
  </si>
  <si>
    <t>Power FET can handle for T_fault @ 25C</t>
  </si>
  <si>
    <t>maximum input bus voltage</t>
  </si>
  <si>
    <r>
      <t>V</t>
    </r>
    <r>
      <rPr>
        <vertAlign val="subscript"/>
        <sz val="10"/>
        <rFont val="Arial"/>
        <family val="2"/>
      </rPr>
      <t>BUS_MAX</t>
    </r>
  </si>
  <si>
    <t>User Inputs</t>
  </si>
  <si>
    <r>
      <t>I</t>
    </r>
    <r>
      <rPr>
        <vertAlign val="subscript"/>
        <sz val="10"/>
        <rFont val="Arial"/>
        <family val="2"/>
      </rPr>
      <t>LIM</t>
    </r>
  </si>
  <si>
    <t>Current Limit (Recommended &gt;10% over max load)</t>
  </si>
  <si>
    <r>
      <t>T</t>
    </r>
    <r>
      <rPr>
        <vertAlign val="subscript"/>
        <sz val="10"/>
        <rFont val="Arial"/>
        <family val="2"/>
      </rPr>
      <t>JDCMAX</t>
    </r>
  </si>
  <si>
    <t>Maximum Steady State Junction temperature</t>
  </si>
  <si>
    <t>Maximum Ambient Temperature</t>
  </si>
  <si>
    <r>
      <rPr>
        <b/>
        <sz val="10"/>
        <rFont val="Calibri"/>
        <family val="2"/>
      </rPr>
      <t>˚</t>
    </r>
    <r>
      <rPr>
        <b/>
        <sz val="10"/>
        <rFont val="Arial"/>
        <family val="2"/>
      </rPr>
      <t>C</t>
    </r>
  </si>
  <si>
    <r>
      <t>T</t>
    </r>
    <r>
      <rPr>
        <vertAlign val="subscript"/>
        <sz val="10"/>
        <rFont val="Arial"/>
        <family val="2"/>
      </rPr>
      <t>AMB</t>
    </r>
  </si>
  <si>
    <t>RJA</t>
  </si>
  <si>
    <r>
      <rPr>
        <b/>
        <sz val="10"/>
        <rFont val="Calibri"/>
        <family val="2"/>
      </rPr>
      <t>˚</t>
    </r>
    <r>
      <rPr>
        <b/>
        <sz val="10"/>
        <rFont val="Arial"/>
        <family val="2"/>
      </rPr>
      <t>C/W</t>
    </r>
  </si>
  <si>
    <r>
      <t>P</t>
    </r>
    <r>
      <rPr>
        <vertAlign val="subscript"/>
        <sz val="10"/>
        <rFont val="Arial"/>
        <family val="2"/>
      </rPr>
      <t>DCFET</t>
    </r>
  </si>
  <si>
    <t>SOA_der</t>
  </si>
  <si>
    <r>
      <t>T</t>
    </r>
    <r>
      <rPr>
        <vertAlign val="subscript"/>
        <sz val="10"/>
        <rFont val="Arial"/>
        <family val="2"/>
      </rPr>
      <t>JFETMAX</t>
    </r>
  </si>
  <si>
    <t>Maximum FET junction temperature</t>
  </si>
  <si>
    <t>1ms</t>
  </si>
  <si>
    <t>10ms</t>
  </si>
  <si>
    <t>100ms</t>
  </si>
  <si>
    <t>SOA Predictor</t>
  </si>
  <si>
    <t>time</t>
  </si>
  <si>
    <t>Lower time</t>
  </si>
  <si>
    <t>Higher timer</t>
  </si>
  <si>
    <t>Voltage</t>
  </si>
  <si>
    <t>Final SOA</t>
  </si>
  <si>
    <t>Look Up</t>
  </si>
  <si>
    <t>Final Power</t>
  </si>
  <si>
    <t>&lt;= covers Time &lt; 1ms case</t>
  </si>
  <si>
    <t>Assuming Power vs time is linear on a log-log plot</t>
  </si>
  <si>
    <t>P = a * t^m</t>
  </si>
  <si>
    <t>a</t>
  </si>
  <si>
    <t>m</t>
  </si>
  <si>
    <t>m = log(P1/P2)/log(t1/t2)</t>
  </si>
  <si>
    <t>a = P1/t1^m</t>
  </si>
  <si>
    <t>I (lower time)</t>
  </si>
  <si>
    <t>I (higher time)</t>
  </si>
  <si>
    <t>Extr. I</t>
  </si>
  <si>
    <t>DRETRY</t>
  </si>
  <si>
    <t>Retry duty cycle</t>
  </si>
  <si>
    <t xml:space="preserve">Retry? </t>
  </si>
  <si>
    <t>Is this configured in retry mode? (Yes or No)</t>
  </si>
  <si>
    <t>SOA Pass</t>
  </si>
  <si>
    <t>Minimum Recommended SOA margin</t>
  </si>
  <si>
    <t>SOA margin</t>
  </si>
  <si>
    <t>I-limit</t>
  </si>
  <si>
    <t>Actual I-limit value</t>
  </si>
  <si>
    <t>Ctimer1</t>
  </si>
  <si>
    <t>Calculate fault timer capacitor value</t>
  </si>
  <si>
    <t>F</t>
  </si>
  <si>
    <t>Vtimer</t>
  </si>
  <si>
    <t>Timer threshold</t>
  </si>
  <si>
    <t>Itimer</t>
  </si>
  <si>
    <t>Timer charge current</t>
  </si>
  <si>
    <t>Ctimer</t>
  </si>
  <si>
    <t>Choose Ctimer</t>
  </si>
  <si>
    <t>Tflt</t>
  </si>
  <si>
    <t>Actual fault timer</t>
  </si>
  <si>
    <t>PLIM</t>
  </si>
  <si>
    <t xml:space="preserve">Start-up slop </t>
  </si>
  <si>
    <t>QG</t>
  </si>
  <si>
    <t>I_Src</t>
  </si>
  <si>
    <t>I_timer</t>
  </si>
  <si>
    <t>C_timer</t>
  </si>
  <si>
    <t>combined</t>
  </si>
  <si>
    <t>RMS</t>
  </si>
  <si>
    <t>Final</t>
  </si>
  <si>
    <t xml:space="preserve">Sense Resistor </t>
  </si>
  <si>
    <t>Rsense_max</t>
  </si>
  <si>
    <t>Maximum Sense Resistor</t>
  </si>
  <si>
    <t>I_gate</t>
  </si>
  <si>
    <t>Gate Source current</t>
  </si>
  <si>
    <t>I_SOA_1ms</t>
  </si>
  <si>
    <t>I_SOA_10ms</t>
  </si>
  <si>
    <t>I_SOA_100ms</t>
  </si>
  <si>
    <t>SOA current at Vbus_max for 10 ms</t>
  </si>
  <si>
    <t>SOA current at Vbus_max for 1 ms</t>
  </si>
  <si>
    <t>SOA current at Vbus_max for 100 ms</t>
  </si>
  <si>
    <t>Rdson</t>
  </si>
  <si>
    <t># FETs</t>
  </si>
  <si>
    <t>FET Rdson @ Tj max(start with ~100C)</t>
  </si>
  <si>
    <t>Maximum steady state FET power dissipation (per FET)</t>
  </si>
  <si>
    <t>Number of parallel FETs</t>
  </si>
  <si>
    <t>ENRise</t>
  </si>
  <si>
    <t>Circuit turn on voltage with rising Vin</t>
  </si>
  <si>
    <t>R2</t>
  </si>
  <si>
    <t>Calculated bottom resistor</t>
  </si>
  <si>
    <t>R1</t>
  </si>
  <si>
    <t>Choose R1</t>
  </si>
  <si>
    <t>UVLO-R</t>
  </si>
  <si>
    <t>Actual turn on with rising input voltage (low voltage)</t>
  </si>
  <si>
    <t>UVLO-F</t>
  </si>
  <si>
    <t>Actual turn off with falling input voltage (low voltage)</t>
  </si>
  <si>
    <t>ENR</t>
  </si>
  <si>
    <t>Rising enable  threshold</t>
  </si>
  <si>
    <t>ENF</t>
  </si>
  <si>
    <t>Falling enable threshold</t>
  </si>
  <si>
    <t>derate above for the elevated junction temperature</t>
  </si>
  <si>
    <t>dV/dT?</t>
  </si>
  <si>
    <t>Gate Slew Rate Control? (Yes or No)</t>
  </si>
  <si>
    <t>Cgate</t>
  </si>
  <si>
    <t>Gate capacitance for dV/dT control</t>
  </si>
  <si>
    <t>T_dVdT</t>
  </si>
  <si>
    <t>Vta</t>
  </si>
  <si>
    <t>Timer de-activation Voltage</t>
  </si>
  <si>
    <t>VFST</t>
  </si>
  <si>
    <t>Minimum Fast Trip Threshold</t>
  </si>
  <si>
    <t>%</t>
  </si>
  <si>
    <t>Iramp</t>
  </si>
  <si>
    <t>Choose output capacitor charge current (&lt;Plim/Vccmax)</t>
  </si>
  <si>
    <t>No</t>
  </si>
  <si>
    <t>Time to charge output cap under Power Limiting</t>
  </si>
  <si>
    <t>Min I_cap</t>
  </si>
  <si>
    <t>Cgatec</t>
  </si>
  <si>
    <t>Calculated gate capacitor to obtain inrush current = Iramp</t>
  </si>
  <si>
    <t>Iramp_act</t>
  </si>
  <si>
    <t>Actual Inrush (Ramp) Current for dV/dt Control</t>
  </si>
  <si>
    <t>C</t>
  </si>
  <si>
    <t>T_FET</t>
  </si>
  <si>
    <t>Time for Vgate = Vbus+Vta, when using dv/dt start-up</t>
  </si>
  <si>
    <t>© 2014</t>
  </si>
  <si>
    <t>Fixed Value</t>
  </si>
  <si>
    <t>User I/P</t>
  </si>
  <si>
    <t>Calculated</t>
  </si>
  <si>
    <t>Rds_on_Max</t>
  </si>
  <si>
    <t>Maximum Drain to Source On-Resistance at Vgs =10V Id = 40A</t>
  </si>
  <si>
    <t>m-Ω</t>
  </si>
  <si>
    <t>MOSFET</t>
  </si>
  <si>
    <t>Rdson_125C</t>
  </si>
  <si>
    <t xml:space="preserve">MOSFET used </t>
  </si>
  <si>
    <t>FET Rdson (@125C)</t>
  </si>
  <si>
    <t xml:space="preserve">Estimate PCB junction to ambient thermal resistance </t>
  </si>
  <si>
    <t>R2_c</t>
  </si>
  <si>
    <t>Choose R2</t>
  </si>
  <si>
    <t>Vsns</t>
  </si>
  <si>
    <t>Sense voltage threshold</t>
  </si>
  <si>
    <t>TPS2470x Design Tool - Rev -</t>
  </si>
  <si>
    <r>
      <t xml:space="preserve">To change or modify locked cells, use the password: </t>
    </r>
    <r>
      <rPr>
        <b/>
        <sz val="10"/>
        <color indexed="10"/>
        <rFont val="Arial"/>
        <family val="2"/>
      </rPr>
      <t>TPS2470X</t>
    </r>
  </si>
  <si>
    <t>TPS2470x Design Tool</t>
  </si>
  <si>
    <t>FET Gate Charge to reach Vgs &gt; Vta (single FET)</t>
  </si>
  <si>
    <t>Time to charge Vgs to Vt, and Vt to Vta once Vout is up</t>
  </si>
  <si>
    <t>TPS2470XEVM User Guide</t>
  </si>
  <si>
    <t>DMT34M1LPS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</si>
</sst>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#0.00E+0"/>
  </numFmts>
  <fonts count="3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2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b/>
      <sz val="10"/>
      <color indexed="10"/>
      <name val="Arial"/>
      <family val="2"/>
    </font>
    <font>
      <b/>
      <sz val="10"/>
      <name val="Calibri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rgb="FF00800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i/>
      <sz val="10"/>
      <name val="Arial"/>
      <family val="2"/>
    </font>
    <font>
      <b/>
      <i/>
      <sz val="10"/>
      <color theme="5" tint="0.39997558519241921"/>
      <name val="Arial"/>
      <family val="2"/>
    </font>
    <font>
      <sz val="9"/>
      <name val="Arial"/>
      <family val="2"/>
    </font>
    <font>
      <b/>
      <sz val="10"/>
      <color rgb="FF009900"/>
      <name val="Arial"/>
      <family val="2"/>
    </font>
    <font>
      <u/>
      <sz val="10"/>
      <color theme="10"/>
      <name val="Arial"/>
      <family val="2"/>
    </font>
    <font>
      <sz val="9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/>
      </patternFill>
    </fill>
    <fill>
      <patternFill patternType="solid">
        <fgColor rgb="FFFFFF99"/>
        <bgColor indexed="64"/>
      </patternFill>
    </fill>
    <fill>
      <patternFill patternType="solid">
        <fgColor rgb="FF33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39"/>
      </left>
      <right/>
      <top style="thick">
        <color indexed="39"/>
      </top>
      <bottom/>
      <diagonal/>
    </border>
    <border>
      <left/>
      <right/>
      <top style="thick">
        <color indexed="39"/>
      </top>
      <bottom/>
      <diagonal/>
    </border>
    <border>
      <left/>
      <right style="thick">
        <color indexed="39"/>
      </right>
      <top style="thick">
        <color indexed="39"/>
      </top>
      <bottom/>
      <diagonal/>
    </border>
    <border>
      <left style="thick">
        <color indexed="39"/>
      </left>
      <right/>
      <top/>
      <bottom/>
      <diagonal/>
    </border>
    <border>
      <left/>
      <right style="thick">
        <color indexed="39"/>
      </right>
      <top/>
      <bottom/>
      <diagonal/>
    </border>
    <border>
      <left style="thick">
        <color indexed="39"/>
      </left>
      <right/>
      <top/>
      <bottom style="thick">
        <color indexed="39"/>
      </bottom>
      <diagonal/>
    </border>
    <border>
      <left/>
      <right/>
      <top/>
      <bottom style="thick">
        <color indexed="39"/>
      </bottom>
      <diagonal/>
    </border>
    <border>
      <left/>
      <right style="thick">
        <color indexed="39"/>
      </right>
      <top/>
      <bottom style="thick">
        <color indexed="39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1" fillId="6" borderId="0">
      <alignment horizontal="right"/>
      <protection locked="0"/>
    </xf>
    <xf numFmtId="0" fontId="7" fillId="7" borderId="0">
      <alignment horizontal="right"/>
      <protection locked="0"/>
    </xf>
    <xf numFmtId="0" fontId="7" fillId="10" borderId="0">
      <alignment horizontal="right"/>
      <protection locked="0"/>
    </xf>
    <xf numFmtId="0" fontId="24" fillId="8" borderId="0" applyNumberFormat="0" applyBorder="0" applyAlignment="0" applyProtection="0"/>
    <xf numFmtId="0" fontId="23" fillId="9" borderId="0"/>
    <xf numFmtId="0" fontId="29" fillId="0" borderId="0" applyNumberFormat="0" applyFill="0" applyBorder="0" applyAlignment="0" applyProtection="0"/>
  </cellStyleXfs>
  <cellXfs count="103">
    <xf numFmtId="0" fontId="0" fillId="0" borderId="0" xfId="0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Protection="1"/>
    <xf numFmtId="0" fontId="0" fillId="3" borderId="6" xfId="0" applyFill="1" applyBorder="1" applyProtection="1"/>
    <xf numFmtId="0" fontId="3" fillId="3" borderId="0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9" fillId="3" borderId="0" xfId="0" applyFont="1" applyFill="1" applyProtection="1"/>
    <xf numFmtId="0" fontId="0" fillId="3" borderId="0" xfId="0" applyFill="1" applyProtection="1"/>
    <xf numFmtId="0" fontId="10" fillId="3" borderId="0" xfId="0" applyFont="1" applyFill="1" applyProtection="1"/>
    <xf numFmtId="0" fontId="6" fillId="3" borderId="0" xfId="0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9" xfId="0" applyFill="1" applyBorder="1" applyProtection="1"/>
    <xf numFmtId="2" fontId="0" fillId="0" borderId="10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0" fontId="0" fillId="0" borderId="1" xfId="0" applyBorder="1"/>
    <xf numFmtId="0" fontId="7" fillId="0" borderId="0" xfId="0" applyFont="1"/>
    <xf numFmtId="0" fontId="7" fillId="0" borderId="1" xfId="0" applyFont="1" applyBorder="1"/>
    <xf numFmtId="0" fontId="7" fillId="2" borderId="0" xfId="0" applyFont="1" applyFill="1" applyProtection="1"/>
    <xf numFmtId="48" fontId="7" fillId="5" borderId="1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164" fontId="7" fillId="5" borderId="1" xfId="0" applyNumberFormat="1" applyFont="1" applyFill="1" applyBorder="1" applyAlignment="1" applyProtection="1">
      <alignment horizontal="center"/>
    </xf>
    <xf numFmtId="2" fontId="7" fillId="5" borderId="1" xfId="0" applyNumberFormat="1" applyFont="1" applyFill="1" applyBorder="1" applyAlignment="1" applyProtection="1">
      <alignment horizontal="center"/>
    </xf>
    <xf numFmtId="165" fontId="12" fillId="4" borderId="1" xfId="0" applyNumberFormat="1" applyFont="1" applyFill="1" applyBorder="1" applyAlignment="1" applyProtection="1">
      <alignment horizontal="center"/>
      <protection locked="0"/>
    </xf>
    <xf numFmtId="164" fontId="12" fillId="4" borderId="1" xfId="0" applyNumberFormat="1" applyFont="1" applyFill="1" applyBorder="1" applyAlignment="1" applyProtection="1">
      <alignment horizontal="center"/>
      <protection locked="0"/>
    </xf>
    <xf numFmtId="164" fontId="22" fillId="6" borderId="1" xfId="0" applyNumberFormat="1" applyFont="1" applyFill="1" applyBorder="1" applyAlignment="1" applyProtection="1">
      <alignment horizontal="center"/>
      <protection locked="0"/>
    </xf>
    <xf numFmtId="48" fontId="22" fillId="6" borderId="1" xfId="0" applyNumberFormat="1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48" fontId="0" fillId="6" borderId="1" xfId="0" applyNumberFormat="1" applyFill="1" applyBorder="1" applyAlignment="1" applyProtection="1">
      <alignment horizontal="center"/>
      <protection locked="0"/>
    </xf>
    <xf numFmtId="48" fontId="12" fillId="4" borderId="1" xfId="0" applyNumberFormat="1" applyFont="1" applyFill="1" applyBorder="1" applyAlignment="1" applyProtection="1">
      <alignment horizontal="center"/>
      <protection locked="0"/>
    </xf>
    <xf numFmtId="1" fontId="12" fillId="4" borderId="1" xfId="0" applyNumberFormat="1" applyFont="1" applyFill="1" applyBorder="1" applyAlignment="1" applyProtection="1">
      <alignment horizontal="center"/>
      <protection locked="0"/>
    </xf>
    <xf numFmtId="165" fontId="24" fillId="8" borderId="1" xfId="4" applyNumberFormat="1" applyBorder="1" applyAlignment="1" applyProtection="1">
      <alignment horizontal="center"/>
    </xf>
    <xf numFmtId="164" fontId="24" fillId="8" borderId="1" xfId="4" applyNumberFormat="1" applyBorder="1" applyAlignment="1" applyProtection="1">
      <alignment horizontal="center"/>
    </xf>
    <xf numFmtId="48" fontId="24" fillId="8" borderId="1" xfId="4" applyNumberFormat="1" applyBorder="1" applyAlignment="1" applyProtection="1">
      <alignment horizontal="center"/>
    </xf>
    <xf numFmtId="0" fontId="8" fillId="2" borderId="0" xfId="0" applyFont="1" applyFill="1" applyProtection="1"/>
    <xf numFmtId="0" fontId="0" fillId="2" borderId="0" xfId="0" applyFill="1" applyProtection="1"/>
    <xf numFmtId="0" fontId="29" fillId="2" borderId="0" xfId="6" applyFill="1" applyProtection="1"/>
    <xf numFmtId="0" fontId="2" fillId="7" borderId="0" xfId="2" applyFont="1" applyProtection="1">
      <alignment horizontal="right"/>
    </xf>
    <xf numFmtId="0" fontId="2" fillId="6" borderId="0" xfId="1" applyFont="1" applyProtection="1">
      <alignment horizontal="right"/>
    </xf>
    <xf numFmtId="0" fontId="24" fillId="8" borderId="0" xfId="4" applyAlignment="1" applyProtection="1">
      <alignment horizontal="right"/>
    </xf>
    <xf numFmtId="0" fontId="0" fillId="0" borderId="0" xfId="0" applyProtection="1"/>
    <xf numFmtId="0" fontId="23" fillId="9" borderId="0" xfId="5" applyProtection="1"/>
    <xf numFmtId="0" fontId="0" fillId="2" borderId="0" xfId="0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6" fillId="2" borderId="0" xfId="0" applyFont="1" applyFill="1" applyProtection="1"/>
    <xf numFmtId="0" fontId="25" fillId="2" borderId="0" xfId="0" applyFont="1" applyFill="1" applyProtection="1"/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center" vertical="center"/>
    </xf>
    <xf numFmtId="0" fontId="7" fillId="7" borderId="1" xfId="2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wrapText="1"/>
    </xf>
    <xf numFmtId="0" fontId="11" fillId="2" borderId="11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7" fillId="2" borderId="0" xfId="0" applyFont="1" applyFill="1" applyProtection="1"/>
    <xf numFmtId="0" fontId="2" fillId="2" borderId="0" xfId="0" applyFont="1" applyFill="1" applyBorder="1" applyAlignment="1" applyProtection="1">
      <alignment horizontal="left"/>
    </xf>
    <xf numFmtId="0" fontId="11" fillId="2" borderId="0" xfId="0" applyFont="1" applyFill="1" applyAlignment="1" applyProtection="1">
      <alignment wrapText="1"/>
    </xf>
    <xf numFmtId="0" fontId="24" fillId="8" borderId="1" xfId="4" applyBorder="1" applyAlignment="1" applyProtection="1">
      <alignment horizontal="center"/>
    </xf>
    <xf numFmtId="0" fontId="28" fillId="6" borderId="1" xfId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7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" xfId="0" applyBorder="1" applyProtection="1"/>
    <xf numFmtId="0" fontId="7" fillId="0" borderId="1" xfId="0" applyFont="1" applyBorder="1" applyProtection="1"/>
    <xf numFmtId="2" fontId="0" fillId="0" borderId="1" xfId="0" applyNumberFormat="1" applyBorder="1" applyProtection="1"/>
    <xf numFmtId="0" fontId="16" fillId="0" borderId="0" xfId="0" applyFont="1" applyProtection="1"/>
    <xf numFmtId="0" fontId="7" fillId="0" borderId="0" xfId="0" applyFont="1" applyProtection="1"/>
    <xf numFmtId="0" fontId="7" fillId="3" borderId="0" xfId="0" applyFont="1" applyFill="1" applyBorder="1" applyProtection="1"/>
    <xf numFmtId="165" fontId="7" fillId="0" borderId="0" xfId="0" applyNumberFormat="1" applyFont="1" applyAlignment="1" applyProtection="1">
      <alignment horizontal="center"/>
    </xf>
    <xf numFmtId="0" fontId="24" fillId="8" borderId="1" xfId="4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Alignment="1" applyProtection="1">
      <alignment horizontal="center"/>
    </xf>
    <xf numFmtId="165" fontId="7" fillId="0" borderId="0" xfId="0" applyNumberFormat="1" applyFont="1" applyFill="1" applyAlignment="1" applyProtection="1">
      <alignment horizontal="center"/>
    </xf>
    <xf numFmtId="48" fontId="0" fillId="0" borderId="0" xfId="0" applyNumberFormat="1" applyFill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wrapText="1"/>
    </xf>
    <xf numFmtId="2" fontId="7" fillId="0" borderId="0" xfId="0" applyNumberFormat="1" applyFon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2" fontId="18" fillId="0" borderId="0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</cellXfs>
  <cellStyles count="7">
    <cellStyle name="Accent5" xfId="4" builtinId="45"/>
    <cellStyle name="BackGround" xfId="5"/>
    <cellStyle name="Calculated" xfId="3"/>
    <cellStyle name="Fixed Values" xfId="2"/>
    <cellStyle name="Hyperlink" xfId="6" builtinId="8"/>
    <cellStyle name="Normal" xfId="0" builtinId="0"/>
    <cellStyle name="User Taken Values" xfId="1"/>
  </cellStyles>
  <dxfs count="2">
    <dxf>
      <font>
        <strike/>
        <color rgb="FFFF000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9900"/>
      <color rgb="FF33CC33"/>
      <color rgb="FF33CCFF"/>
      <color rgb="FF2511BB"/>
      <color rgb="FF55D0D3"/>
      <color rgb="FF57B1D1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106680</xdr:rowOff>
    </xdr:from>
    <xdr:to>
      <xdr:col>15</xdr:col>
      <xdr:colOff>579120</xdr:colOff>
      <xdr:row>5</xdr:row>
      <xdr:rowOff>38100</xdr:rowOff>
    </xdr:to>
    <xdr:sp macro="" textlink="">
      <xdr:nvSpPr>
        <xdr:cNvPr id="7325" name="Rectangle 1"/>
        <xdr:cNvSpPr>
          <a:spLocks noChangeArrowheads="1"/>
        </xdr:cNvSpPr>
      </xdr:nvSpPr>
      <xdr:spPr bwMode="auto">
        <a:xfrm>
          <a:off x="0" y="266700"/>
          <a:ext cx="9723120" cy="937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487680</xdr:colOff>
      <xdr:row>20</xdr:row>
      <xdr:rowOff>45720</xdr:rowOff>
    </xdr:from>
    <xdr:to>
      <xdr:col>11</xdr:col>
      <xdr:colOff>594360</xdr:colOff>
      <xdr:row>27</xdr:row>
      <xdr:rowOff>45720</xdr:rowOff>
    </xdr:to>
    <xdr:sp macro="" textlink="">
      <xdr:nvSpPr>
        <xdr:cNvPr id="7326" name="Rectangle 2"/>
        <xdr:cNvSpPr>
          <a:spLocks noChangeArrowheads="1"/>
        </xdr:cNvSpPr>
      </xdr:nvSpPr>
      <xdr:spPr bwMode="auto">
        <a:xfrm>
          <a:off x="1097280" y="4061460"/>
          <a:ext cx="6202680" cy="1203960"/>
        </a:xfrm>
        <a:prstGeom prst="rect">
          <a:avLst/>
        </a:prstGeom>
        <a:noFill/>
        <a:ln w="1714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144780</xdr:colOff>
      <xdr:row>2</xdr:row>
      <xdr:rowOff>30480</xdr:rowOff>
    </xdr:from>
    <xdr:to>
      <xdr:col>4</xdr:col>
      <xdr:colOff>30480</xdr:colOff>
      <xdr:row>4</xdr:row>
      <xdr:rowOff>137160</xdr:rowOff>
    </xdr:to>
    <xdr:pic>
      <xdr:nvPicPr>
        <xdr:cNvPr id="73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780" y="358140"/>
          <a:ext cx="2324100" cy="777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33</xdr:row>
      <xdr:rowOff>266700</xdr:rowOff>
    </xdr:from>
    <xdr:to>
      <xdr:col>14</xdr:col>
      <xdr:colOff>266700</xdr:colOff>
      <xdr:row>53</xdr:row>
      <xdr:rowOff>114300</xdr:rowOff>
    </xdr:to>
    <xdr:pic>
      <xdr:nvPicPr>
        <xdr:cNvPr id="4" name="Picture 1" descr="Gate Charg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714375"/>
          <a:ext cx="5943600" cy="3771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466725</xdr:colOff>
      <xdr:row>60</xdr:row>
      <xdr:rowOff>0</xdr:rowOff>
    </xdr:from>
    <xdr:to>
      <xdr:col>14</xdr:col>
      <xdr:colOff>276225</xdr:colOff>
      <xdr:row>85</xdr:row>
      <xdr:rowOff>28575</xdr:rowOff>
    </xdr:to>
    <xdr:pic>
      <xdr:nvPicPr>
        <xdr:cNvPr id="5" name="Picture 2" descr="SO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534025"/>
          <a:ext cx="5943600" cy="415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447676</xdr:colOff>
      <xdr:row>53</xdr:row>
      <xdr:rowOff>57151</xdr:rowOff>
    </xdr:from>
    <xdr:to>
      <xdr:col>14</xdr:col>
      <xdr:colOff>247650</xdr:colOff>
      <xdr:row>55</xdr:row>
      <xdr:rowOff>1</xdr:rowOff>
    </xdr:to>
    <xdr:sp macro="" textlink="">
      <xdr:nvSpPr>
        <xdr:cNvPr id="6" name="TextBox 5"/>
        <xdr:cNvSpPr txBox="1"/>
      </xdr:nvSpPr>
      <xdr:spPr>
        <a:xfrm>
          <a:off x="6305551" y="4429126"/>
          <a:ext cx="593407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2 </a:t>
          </a:r>
          <a:r>
            <a:rPr lang="en-US" sz="1600"/>
            <a:t>: </a:t>
          </a:r>
          <a:r>
            <a:rPr lang="en-US" sz="1600" baseline="0"/>
            <a:t> GATE CHARGE</a:t>
          </a:r>
          <a:endParaRPr lang="en-US" sz="1600"/>
        </a:p>
      </xdr:txBody>
    </xdr:sp>
    <xdr:clientData/>
  </xdr:twoCellAnchor>
  <xdr:twoCellAnchor>
    <xdr:from>
      <xdr:col>4</xdr:col>
      <xdr:colOff>476250</xdr:colOff>
      <xdr:row>85</xdr:row>
      <xdr:rowOff>19050</xdr:rowOff>
    </xdr:from>
    <xdr:to>
      <xdr:col>14</xdr:col>
      <xdr:colOff>276225</xdr:colOff>
      <xdr:row>87</xdr:row>
      <xdr:rowOff>28575</xdr:rowOff>
    </xdr:to>
    <xdr:sp macro="" textlink="">
      <xdr:nvSpPr>
        <xdr:cNvPr id="7" name="TextBox 6"/>
        <xdr:cNvSpPr txBox="1"/>
      </xdr:nvSpPr>
      <xdr:spPr>
        <a:xfrm>
          <a:off x="6334125" y="9677400"/>
          <a:ext cx="5934075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3: </a:t>
          </a:r>
          <a:r>
            <a:rPr lang="en-US" sz="1600" b="0"/>
            <a:t>MAXIMUM</a:t>
          </a:r>
          <a:r>
            <a:rPr lang="en-US" sz="1600" b="0" baseline="0"/>
            <a:t> SAFE OPERATING AREA</a:t>
          </a:r>
          <a:endParaRPr lang="en-US" sz="1600" b="1"/>
        </a:p>
      </xdr:txBody>
    </xdr:sp>
    <xdr:clientData/>
  </xdr:twoCellAnchor>
  <xdr:twoCellAnchor>
    <xdr:from>
      <xdr:col>4</xdr:col>
      <xdr:colOff>457200</xdr:colOff>
      <xdr:row>93</xdr:row>
      <xdr:rowOff>161925</xdr:rowOff>
    </xdr:from>
    <xdr:to>
      <xdr:col>14</xdr:col>
      <xdr:colOff>266700</xdr:colOff>
      <xdr:row>118</xdr:row>
      <xdr:rowOff>9525</xdr:rowOff>
    </xdr:to>
    <xdr:pic>
      <xdr:nvPicPr>
        <xdr:cNvPr id="8" name="Picture 3" descr="On Resistanc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1258550"/>
          <a:ext cx="5943600" cy="426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457200</xdr:colOff>
      <xdr:row>91</xdr:row>
      <xdr:rowOff>0</xdr:rowOff>
    </xdr:from>
    <xdr:ext cx="5943600" cy="5143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6362700" y="16078200"/>
              <a:ext cx="5943600" cy="5143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800"/>
                <a:t>Normalized</a:t>
              </a:r>
              <a:r>
                <a:rPr lang="en-US" sz="1800" baseline="0"/>
                <a:t> On-State Resistance </a:t>
              </a:r>
              <a14:m>
                <m:oMath xmlns:m="http://schemas.openxmlformats.org/officeDocument/2006/math">
                  <m:r>
                    <a:rPr lang="en-US" sz="1800" i="1">
                      <a:latin typeface="Cambria Math"/>
                    </a:rPr>
                    <m:t>=</m:t>
                  </m:r>
                  <m:f>
                    <m:fPr>
                      <m:ctrlPr>
                        <a:rPr lang="en-US" sz="18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80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800" b="0" i="1">
                              <a:latin typeface="Cambria Math"/>
                            </a:rPr>
                            <m:t>𝑅</m:t>
                          </m:r>
                        </m:e>
                        <m:sub>
                          <m:r>
                            <a:rPr lang="en-US" sz="1800" b="0" i="1">
                              <a:latin typeface="Cambria Math"/>
                            </a:rPr>
                            <m:t>𝐷𝑆</m:t>
                          </m:r>
                          <m:r>
                            <a:rPr lang="en-US" sz="1800" b="0" i="1">
                              <a:latin typeface="Cambria Math"/>
                            </a:rPr>
                            <m:t>(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𝑂𝑁</m:t>
                          </m:r>
                          <m:r>
                            <a:rPr lang="en-US" sz="1800" b="0" i="1">
                              <a:latin typeface="Cambria Math"/>
                            </a:rPr>
                            <m:t>)_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𝑇𝐸𝑀𝑃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en-US" sz="18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800" b="0" i="1">
                              <a:latin typeface="Cambria Math"/>
                            </a:rPr>
                            <m:t>𝑅</m:t>
                          </m:r>
                        </m:e>
                        <m:sub>
                          <m:r>
                            <a:rPr lang="en-US" sz="1800" b="0" i="1">
                              <a:latin typeface="Cambria Math"/>
                            </a:rPr>
                            <m:t>𝐷𝑆</m:t>
                          </m:r>
                          <m:r>
                            <a:rPr lang="en-US" sz="1800" b="0" i="1">
                              <a:latin typeface="Cambria Math"/>
                            </a:rPr>
                            <m:t>(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𝑂𝑁</m:t>
                          </m:r>
                          <m:r>
                            <a:rPr lang="en-US" sz="1800" b="0" i="1">
                              <a:latin typeface="Cambria Math"/>
                            </a:rPr>
                            <m:t>)_</m:t>
                          </m:r>
                          <m:r>
                            <a:rPr lang="en-US" sz="1800" b="0" i="1">
                              <a:latin typeface="Cambria Math"/>
                            </a:rPr>
                            <m:t>𝑀𝐴𝑋</m:t>
                          </m:r>
                        </m:sub>
                      </m:sSub>
                    </m:den>
                  </m:f>
                </m:oMath>
              </a14:m>
              <a:endParaRPr lang="en-US" sz="18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362700" y="16078200"/>
              <a:ext cx="5943600" cy="5143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800"/>
                <a:t>Normalized</a:t>
              </a:r>
              <a:r>
                <a:rPr lang="en-US" sz="1800" baseline="0"/>
                <a:t> On-State Resistance </a:t>
              </a:r>
              <a:r>
                <a:rPr lang="en-US" sz="1800" i="0">
                  <a:latin typeface="Cambria Math"/>
                </a:rPr>
                <a:t>=</a:t>
              </a:r>
              <a:r>
                <a:rPr lang="en-US" sz="1800" b="0" i="0">
                  <a:latin typeface="Cambria Math"/>
                </a:rPr>
                <a:t>𝑅_(𝐷𝑆(𝑂𝑁)_𝑇𝐸𝑀𝑃)/𝑅_(𝐷𝑆(𝑂𝑁)_𝑀𝐴𝑋) </a:t>
              </a:r>
              <a:endParaRPr lang="en-US" sz="1800"/>
            </a:p>
          </xdr:txBody>
        </xdr:sp>
      </mc:Fallback>
    </mc:AlternateContent>
    <xdr:clientData/>
  </xdr:oneCellAnchor>
  <xdr:twoCellAnchor>
    <xdr:from>
      <xdr:col>4</xdr:col>
      <xdr:colOff>476250</xdr:colOff>
      <xdr:row>117</xdr:row>
      <xdr:rowOff>123825</xdr:rowOff>
    </xdr:from>
    <xdr:to>
      <xdr:col>14</xdr:col>
      <xdr:colOff>276225</xdr:colOff>
      <xdr:row>119</xdr:row>
      <xdr:rowOff>104775</xdr:rowOff>
    </xdr:to>
    <xdr:sp macro="" textlink="">
      <xdr:nvSpPr>
        <xdr:cNvPr id="10" name="TextBox 9"/>
        <xdr:cNvSpPr txBox="1"/>
      </xdr:nvSpPr>
      <xdr:spPr>
        <a:xfrm>
          <a:off x="6334125" y="15449550"/>
          <a:ext cx="5934075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4: </a:t>
          </a:r>
          <a:r>
            <a:rPr lang="en-US" sz="1600" b="0"/>
            <a:t>ON-RESISTANCE</a:t>
          </a:r>
          <a:r>
            <a:rPr lang="en-US" sz="1600" b="0" baseline="0"/>
            <a:t> Vs. TEMPERATURE</a:t>
          </a:r>
          <a:endParaRPr lang="en-US" sz="1600" b="1"/>
        </a:p>
      </xdr:txBody>
    </xdr:sp>
    <xdr:clientData/>
  </xdr:twoCellAnchor>
  <xdr:twoCellAnchor>
    <xdr:from>
      <xdr:col>1</xdr:col>
      <xdr:colOff>885826</xdr:colOff>
      <xdr:row>30</xdr:row>
      <xdr:rowOff>76201</xdr:rowOff>
    </xdr:from>
    <xdr:to>
      <xdr:col>11</xdr:col>
      <xdr:colOff>142875</xdr:colOff>
      <xdr:row>32</xdr:row>
      <xdr:rowOff>95251</xdr:rowOff>
    </xdr:to>
    <xdr:sp macro="" textlink="">
      <xdr:nvSpPr>
        <xdr:cNvPr id="15" name="TextBox 14"/>
        <xdr:cNvSpPr txBox="1"/>
      </xdr:nvSpPr>
      <xdr:spPr>
        <a:xfrm>
          <a:off x="1866901" y="5057776"/>
          <a:ext cx="8486774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/>
            <a:t>Figure 1 </a:t>
          </a:r>
          <a:r>
            <a:rPr lang="en-US" sz="1600"/>
            <a:t>: </a:t>
          </a:r>
          <a:r>
            <a:rPr lang="en-US" sz="1600" baseline="0"/>
            <a:t> SCHEMATIC OF TPS24700 DESIGN EXAMPLE</a:t>
          </a:r>
          <a:endParaRPr lang="en-US" sz="1600"/>
        </a:p>
      </xdr:txBody>
    </xdr:sp>
    <xdr:clientData/>
  </xdr:twoCellAnchor>
  <xdr:twoCellAnchor>
    <xdr:from>
      <xdr:col>1</xdr:col>
      <xdr:colOff>876299</xdr:colOff>
      <xdr:row>3</xdr:row>
      <xdr:rowOff>47625</xdr:rowOff>
    </xdr:from>
    <xdr:to>
      <xdr:col>11</xdr:col>
      <xdr:colOff>152399</xdr:colOff>
      <xdr:row>30</xdr:row>
      <xdr:rowOff>119398</xdr:rowOff>
    </xdr:to>
    <xdr:pic>
      <xdr:nvPicPr>
        <xdr:cNvPr id="12" name="Picture 2" descr="24700 schematic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4" y="657225"/>
          <a:ext cx="8505825" cy="4443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.com/lit/ug/sluu459a/sluu459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31"/>
  <sheetViews>
    <sheetView topLeftCell="A13" workbookViewId="0"/>
  </sheetViews>
  <sheetFormatPr defaultRowHeight="12.5"/>
  <sheetData>
    <row r="1" spans="1:16" ht="12.65" customHeight="1" thickTop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30">
      <c r="A3" s="4"/>
      <c r="B3" s="5"/>
      <c r="C3" s="5"/>
      <c r="D3" s="7"/>
      <c r="E3" s="5"/>
      <c r="F3" s="5"/>
      <c r="G3" s="5"/>
      <c r="H3" s="5"/>
      <c r="I3" s="5"/>
      <c r="J3" s="5"/>
      <c r="K3" s="5"/>
      <c r="L3" s="8"/>
      <c r="M3" s="5"/>
      <c r="N3" s="5"/>
      <c r="O3" s="5"/>
      <c r="P3" s="6"/>
    </row>
    <row r="4" spans="1:16" ht="23">
      <c r="A4" s="4"/>
      <c r="B4" s="5"/>
      <c r="C4" s="5"/>
      <c r="D4" s="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ht="15.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8" t="s">
        <v>166</v>
      </c>
      <c r="N7" s="5"/>
      <c r="O7" s="5"/>
      <c r="P7" s="6"/>
    </row>
    <row r="8" spans="1:16" ht="30">
      <c r="A8" s="4"/>
      <c r="B8" s="7" t="s">
        <v>182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ht="13">
      <c r="A10" s="4"/>
      <c r="B10" s="12"/>
      <c r="C10" s="11"/>
      <c r="D10" s="11"/>
      <c r="E10" s="11"/>
      <c r="F10" s="5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ht="20">
      <c r="A11" s="4"/>
      <c r="B11" s="10" t="s">
        <v>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>
      <c r="A12" s="4"/>
      <c r="B12" s="5" t="s">
        <v>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>
      <c r="A13" s="4"/>
      <c r="B13" s="5" t="s">
        <v>10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>
      <c r="A15" s="4"/>
      <c r="B15" s="5" t="s">
        <v>32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>
      <c r="A17" s="4"/>
      <c r="B17" s="5" t="s">
        <v>11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</row>
    <row r="18" spans="1:16" ht="13">
      <c r="A18" s="4"/>
      <c r="B18" s="85" t="s">
        <v>183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"/>
    </row>
    <row r="19" spans="1:16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</row>
    <row r="20" spans="1:16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</row>
    <row r="21" spans="1:16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</row>
    <row r="22" spans="1:16" ht="15.5">
      <c r="A22" s="4"/>
      <c r="B22" s="5"/>
      <c r="C22" s="13" t="s">
        <v>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>
      <c r="A23" s="4"/>
      <c r="B23" s="5"/>
      <c r="C23" s="5" t="s">
        <v>2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"/>
    </row>
    <row r="24" spans="1:16">
      <c r="A24" s="4"/>
      <c r="B24" s="5"/>
      <c r="C24" s="5" t="s">
        <v>3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</row>
    <row r="25" spans="1:16">
      <c r="A25" s="4"/>
      <c r="B25" s="5"/>
      <c r="C25" s="5" t="s">
        <v>4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>
      <c r="A26" s="4"/>
      <c r="B26" s="5"/>
      <c r="C26" s="5" t="s">
        <v>5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"/>
    </row>
    <row r="28" spans="1:16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"/>
    </row>
    <row r="30" spans="1:16" ht="13" thickBo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6"/>
    </row>
    <row r="31" spans="1:16" ht="13" thickTop="1"/>
  </sheetData>
  <sheetProtection password="8553" sheet="1" objects="1" scenarios="1"/>
  <phoneticPr fontId="0" type="noConversion"/>
  <pageMargins left="0.75" right="0.75" top="1" bottom="1" header="0.5" footer="0.5"/>
  <pageSetup scale="75" orientation="portrait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topLeftCell="A52" zoomScale="85" zoomScaleNormal="85" workbookViewId="0">
      <selection activeCell="D64" sqref="D64"/>
    </sheetView>
  </sheetViews>
  <sheetFormatPr defaultColWidth="9.1796875" defaultRowHeight="13"/>
  <cols>
    <col min="1" max="1" width="14.7265625" style="41" customWidth="1"/>
    <col min="2" max="2" width="52.453125" style="41" customWidth="1"/>
    <col min="3" max="3" width="12.26953125" style="41" bestFit="1" customWidth="1"/>
    <col min="4" max="4" width="9.1796875" style="26"/>
    <col min="5" max="5" width="9.1796875" style="41" customWidth="1"/>
    <col min="6" max="6" width="8.7265625" style="41" customWidth="1"/>
    <col min="7" max="7" width="10.1796875" style="41" customWidth="1"/>
    <col min="8" max="14" width="9.1796875" style="41"/>
    <col min="15" max="15" width="13.453125" style="41" customWidth="1"/>
    <col min="16" max="16" width="4.54296875" style="41" customWidth="1"/>
    <col min="17" max="16384" width="9.1796875" style="41"/>
  </cols>
  <sheetData>
    <row r="1" spans="1:7" ht="20">
      <c r="A1" s="40" t="s">
        <v>184</v>
      </c>
    </row>
    <row r="2" spans="1:7" ht="14.5">
      <c r="A2" s="42" t="s">
        <v>187</v>
      </c>
      <c r="C2" s="43" t="s">
        <v>167</v>
      </c>
      <c r="E2" s="44" t="s">
        <v>168</v>
      </c>
      <c r="G2" s="45" t="s">
        <v>169</v>
      </c>
    </row>
    <row r="3" spans="1:7" ht="12.5">
      <c r="D3" s="41"/>
    </row>
    <row r="4" spans="1:7" ht="12.5">
      <c r="D4" s="41"/>
    </row>
    <row r="5" spans="1:7" ht="12.5">
      <c r="D5" s="41"/>
    </row>
    <row r="6" spans="1:7" ht="12.5">
      <c r="D6" s="41"/>
    </row>
    <row r="7" spans="1:7" ht="12.5">
      <c r="D7" s="41"/>
    </row>
    <row r="8" spans="1:7" ht="12.5">
      <c r="D8" s="41"/>
    </row>
    <row r="9" spans="1:7" ht="12.5">
      <c r="D9" s="41"/>
    </row>
    <row r="10" spans="1:7" ht="12.5">
      <c r="D10" s="41"/>
    </row>
    <row r="11" spans="1:7" ht="12.5">
      <c r="D11" s="41"/>
    </row>
    <row r="12" spans="1:7" ht="12.5">
      <c r="D12" s="41"/>
    </row>
    <row r="13" spans="1:7" ht="12.5">
      <c r="D13" s="41"/>
    </row>
    <row r="14" spans="1:7" ht="12.5">
      <c r="D14" s="41"/>
    </row>
    <row r="15" spans="1:7" ht="12.5">
      <c r="D15" s="41"/>
    </row>
    <row r="16" spans="1:7" ht="12.5">
      <c r="D16" s="41"/>
    </row>
    <row r="17" spans="4:13" ht="12.5">
      <c r="D17" s="41"/>
    </row>
    <row r="18" spans="4:13" ht="12.5">
      <c r="D18" s="41"/>
    </row>
    <row r="19" spans="4:13" ht="12.5">
      <c r="D19" s="41"/>
    </row>
    <row r="20" spans="4:13" ht="12.5">
      <c r="D20" s="41"/>
    </row>
    <row r="21" spans="4:13" ht="12.5">
      <c r="D21" s="41"/>
    </row>
    <row r="22" spans="4:13" ht="12.5">
      <c r="D22" s="41"/>
    </row>
    <row r="23" spans="4:13" ht="12.5">
      <c r="D23" s="41"/>
    </row>
    <row r="24" spans="4:13" ht="12.5">
      <c r="D24" s="41"/>
    </row>
    <row r="25" spans="4:13" ht="12.5">
      <c r="D25" s="41"/>
    </row>
    <row r="26" spans="4:13" ht="12.5">
      <c r="D26" s="41"/>
    </row>
    <row r="27" spans="4:13" ht="12.5">
      <c r="D27" s="41"/>
    </row>
    <row r="28" spans="4:13" ht="12.5">
      <c r="D28" s="41"/>
      <c r="M28" s="47"/>
    </row>
    <row r="29" spans="4:13" ht="12.5">
      <c r="D29" s="41"/>
    </row>
    <row r="30" spans="4:13" ht="12.5">
      <c r="D30" s="41"/>
    </row>
    <row r="31" spans="4:13" ht="12.5">
      <c r="D31" s="41"/>
    </row>
    <row r="32" spans="4:13" ht="12.5">
      <c r="D32" s="41"/>
    </row>
    <row r="33" spans="1:5" ht="12.5">
      <c r="D33" s="41"/>
    </row>
    <row r="34" spans="1:5" ht="27.65" customHeight="1">
      <c r="A34" s="94" t="s">
        <v>16</v>
      </c>
      <c r="B34" s="94"/>
      <c r="C34" s="48"/>
      <c r="D34" s="48"/>
    </row>
    <row r="35" spans="1:5">
      <c r="A35" s="49" t="s">
        <v>6</v>
      </c>
      <c r="B35" s="49" t="s">
        <v>7</v>
      </c>
      <c r="C35" s="49" t="s">
        <v>12</v>
      </c>
      <c r="D35" s="50" t="s">
        <v>13</v>
      </c>
      <c r="E35" s="51"/>
    </row>
    <row r="36" spans="1:5">
      <c r="A36" s="24" t="s">
        <v>84</v>
      </c>
      <c r="B36" s="24" t="s">
        <v>85</v>
      </c>
      <c r="C36" s="27">
        <v>4</v>
      </c>
      <c r="D36" s="26" t="s">
        <v>153</v>
      </c>
      <c r="E36" s="52"/>
    </row>
    <row r="37" spans="1:5">
      <c r="A37" s="24" t="s">
        <v>96</v>
      </c>
      <c r="B37" s="24" t="s">
        <v>97</v>
      </c>
      <c r="C37" s="28">
        <v>1.35</v>
      </c>
      <c r="D37" s="26" t="s">
        <v>0</v>
      </c>
    </row>
    <row r="38" spans="1:5">
      <c r="A38" s="24" t="s">
        <v>98</v>
      </c>
      <c r="B38" s="24" t="s">
        <v>99</v>
      </c>
      <c r="C38" s="25">
        <v>1.0000000000000001E-5</v>
      </c>
      <c r="D38" s="26" t="s">
        <v>14</v>
      </c>
    </row>
    <row r="39" spans="1:5">
      <c r="A39" s="24" t="s">
        <v>139</v>
      </c>
      <c r="B39" s="24" t="s">
        <v>140</v>
      </c>
      <c r="C39" s="28">
        <v>1.35</v>
      </c>
      <c r="D39" s="26" t="s">
        <v>0</v>
      </c>
    </row>
    <row r="40" spans="1:5" ht="12.75" customHeight="1">
      <c r="A40" s="24" t="s">
        <v>141</v>
      </c>
      <c r="B40" s="24" t="s">
        <v>142</v>
      </c>
      <c r="C40" s="28">
        <v>1.3</v>
      </c>
      <c r="D40" s="26" t="s">
        <v>0</v>
      </c>
    </row>
    <row r="41" spans="1:5">
      <c r="A41" s="41" t="s">
        <v>116</v>
      </c>
      <c r="B41" s="41" t="s">
        <v>117</v>
      </c>
      <c r="C41" s="25">
        <v>3.0000000000000001E-5</v>
      </c>
      <c r="D41" s="26" t="s">
        <v>14</v>
      </c>
    </row>
    <row r="42" spans="1:5">
      <c r="A42" s="24" t="s">
        <v>151</v>
      </c>
      <c r="B42" s="24" t="s">
        <v>152</v>
      </c>
      <c r="C42" s="25">
        <v>5.1999999999999998E-2</v>
      </c>
      <c r="D42" s="26" t="s">
        <v>0</v>
      </c>
    </row>
    <row r="43" spans="1:5">
      <c r="A43" s="24" t="s">
        <v>149</v>
      </c>
      <c r="B43" s="24" t="s">
        <v>150</v>
      </c>
      <c r="C43" s="56">
        <v>5.9</v>
      </c>
      <c r="D43" s="26" t="s">
        <v>0</v>
      </c>
    </row>
    <row r="44" spans="1:5">
      <c r="A44" s="24" t="s">
        <v>180</v>
      </c>
      <c r="B44" s="24" t="s">
        <v>181</v>
      </c>
      <c r="C44" s="56">
        <v>25</v>
      </c>
      <c r="D44" s="26" t="s">
        <v>35</v>
      </c>
    </row>
    <row r="46" spans="1:5" ht="14">
      <c r="B46" s="57" t="s">
        <v>49</v>
      </c>
      <c r="C46" s="58"/>
    </row>
    <row r="47" spans="1:5">
      <c r="A47" s="49" t="s">
        <v>6</v>
      </c>
      <c r="B47" s="49" t="s">
        <v>7</v>
      </c>
      <c r="C47" s="49" t="s">
        <v>12</v>
      </c>
      <c r="D47" s="50" t="s">
        <v>13</v>
      </c>
    </row>
    <row r="48" spans="1:5" ht="15.5">
      <c r="A48" s="24" t="s">
        <v>50</v>
      </c>
      <c r="B48" s="24" t="s">
        <v>51</v>
      </c>
      <c r="C48" s="29">
        <v>8.3000000000000007</v>
      </c>
      <c r="D48" s="26" t="s">
        <v>14</v>
      </c>
    </row>
    <row r="49" spans="1:6" ht="15.5">
      <c r="A49" s="24" t="s">
        <v>48</v>
      </c>
      <c r="B49" s="24" t="s">
        <v>47</v>
      </c>
      <c r="C49" s="29">
        <v>12</v>
      </c>
      <c r="D49" s="26" t="s">
        <v>0</v>
      </c>
    </row>
    <row r="50" spans="1:6" ht="14.5" customHeight="1">
      <c r="A50" s="41" t="s">
        <v>29</v>
      </c>
      <c r="B50" s="41" t="s">
        <v>18</v>
      </c>
      <c r="C50" s="30">
        <v>470</v>
      </c>
      <c r="D50" s="26" t="s">
        <v>34</v>
      </c>
    </row>
    <row r="51" spans="1:6" ht="15.5">
      <c r="A51" s="41" t="s">
        <v>30</v>
      </c>
      <c r="B51" s="24" t="s">
        <v>31</v>
      </c>
      <c r="C51" s="29">
        <v>1000</v>
      </c>
      <c r="D51" s="26" t="s">
        <v>15</v>
      </c>
    </row>
    <row r="52" spans="1:6" ht="15.5">
      <c r="A52" s="24" t="s">
        <v>56</v>
      </c>
      <c r="B52" s="24" t="s">
        <v>54</v>
      </c>
      <c r="C52" s="29">
        <v>45</v>
      </c>
      <c r="D52" s="26" t="s">
        <v>55</v>
      </c>
    </row>
    <row r="53" spans="1:6">
      <c r="A53" s="24" t="s">
        <v>57</v>
      </c>
      <c r="B53" s="54" t="s">
        <v>177</v>
      </c>
      <c r="C53" s="29">
        <v>30</v>
      </c>
      <c r="D53" s="26" t="s">
        <v>58</v>
      </c>
    </row>
    <row r="54" spans="1:6" ht="14.5">
      <c r="A54" s="41" t="s">
        <v>114</v>
      </c>
      <c r="B54" s="41" t="s">
        <v>115</v>
      </c>
      <c r="C54" s="87">
        <f>(V_sns_cl_max/Iload_max)*1000</f>
        <v>6.2650602409638552</v>
      </c>
      <c r="D54" s="26" t="s">
        <v>172</v>
      </c>
    </row>
    <row r="55" spans="1:6">
      <c r="A55" s="24" t="s">
        <v>36</v>
      </c>
      <c r="B55" s="24" t="s">
        <v>113</v>
      </c>
      <c r="C55" s="29">
        <v>2</v>
      </c>
      <c r="D55" s="26" t="s">
        <v>172</v>
      </c>
      <c r="E55" s="47"/>
    </row>
    <row r="56" spans="1:6">
      <c r="A56" s="24" t="s">
        <v>173</v>
      </c>
      <c r="B56" s="24" t="s">
        <v>175</v>
      </c>
      <c r="C56" s="65" t="s">
        <v>188</v>
      </c>
      <c r="E56" s="59"/>
    </row>
    <row r="57" spans="1:6" ht="15.5">
      <c r="A57" s="24" t="s">
        <v>61</v>
      </c>
      <c r="B57" s="24" t="s">
        <v>62</v>
      </c>
      <c r="C57" s="29">
        <v>150</v>
      </c>
      <c r="D57" s="26" t="s">
        <v>55</v>
      </c>
      <c r="E57" s="60"/>
    </row>
    <row r="58" spans="1:6">
      <c r="A58" s="41" t="s">
        <v>118</v>
      </c>
      <c r="B58" s="41" t="s">
        <v>122</v>
      </c>
      <c r="C58" s="29">
        <v>10.5</v>
      </c>
      <c r="D58" s="26" t="s">
        <v>14</v>
      </c>
      <c r="E58" s="60"/>
    </row>
    <row r="59" spans="1:6">
      <c r="A59" s="41" t="s">
        <v>119</v>
      </c>
      <c r="B59" s="41" t="s">
        <v>121</v>
      </c>
      <c r="C59" s="29">
        <v>4</v>
      </c>
      <c r="D59" s="26" t="s">
        <v>14</v>
      </c>
    </row>
    <row r="60" spans="1:6">
      <c r="A60" s="41" t="s">
        <v>120</v>
      </c>
      <c r="B60" s="41" t="s">
        <v>123</v>
      </c>
      <c r="C60" s="29">
        <v>2</v>
      </c>
      <c r="D60" s="26" t="s">
        <v>14</v>
      </c>
      <c r="E60" s="60"/>
    </row>
    <row r="61" spans="1:6">
      <c r="A61" s="24" t="s">
        <v>170</v>
      </c>
      <c r="B61" s="61" t="s">
        <v>171</v>
      </c>
      <c r="C61" s="65">
        <v>3.2</v>
      </c>
      <c r="D61" s="26" t="s">
        <v>172</v>
      </c>
      <c r="E61" s="60"/>
      <c r="F61" s="47"/>
    </row>
    <row r="62" spans="1:6" ht="14.5">
      <c r="A62" s="24" t="s">
        <v>174</v>
      </c>
      <c r="B62" s="24" t="s">
        <v>176</v>
      </c>
      <c r="C62" s="37">
        <f>1.35*Rds_on_Max</f>
        <v>4.32</v>
      </c>
      <c r="D62" s="26" t="s">
        <v>172</v>
      </c>
    </row>
    <row r="63" spans="1:6" ht="14.5">
      <c r="A63" s="41" t="s">
        <v>124</v>
      </c>
      <c r="B63" s="41" t="s">
        <v>126</v>
      </c>
      <c r="C63" s="37">
        <f>1.27*Rds_on_Max</f>
        <v>4.0640000000000001</v>
      </c>
      <c r="D63" s="26" t="s">
        <v>172</v>
      </c>
    </row>
    <row r="64" spans="1:6" ht="15.75" customHeight="1">
      <c r="B64" s="24" t="s">
        <v>185</v>
      </c>
      <c r="C64" s="35">
        <f>0.0000000056</f>
        <v>5.5999999999999997E-9</v>
      </c>
      <c r="D64" s="26" t="s">
        <v>163</v>
      </c>
      <c r="E64" s="24"/>
    </row>
    <row r="65" spans="1:5">
      <c r="A65" s="41" t="s">
        <v>125</v>
      </c>
      <c r="B65" s="41" t="s">
        <v>128</v>
      </c>
      <c r="C65" s="36">
        <v>1</v>
      </c>
    </row>
    <row r="66" spans="1:5">
      <c r="A66" s="24" t="s">
        <v>86</v>
      </c>
      <c r="B66" s="24" t="s">
        <v>87</v>
      </c>
      <c r="C66" s="29" t="s">
        <v>156</v>
      </c>
      <c r="E66" s="60"/>
    </row>
    <row r="67" spans="1:5" ht="14.5" customHeight="1">
      <c r="A67" s="41" t="s">
        <v>144</v>
      </c>
      <c r="B67" s="41" t="s">
        <v>145</v>
      </c>
      <c r="C67" s="29" t="s">
        <v>156</v>
      </c>
    </row>
    <row r="68" spans="1:5" ht="15.65" customHeight="1">
      <c r="A68" s="24" t="s">
        <v>154</v>
      </c>
      <c r="B68" s="24" t="s">
        <v>155</v>
      </c>
      <c r="C68" s="31">
        <v>0.2</v>
      </c>
      <c r="D68" s="26" t="s">
        <v>14</v>
      </c>
    </row>
    <row r="69" spans="1:5" ht="15" customHeight="1">
      <c r="A69" s="24"/>
      <c r="B69" s="24"/>
      <c r="C69" s="26"/>
      <c r="E69" s="62"/>
    </row>
    <row r="70" spans="1:5" ht="14">
      <c r="A70" s="63" t="s">
        <v>37</v>
      </c>
      <c r="B70" s="48"/>
      <c r="C70" s="48"/>
    </row>
    <row r="71" spans="1:5">
      <c r="A71" s="49" t="s">
        <v>6</v>
      </c>
      <c r="B71" s="49" t="s">
        <v>7</v>
      </c>
      <c r="C71" s="49" t="s">
        <v>12</v>
      </c>
      <c r="D71" s="50" t="s">
        <v>13</v>
      </c>
      <c r="E71" s="60"/>
    </row>
    <row r="72" spans="1:5" ht="14.5">
      <c r="A72" s="24" t="s">
        <v>41</v>
      </c>
      <c r="B72" s="24" t="s">
        <v>157</v>
      </c>
      <c r="C72" s="37">
        <f>IF(Start_Up_Worksheet!G104&lt;0,"No start up, load too big",1000*SUM(Start_Up_Worksheet!I2:I102))</f>
        <v>0.68007130997738252</v>
      </c>
      <c r="D72" s="26" t="s">
        <v>28</v>
      </c>
      <c r="E72" s="60"/>
    </row>
    <row r="73" spans="1:5" ht="14.5">
      <c r="A73" s="24" t="s">
        <v>164</v>
      </c>
      <c r="B73" s="24" t="s">
        <v>186</v>
      </c>
      <c r="C73" s="37">
        <f>(No_of_FETs*FET_Gate_Charge_to_reach_Vgs_5.9V/I_gate)*1000</f>
        <v>0.18666666666666665</v>
      </c>
      <c r="D73" s="26" t="s">
        <v>28</v>
      </c>
      <c r="E73" s="60"/>
    </row>
    <row r="74" spans="1:5" ht="14.5">
      <c r="A74" s="24" t="s">
        <v>148</v>
      </c>
      <c r="B74" s="24" t="s">
        <v>165</v>
      </c>
      <c r="C74" s="37">
        <f>Cgate*1000*(V_bus_max+Vta)/I_gate</f>
        <v>0</v>
      </c>
      <c r="D74" s="26" t="s">
        <v>28</v>
      </c>
      <c r="E74" s="60"/>
    </row>
    <row r="75" spans="1:5" ht="14.5">
      <c r="A75" s="41" t="s">
        <v>33</v>
      </c>
      <c r="B75" s="41" t="s">
        <v>38</v>
      </c>
      <c r="C75" s="37">
        <f>IF(dVdT="Yes",T_FET1+T_dVdT,Tcap+T_FET1)</f>
        <v>0.86673797664404917</v>
      </c>
      <c r="D75" s="26" t="s">
        <v>28</v>
      </c>
      <c r="E75" s="60"/>
    </row>
    <row r="76" spans="1:5" ht="25.5">
      <c r="A76" s="53" t="s">
        <v>43</v>
      </c>
      <c r="B76" s="54" t="s">
        <v>40</v>
      </c>
      <c r="C76" s="31">
        <v>50</v>
      </c>
      <c r="D76" s="55" t="s">
        <v>153</v>
      </c>
      <c r="E76" s="60"/>
    </row>
    <row r="77" spans="1:5" ht="14.5">
      <c r="A77" s="24" t="s">
        <v>42</v>
      </c>
      <c r="B77" s="24" t="s">
        <v>39</v>
      </c>
      <c r="C77" s="37">
        <f>T_total*(1+T_margin/100)</f>
        <v>1.3001069649660737</v>
      </c>
      <c r="D77" s="26" t="s">
        <v>28</v>
      </c>
      <c r="E77" s="60"/>
    </row>
    <row r="78" spans="1:5" ht="15.5">
      <c r="A78" s="24" t="s">
        <v>59</v>
      </c>
      <c r="B78" s="24" t="s">
        <v>127</v>
      </c>
      <c r="C78" s="38">
        <f>MAX(R_dson_125C*Iload_max^2/1000/No_of_FETs,IF(Retry="YES",PLIM*Retry_duty_cycle/(100*No_of_FETs),0))</f>
        <v>0.29760480000000006</v>
      </c>
      <c r="D78" s="26" t="s">
        <v>17</v>
      </c>
      <c r="E78" s="60"/>
    </row>
    <row r="79" spans="1:5" ht="15.5">
      <c r="A79" s="24" t="s">
        <v>52</v>
      </c>
      <c r="B79" s="24" t="s">
        <v>53</v>
      </c>
      <c r="C79" s="38">
        <f>T_amb_deg+P_DC_FET*R_JA</f>
        <v>53.928144000000003</v>
      </c>
      <c r="D79" s="26" t="s">
        <v>55</v>
      </c>
      <c r="E79" s="60"/>
    </row>
    <row r="80" spans="1:5" ht="14.5">
      <c r="A80" s="24" t="s">
        <v>45</v>
      </c>
      <c r="B80" s="24" t="s">
        <v>46</v>
      </c>
      <c r="C80" s="37">
        <f>SOA_Look_Up!C21</f>
        <v>112.87520970158512</v>
      </c>
      <c r="D80" s="26" t="s">
        <v>17</v>
      </c>
      <c r="E80" s="60"/>
    </row>
    <row r="81" spans="1:5" ht="14.5">
      <c r="A81" s="24" t="s">
        <v>60</v>
      </c>
      <c r="B81" s="24" t="s">
        <v>143</v>
      </c>
      <c r="C81" s="37">
        <f>SOA_25C*(T_jfet_max-T_j_DC_max)/(T_jfet_max-25)</f>
        <v>86.7530471393639</v>
      </c>
      <c r="D81" s="26" t="s">
        <v>17</v>
      </c>
      <c r="E81" s="60"/>
    </row>
    <row r="82" spans="1:5" ht="14.5">
      <c r="A82" s="24" t="s">
        <v>44</v>
      </c>
      <c r="B82" s="24" t="s">
        <v>90</v>
      </c>
      <c r="C82" s="38">
        <f>100*(SOA_av-V_bus_max*Iload_max)/SOA_av</f>
        <v>-14.808647401166439</v>
      </c>
      <c r="D82" s="26" t="s">
        <v>153</v>
      </c>
      <c r="E82" s="60"/>
    </row>
    <row r="83" spans="1:5">
      <c r="A83" s="24"/>
      <c r="B83" s="24" t="s">
        <v>89</v>
      </c>
      <c r="C83" s="31">
        <v>10</v>
      </c>
      <c r="D83" s="26" t="s">
        <v>153</v>
      </c>
      <c r="E83" s="60"/>
    </row>
    <row r="84" spans="1:5" ht="14.5">
      <c r="B84" s="24" t="s">
        <v>88</v>
      </c>
      <c r="C84" s="64" t="str">
        <f>IF(SOA_mrg&gt;SOA_margin, "YES", "NO")</f>
        <v>NO</v>
      </c>
      <c r="E84" s="60"/>
    </row>
    <row r="85" spans="1:5">
      <c r="E85" s="60"/>
    </row>
    <row r="86" spans="1:5">
      <c r="A86" s="49" t="s">
        <v>6</v>
      </c>
      <c r="B86" s="49" t="s">
        <v>7</v>
      </c>
      <c r="C86" s="49" t="s">
        <v>12</v>
      </c>
      <c r="D86" s="50" t="s">
        <v>13</v>
      </c>
      <c r="E86" s="60"/>
    </row>
    <row r="87" spans="1:5" ht="14.5">
      <c r="A87" s="24" t="s">
        <v>91</v>
      </c>
      <c r="B87" s="24" t="s">
        <v>92</v>
      </c>
      <c r="C87" s="37">
        <f>C44/Rsense</f>
        <v>12.5</v>
      </c>
      <c r="D87" s="26" t="s">
        <v>14</v>
      </c>
      <c r="E87" s="60"/>
    </row>
    <row r="88" spans="1:5">
      <c r="A88" s="24"/>
      <c r="B88" s="24"/>
      <c r="C88" s="26"/>
      <c r="E88" s="60"/>
    </row>
    <row r="89" spans="1:5" ht="14.5">
      <c r="A89" s="24" t="s">
        <v>159</v>
      </c>
      <c r="B89" s="24" t="s">
        <v>160</v>
      </c>
      <c r="C89" s="39" t="str">
        <f>IF(dVdT="YES", I_gate/Irampo*COUT*0.000001-(No_of_FETs*FET_Gate_Charge_to_reach_Vgs_5.9V)/Vta, "NA")</f>
        <v>NA</v>
      </c>
      <c r="D89" s="26" t="s">
        <v>95</v>
      </c>
    </row>
    <row r="90" spans="1:5">
      <c r="A90" s="24" t="s">
        <v>146</v>
      </c>
      <c r="B90" s="24" t="s">
        <v>147</v>
      </c>
      <c r="C90" s="32">
        <v>0</v>
      </c>
      <c r="D90" s="26" t="s">
        <v>95</v>
      </c>
    </row>
    <row r="91" spans="1:5" ht="14.5">
      <c r="A91" s="24" t="s">
        <v>161</v>
      </c>
      <c r="B91" s="24" t="s">
        <v>162</v>
      </c>
      <c r="C91" s="37" t="str">
        <f>IF(dVdT="YES",COUT*0.000001*I_gate/(Cgate+(No_of_FETs*FET_Gate_Charge_to_reach_Vgs_5.9V)/Vta), "NA")</f>
        <v>NA</v>
      </c>
      <c r="D91" s="26" t="s">
        <v>14</v>
      </c>
    </row>
    <row r="92" spans="1:5">
      <c r="A92" s="24"/>
      <c r="B92" s="24"/>
      <c r="C92" s="26"/>
    </row>
    <row r="93" spans="1:5" ht="14.5">
      <c r="A93" s="24" t="s">
        <v>93</v>
      </c>
      <c r="B93" s="24" t="s">
        <v>94</v>
      </c>
      <c r="C93" s="39">
        <f>Itimer/Vtimer*T_fault/1000</f>
        <v>9.6304219627116572E-9</v>
      </c>
      <c r="D93" s="26" t="s">
        <v>95</v>
      </c>
    </row>
    <row r="94" spans="1:5">
      <c r="A94" s="24" t="s">
        <v>100</v>
      </c>
      <c r="B94" s="24" t="s">
        <v>101</v>
      </c>
      <c r="C94" s="34">
        <v>5.5999999999999997E-9</v>
      </c>
      <c r="D94" s="26" t="s">
        <v>95</v>
      </c>
    </row>
    <row r="95" spans="1:5" ht="14.5">
      <c r="A95" s="24" t="s">
        <v>102</v>
      </c>
      <c r="B95" s="24" t="s">
        <v>103</v>
      </c>
      <c r="C95" s="38">
        <f>Ctimer*Vtimer/Itimer*1000</f>
        <v>0.75599999999999989</v>
      </c>
      <c r="D95" s="26" t="s">
        <v>28</v>
      </c>
    </row>
    <row r="96" spans="1:5">
      <c r="C96" s="60"/>
    </row>
    <row r="97" spans="1:4">
      <c r="A97" s="24" t="s">
        <v>129</v>
      </c>
      <c r="B97" s="41" t="s">
        <v>130</v>
      </c>
      <c r="C97" s="33">
        <v>12</v>
      </c>
      <c r="D97" s="26" t="s">
        <v>0</v>
      </c>
    </row>
    <row r="98" spans="1:4">
      <c r="A98" s="24" t="s">
        <v>133</v>
      </c>
      <c r="B98" s="24" t="s">
        <v>134</v>
      </c>
      <c r="C98" s="33">
        <v>130000</v>
      </c>
      <c r="D98" s="26" t="s">
        <v>15</v>
      </c>
    </row>
    <row r="99" spans="1:4" ht="14.5">
      <c r="A99" s="24" t="s">
        <v>178</v>
      </c>
      <c r="B99" s="41" t="s">
        <v>132</v>
      </c>
      <c r="C99" s="38">
        <f>R_1*ENR/(ENRise-ENR)</f>
        <v>16478.87323943662</v>
      </c>
      <c r="D99" s="26" t="s">
        <v>15</v>
      </c>
    </row>
    <row r="100" spans="1:4">
      <c r="A100" s="24" t="s">
        <v>131</v>
      </c>
      <c r="B100" s="24" t="s">
        <v>179</v>
      </c>
      <c r="C100" s="33">
        <v>18700</v>
      </c>
      <c r="D100" s="26" t="s">
        <v>15</v>
      </c>
    </row>
    <row r="101" spans="1:4">
      <c r="C101" s="60"/>
    </row>
    <row r="102" spans="1:4" ht="14.5">
      <c r="A102" s="24" t="s">
        <v>135</v>
      </c>
      <c r="B102" s="24" t="s">
        <v>136</v>
      </c>
      <c r="C102" s="37">
        <f>ENR*(R_1+R_3)/(R_3)</f>
        <v>10.735026737967914</v>
      </c>
      <c r="D102" s="26" t="s">
        <v>0</v>
      </c>
    </row>
    <row r="103" spans="1:4" ht="14.5">
      <c r="A103" s="24" t="s">
        <v>137</v>
      </c>
      <c r="B103" s="24" t="s">
        <v>138</v>
      </c>
      <c r="C103" s="37">
        <f>ENF*(R_1+R_3)/(R_3)</f>
        <v>10.337433155080214</v>
      </c>
      <c r="D103" s="26" t="s">
        <v>0</v>
      </c>
    </row>
  </sheetData>
  <sheetProtection password="8553" sheet="1" objects="1" scenarios="1"/>
  <mergeCells count="1">
    <mergeCell ref="A34:B34"/>
  </mergeCells>
  <phoneticPr fontId="1" type="noConversion"/>
  <conditionalFormatting sqref="C51:C53">
    <cfRule type="cellIs" dxfId="1" priority="5" stopIfTrue="1" operator="lessThanOrEqual">
      <formula>#REF!</formula>
    </cfRule>
  </conditionalFormatting>
  <conditionalFormatting sqref="C90">
    <cfRule type="expression" dxfId="0" priority="2" stopIfTrue="1">
      <formula>"$C$42=No"</formula>
    </cfRule>
  </conditionalFormatting>
  <hyperlinks>
    <hyperlink ref="A2" r:id="rId1"/>
  </hyperlinks>
  <pageMargins left="0.75" right="0.75" top="1" bottom="1" header="0.5" footer="0.5"/>
  <pageSetup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10" zoomScale="85" zoomScaleNormal="85" workbookViewId="0">
      <selection activeCell="C9" sqref="C9"/>
    </sheetView>
  </sheetViews>
  <sheetFormatPr defaultColWidth="9.1796875" defaultRowHeight="12.5"/>
  <cols>
    <col min="1" max="1" width="9.1796875" style="66"/>
    <col min="2" max="2" width="17.26953125" style="66" customWidth="1"/>
    <col min="3" max="3" width="10.453125" style="66" customWidth="1"/>
    <col min="4" max="4" width="16" style="66" customWidth="1"/>
    <col min="5" max="5" width="17.7265625" style="66" customWidth="1"/>
    <col min="6" max="6" width="13.26953125" style="66" customWidth="1"/>
    <col min="7" max="7" width="12.81640625" style="66" customWidth="1"/>
    <col min="8" max="8" width="12.26953125" style="66" customWidth="1"/>
    <col min="9" max="9" width="17.453125" style="66" customWidth="1"/>
    <col min="10" max="10" width="15.453125" style="66" customWidth="1"/>
    <col min="11" max="11" width="10.26953125" style="66" customWidth="1"/>
    <col min="12" max="12" width="20" style="66" customWidth="1"/>
    <col min="13" max="16" width="9.1796875" style="66"/>
    <col min="17" max="17" width="12.81640625" style="66" customWidth="1"/>
    <col min="18" max="18" width="9.1796875" style="66"/>
    <col min="19" max="19" width="17.26953125" style="66" customWidth="1"/>
    <col min="20" max="20" width="9.1796875" style="66"/>
    <col min="21" max="21" width="13.26953125" style="66" customWidth="1"/>
    <col min="22" max="22" width="16.81640625" style="66" customWidth="1"/>
    <col min="23" max="23" width="9.1796875" style="66"/>
    <col min="24" max="24" width="13" style="66" customWidth="1"/>
    <col min="25" max="25" width="10.1796875" style="66" customWidth="1"/>
    <col min="26" max="16384" width="9.1796875" style="66"/>
  </cols>
  <sheetData>
    <row r="1" spans="1:26">
      <c r="C1" s="67"/>
      <c r="D1" s="67"/>
      <c r="E1" s="67"/>
      <c r="F1" s="67"/>
      <c r="G1" s="67"/>
      <c r="H1" s="67"/>
      <c r="I1" s="67"/>
      <c r="J1" s="67"/>
    </row>
    <row r="2" spans="1:26">
      <c r="A2" s="67"/>
      <c r="B2" s="68"/>
      <c r="C2" s="99" t="s">
        <v>72</v>
      </c>
      <c r="D2" s="100"/>
      <c r="E2" s="100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9"/>
      <c r="T2" s="69"/>
      <c r="U2" s="69"/>
      <c r="V2" s="69"/>
      <c r="W2" s="69"/>
      <c r="X2" s="69"/>
      <c r="Y2" s="67"/>
      <c r="Z2" s="67"/>
    </row>
    <row r="3" spans="1:26">
      <c r="A3" s="67"/>
      <c r="B3" s="80"/>
      <c r="C3" s="81" t="s">
        <v>63</v>
      </c>
      <c r="D3" s="81" t="s">
        <v>64</v>
      </c>
      <c r="E3" s="81" t="s">
        <v>65</v>
      </c>
      <c r="F3" s="67"/>
      <c r="G3" s="67"/>
      <c r="H3" s="67"/>
      <c r="I3" s="67"/>
      <c r="J3" s="67"/>
      <c r="K3" s="67"/>
      <c r="L3" s="67"/>
      <c r="M3" s="70"/>
      <c r="N3" s="70"/>
      <c r="O3" s="70"/>
      <c r="P3" s="70"/>
      <c r="Q3" s="70"/>
      <c r="R3" s="67"/>
      <c r="S3" s="70"/>
      <c r="T3" s="70"/>
      <c r="U3" s="71"/>
      <c r="V3" s="71"/>
      <c r="W3" s="71"/>
      <c r="X3" s="71"/>
      <c r="Y3" s="67"/>
      <c r="Z3" s="67"/>
    </row>
    <row r="4" spans="1:26" ht="21.65" customHeight="1">
      <c r="A4" s="67"/>
      <c r="B4" s="81" t="s">
        <v>71</v>
      </c>
      <c r="C4" s="82">
        <f>Design_Calculator!C58</f>
        <v>10.5</v>
      </c>
      <c r="D4" s="82">
        <f>Design_Calculator!C59</f>
        <v>4</v>
      </c>
      <c r="E4" s="82">
        <f>Design_Calculator!C60</f>
        <v>2</v>
      </c>
      <c r="F4" s="72"/>
      <c r="G4" s="72"/>
      <c r="H4" s="73"/>
      <c r="I4" s="73"/>
      <c r="J4" s="73"/>
      <c r="K4" s="69"/>
      <c r="L4" s="67"/>
      <c r="M4" s="70"/>
      <c r="N4" s="70"/>
      <c r="O4" s="70"/>
      <c r="P4" s="71"/>
      <c r="Q4" s="71"/>
      <c r="R4" s="67"/>
      <c r="S4" s="70"/>
      <c r="T4" s="70"/>
      <c r="U4" s="71"/>
      <c r="V4" s="71"/>
      <c r="W4" s="71"/>
      <c r="X4" s="71"/>
      <c r="Y4" s="67"/>
      <c r="Z4" s="67"/>
    </row>
    <row r="5" spans="1:26">
      <c r="A5" s="67"/>
      <c r="C5" s="70"/>
      <c r="D5" s="71"/>
      <c r="E5" s="71"/>
      <c r="F5" s="71"/>
      <c r="G5" s="71"/>
      <c r="H5" s="71"/>
      <c r="I5" s="71"/>
      <c r="J5" s="71"/>
      <c r="K5" s="67"/>
      <c r="L5" s="67"/>
      <c r="M5" s="70"/>
      <c r="N5" s="70"/>
      <c r="O5" s="70"/>
      <c r="P5" s="71"/>
      <c r="Q5" s="71"/>
      <c r="R5" s="101"/>
      <c r="S5" s="101"/>
      <c r="T5" s="101"/>
      <c r="U5" s="71"/>
      <c r="V5" s="95"/>
      <c r="W5" s="96"/>
      <c r="X5" s="96"/>
      <c r="Y5" s="67"/>
      <c r="Z5" s="67"/>
    </row>
    <row r="6" spans="1:26">
      <c r="A6" s="67"/>
      <c r="C6" s="70"/>
      <c r="D6" s="71"/>
      <c r="E6" s="71"/>
      <c r="F6" s="71"/>
      <c r="G6" s="71"/>
      <c r="H6" s="71"/>
      <c r="I6" s="71"/>
      <c r="J6" s="71"/>
      <c r="K6" s="67"/>
      <c r="L6" s="67"/>
      <c r="M6" s="70"/>
      <c r="N6" s="70"/>
      <c r="O6" s="70"/>
      <c r="P6" s="71"/>
      <c r="Q6" s="71"/>
      <c r="R6" s="67"/>
      <c r="S6" s="74"/>
      <c r="T6" s="67"/>
      <c r="U6" s="67"/>
      <c r="V6" s="67"/>
      <c r="W6" s="67"/>
      <c r="X6" s="67"/>
      <c r="Y6" s="67"/>
      <c r="Z6" s="67"/>
    </row>
    <row r="7" spans="1:26" ht="14.5">
      <c r="A7" s="67"/>
      <c r="B7" s="83" t="s">
        <v>66</v>
      </c>
      <c r="F7" s="71"/>
      <c r="G7" s="71"/>
      <c r="H7" s="71"/>
      <c r="I7" s="71"/>
      <c r="J7" s="71"/>
      <c r="K7" s="67"/>
      <c r="L7" s="67"/>
      <c r="M7" s="67"/>
      <c r="N7" s="67"/>
      <c r="O7" s="67"/>
      <c r="P7" s="67"/>
      <c r="Q7" s="67"/>
      <c r="R7" s="74"/>
      <c r="S7" s="74"/>
      <c r="T7" s="74"/>
      <c r="U7" s="67"/>
      <c r="V7" s="67"/>
      <c r="W7" s="67"/>
      <c r="X7" s="75"/>
      <c r="Y7" s="70"/>
      <c r="Z7" s="67"/>
    </row>
    <row r="8" spans="1:26" ht="14.5">
      <c r="A8" s="67"/>
      <c r="B8" s="84" t="s">
        <v>67</v>
      </c>
      <c r="C8" s="46">
        <f>Design_Calculator!C77</f>
        <v>1.3001069649660737</v>
      </c>
      <c r="D8" s="76" t="s">
        <v>28</v>
      </c>
      <c r="F8" s="71"/>
      <c r="G8" s="71"/>
      <c r="H8" s="71"/>
      <c r="I8" s="71"/>
      <c r="J8" s="71"/>
      <c r="K8" s="67"/>
      <c r="L8" s="67"/>
      <c r="M8" s="67"/>
      <c r="N8" s="67"/>
      <c r="O8" s="67"/>
      <c r="P8" s="67"/>
      <c r="Q8" s="67"/>
      <c r="R8" s="74"/>
      <c r="S8" s="67"/>
      <c r="T8" s="75"/>
      <c r="U8" s="67"/>
      <c r="V8" s="67"/>
      <c r="W8" s="67"/>
      <c r="X8" s="75"/>
      <c r="Y8" s="70"/>
      <c r="Z8" s="67"/>
    </row>
    <row r="9" spans="1:26" ht="14.5">
      <c r="A9" s="67"/>
      <c r="B9" s="84" t="s">
        <v>70</v>
      </c>
      <c r="C9" s="46">
        <f>V_bus_max</f>
        <v>12</v>
      </c>
      <c r="D9" s="66" t="s">
        <v>0</v>
      </c>
      <c r="F9" s="71"/>
      <c r="G9" s="71"/>
      <c r="H9" s="71"/>
      <c r="I9" s="71"/>
      <c r="J9" s="71"/>
      <c r="K9" s="67"/>
      <c r="L9" s="67"/>
      <c r="M9" s="67"/>
      <c r="N9" s="67"/>
      <c r="O9" s="67"/>
      <c r="P9" s="67"/>
      <c r="Q9" s="67"/>
      <c r="R9" s="74"/>
      <c r="S9" s="67"/>
      <c r="T9" s="75"/>
      <c r="U9" s="67"/>
      <c r="V9" s="67"/>
      <c r="W9" s="67"/>
      <c r="X9" s="75"/>
      <c r="Y9" s="67"/>
      <c r="Z9" s="67"/>
    </row>
    <row r="10" spans="1:26" ht="14.5">
      <c r="A10" s="67"/>
      <c r="B10" s="84" t="s">
        <v>68</v>
      </c>
      <c r="C10" s="46">
        <f>IF(C8&lt;10, 1, 10)</f>
        <v>1</v>
      </c>
      <c r="D10" s="76" t="s">
        <v>28</v>
      </c>
      <c r="F10" s="71"/>
      <c r="G10" s="71"/>
      <c r="H10" s="71"/>
      <c r="I10" s="71"/>
      <c r="J10" s="71"/>
      <c r="K10" s="67"/>
      <c r="L10" s="70"/>
      <c r="M10" s="67"/>
      <c r="N10" s="67"/>
      <c r="O10" s="74"/>
      <c r="P10" s="67"/>
      <c r="Q10" s="67"/>
      <c r="R10" s="74"/>
      <c r="S10" s="67"/>
      <c r="T10" s="75"/>
      <c r="U10" s="67"/>
      <c r="V10" s="67"/>
      <c r="W10" s="67"/>
      <c r="X10" s="75"/>
      <c r="Y10" s="67"/>
      <c r="Z10" s="67"/>
    </row>
    <row r="11" spans="1:26" ht="14.5">
      <c r="A11" s="67"/>
      <c r="B11" s="84" t="s">
        <v>69</v>
      </c>
      <c r="C11" s="46">
        <f>IF(C8&lt; 10, 10, 100)</f>
        <v>10</v>
      </c>
      <c r="D11" s="76" t="s">
        <v>28</v>
      </c>
      <c r="F11" s="71"/>
      <c r="G11" s="71"/>
      <c r="H11" s="71"/>
      <c r="I11" s="71"/>
      <c r="J11" s="71"/>
      <c r="K11" s="67"/>
      <c r="L11" s="67"/>
      <c r="M11" s="70"/>
      <c r="N11" s="67"/>
      <c r="O11" s="67"/>
      <c r="P11" s="67"/>
      <c r="Q11" s="67"/>
      <c r="R11" s="67"/>
      <c r="S11" s="67"/>
      <c r="T11" s="75"/>
      <c r="U11" s="67"/>
      <c r="V11" s="67"/>
      <c r="W11" s="67"/>
      <c r="X11" s="67"/>
      <c r="Y11" s="67"/>
      <c r="Z11" s="67"/>
    </row>
    <row r="12" spans="1:26">
      <c r="A12" s="67"/>
      <c r="B12" s="84" t="s">
        <v>81</v>
      </c>
      <c r="C12" s="46">
        <f>IF(C10=1, C4, D4)</f>
        <v>10.5</v>
      </c>
      <c r="D12" s="76" t="s">
        <v>14</v>
      </c>
      <c r="F12" s="71"/>
      <c r="G12" s="71"/>
      <c r="H12" s="71"/>
      <c r="I12" s="71"/>
      <c r="J12" s="71"/>
      <c r="K12" s="67"/>
      <c r="L12" s="70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spans="1:26">
      <c r="A13" s="67"/>
      <c r="B13" s="84" t="s">
        <v>82</v>
      </c>
      <c r="C13" s="46">
        <f>IF(C11=10, D4, E4)</f>
        <v>4</v>
      </c>
      <c r="D13" s="76" t="s">
        <v>14</v>
      </c>
      <c r="F13" s="71"/>
      <c r="G13" s="71"/>
      <c r="H13" s="71"/>
      <c r="I13" s="71"/>
      <c r="J13" s="71"/>
      <c r="K13" s="67"/>
      <c r="L13" s="70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spans="1:26">
      <c r="A14" s="67"/>
      <c r="F14" s="71"/>
      <c r="G14" s="71"/>
      <c r="H14" s="71"/>
      <c r="I14" s="71"/>
      <c r="J14" s="71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spans="1:26">
      <c r="A15" s="67"/>
      <c r="F15" s="71"/>
      <c r="G15" s="71"/>
      <c r="H15" s="71"/>
      <c r="I15" s="71"/>
      <c r="J15" s="71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spans="1:26" ht="14.5">
      <c r="A16" s="67"/>
      <c r="E16" s="84" t="s">
        <v>76</v>
      </c>
      <c r="F16" s="71"/>
      <c r="G16" s="71"/>
      <c r="H16" s="71"/>
      <c r="I16" s="71"/>
      <c r="J16" s="71"/>
      <c r="K16" s="67"/>
      <c r="L16" s="70"/>
      <c r="M16" s="67"/>
      <c r="N16" s="67"/>
      <c r="O16" s="7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spans="1:26">
      <c r="A17" s="67"/>
      <c r="B17" s="84" t="s">
        <v>77</v>
      </c>
      <c r="C17" s="46">
        <f>C12/C10^C18</f>
        <v>10.5</v>
      </c>
      <c r="E17" s="84" t="s">
        <v>80</v>
      </c>
      <c r="F17" s="71"/>
      <c r="G17" s="71"/>
      <c r="H17" s="71"/>
      <c r="I17" s="71"/>
      <c r="J17" s="71"/>
      <c r="K17" s="67"/>
      <c r="L17" s="67"/>
      <c r="M17" s="97"/>
      <c r="N17" s="97"/>
      <c r="O17" s="9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spans="1:26">
      <c r="A18" s="67"/>
      <c r="B18" s="84" t="s">
        <v>78</v>
      </c>
      <c r="C18" s="46">
        <f>LOG(C12/C13)/LOG(C10/C11)</f>
        <v>-0.41912930774197571</v>
      </c>
      <c r="E18" s="84" t="s">
        <v>79</v>
      </c>
      <c r="F18" s="71"/>
      <c r="G18" s="71"/>
      <c r="H18" s="71"/>
      <c r="I18" s="71"/>
      <c r="J18" s="71"/>
      <c r="K18" s="67"/>
      <c r="L18" s="67"/>
      <c r="M18" s="67"/>
      <c r="N18" s="67"/>
      <c r="O18" s="67"/>
      <c r="P18" s="67"/>
      <c r="Q18" s="97"/>
      <c r="R18" s="97"/>
      <c r="S18" s="97"/>
      <c r="T18" s="97"/>
      <c r="U18" s="67"/>
      <c r="V18" s="67"/>
      <c r="W18" s="67"/>
      <c r="X18" s="67"/>
      <c r="Y18" s="67"/>
      <c r="Z18" s="67"/>
    </row>
    <row r="19" spans="1:26">
      <c r="A19" s="67"/>
      <c r="B19" s="84" t="s">
        <v>83</v>
      </c>
      <c r="C19" s="66">
        <f>C17*C8^C18</f>
        <v>9.4062674751320934</v>
      </c>
      <c r="D19" s="76" t="s">
        <v>14</v>
      </c>
      <c r="F19" s="71"/>
      <c r="G19" s="71"/>
      <c r="H19" s="71"/>
      <c r="I19" s="71"/>
      <c r="J19" s="71"/>
      <c r="K19" s="67"/>
      <c r="L19" s="67"/>
      <c r="M19" s="67"/>
      <c r="N19" s="71"/>
      <c r="O19" s="71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spans="1:26">
      <c r="A20" s="67"/>
      <c r="C20" s="46"/>
      <c r="F20" s="71"/>
      <c r="G20" s="71"/>
      <c r="H20" s="71"/>
      <c r="I20" s="71"/>
      <c r="J20" s="71"/>
      <c r="K20" s="67"/>
      <c r="L20" s="74"/>
      <c r="M20" s="70"/>
      <c r="N20" s="67"/>
      <c r="O20" s="67"/>
      <c r="P20" s="67"/>
      <c r="Q20" s="74"/>
      <c r="R20" s="67"/>
      <c r="S20" s="67"/>
      <c r="T20" s="67"/>
      <c r="U20" s="67"/>
      <c r="V20" s="67"/>
      <c r="W20" s="67"/>
      <c r="X20" s="67"/>
      <c r="Y20" s="67"/>
      <c r="Z20" s="67"/>
    </row>
    <row r="21" spans="1:26">
      <c r="A21" s="67"/>
      <c r="B21" s="84" t="s">
        <v>73</v>
      </c>
      <c r="C21" s="46">
        <f>IF(C8&lt;1, C12, C19)*C9</f>
        <v>112.87520970158512</v>
      </c>
      <c r="D21" s="84" t="s">
        <v>74</v>
      </c>
      <c r="E21" s="46"/>
      <c r="F21" s="71"/>
      <c r="G21" s="71"/>
      <c r="H21" s="71"/>
      <c r="I21" s="71"/>
      <c r="J21" s="71"/>
      <c r="K21" s="67"/>
      <c r="L21" s="67"/>
      <c r="M21" s="67"/>
      <c r="N21" s="67"/>
      <c r="O21" s="67"/>
      <c r="P21" s="67"/>
      <c r="Q21" s="67"/>
      <c r="R21" s="70"/>
      <c r="S21" s="67"/>
      <c r="T21" s="67"/>
      <c r="U21" s="67"/>
      <c r="V21" s="67"/>
      <c r="W21" s="67"/>
      <c r="X21" s="67"/>
      <c r="Y21" s="67"/>
      <c r="Z21" s="67"/>
    </row>
    <row r="22" spans="1:26">
      <c r="A22" s="67"/>
      <c r="D22" s="46"/>
      <c r="F22" s="71"/>
      <c r="G22" s="71"/>
      <c r="H22" s="71"/>
      <c r="I22" s="71"/>
      <c r="J22" s="71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spans="1:26">
      <c r="A23" s="67"/>
      <c r="B23" s="84" t="s">
        <v>75</v>
      </c>
      <c r="C23" s="46"/>
      <c r="D23" s="46"/>
      <c r="F23" s="71"/>
      <c r="G23" s="71"/>
      <c r="H23" s="71"/>
      <c r="I23" s="71"/>
      <c r="J23" s="71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spans="1:26">
      <c r="A24" s="67"/>
      <c r="B24" s="70"/>
      <c r="C24" s="70"/>
      <c r="D24" s="71"/>
      <c r="E24" s="71"/>
      <c r="F24" s="71"/>
      <c r="G24" s="71"/>
      <c r="H24" s="71"/>
      <c r="I24" s="71"/>
      <c r="J24" s="71"/>
      <c r="K24" s="67"/>
      <c r="L24" s="67"/>
      <c r="M24" s="67"/>
      <c r="N24" s="67"/>
      <c r="O24" s="67"/>
      <c r="P24" s="67"/>
      <c r="Q24" s="67"/>
      <c r="R24" s="67"/>
      <c r="S24" s="70"/>
      <c r="T24" s="67"/>
      <c r="U24" s="67"/>
      <c r="V24" s="67"/>
      <c r="W24" s="67"/>
      <c r="X24" s="67"/>
      <c r="Y24" s="67"/>
      <c r="Z24" s="67"/>
    </row>
    <row r="25" spans="1:26" ht="14.5">
      <c r="A25" s="67"/>
      <c r="B25" s="70"/>
      <c r="C25" s="70"/>
      <c r="D25" s="71"/>
      <c r="E25" s="71"/>
      <c r="F25" s="71"/>
      <c r="G25" s="71"/>
      <c r="H25" s="71"/>
      <c r="I25" s="71"/>
      <c r="J25" s="71"/>
      <c r="K25" s="67"/>
      <c r="L25" s="67"/>
      <c r="M25" s="98"/>
      <c r="N25" s="96"/>
      <c r="O25" s="96"/>
      <c r="P25" s="67"/>
      <c r="Q25" s="67"/>
      <c r="R25" s="67"/>
      <c r="S25" s="70"/>
      <c r="T25" s="67"/>
      <c r="U25" s="67"/>
      <c r="V25" s="67"/>
      <c r="W25" s="67"/>
      <c r="X25" s="67"/>
      <c r="Y25" s="67"/>
      <c r="Z25" s="67"/>
    </row>
    <row r="26" spans="1:26">
      <c r="A26" s="67"/>
      <c r="B26" s="70"/>
      <c r="C26" s="70"/>
      <c r="D26" s="71"/>
      <c r="E26" s="71"/>
      <c r="F26" s="71"/>
      <c r="G26" s="71"/>
      <c r="H26" s="71"/>
      <c r="I26" s="71"/>
      <c r="J26" s="71"/>
      <c r="K26" s="67"/>
      <c r="L26" s="78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spans="1:26">
      <c r="A27" s="67"/>
      <c r="B27" s="70"/>
      <c r="C27" s="70"/>
      <c r="D27" s="71"/>
      <c r="E27" s="71"/>
      <c r="F27" s="71"/>
      <c r="G27" s="71"/>
      <c r="H27" s="71"/>
      <c r="I27" s="71"/>
      <c r="J27" s="71"/>
      <c r="K27" s="67"/>
      <c r="L27" s="67"/>
      <c r="M27" s="79"/>
      <c r="N27" s="79"/>
      <c r="O27" s="79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spans="1:26">
      <c r="A28" s="67"/>
      <c r="B28" s="70"/>
      <c r="C28" s="70"/>
      <c r="D28" s="71"/>
      <c r="E28" s="71"/>
      <c r="F28" s="71"/>
      <c r="G28" s="71"/>
      <c r="H28" s="71"/>
      <c r="I28" s="71"/>
      <c r="J28" s="71"/>
      <c r="K28" s="67"/>
      <c r="L28" s="67"/>
      <c r="M28" s="79"/>
      <c r="N28" s="79"/>
      <c r="O28" s="79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6">
      <c r="A29" s="67"/>
      <c r="B29" s="70"/>
      <c r="C29" s="70"/>
      <c r="D29" s="71"/>
      <c r="E29" s="71"/>
      <c r="F29" s="71"/>
      <c r="G29" s="71"/>
      <c r="H29" s="71"/>
      <c r="I29" s="71"/>
      <c r="J29" s="71"/>
      <c r="K29" s="67"/>
      <c r="L29" s="67"/>
      <c r="M29" s="79"/>
      <c r="N29" s="79"/>
      <c r="O29" s="79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spans="1:26">
      <c r="A30" s="67"/>
      <c r="B30" s="70"/>
      <c r="C30" s="70"/>
      <c r="D30" s="71"/>
      <c r="E30" s="71"/>
      <c r="F30" s="71"/>
      <c r="G30" s="71"/>
      <c r="H30" s="71"/>
      <c r="I30" s="71"/>
      <c r="J30" s="71"/>
      <c r="K30" s="67"/>
      <c r="L30" s="67"/>
      <c r="M30" s="79"/>
      <c r="N30" s="79"/>
      <c r="O30" s="79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spans="1:26">
      <c r="A31" s="67"/>
      <c r="B31" s="70"/>
      <c r="C31" s="70"/>
      <c r="D31" s="71"/>
      <c r="E31" s="71"/>
      <c r="F31" s="71"/>
      <c r="G31" s="71"/>
      <c r="H31" s="71"/>
      <c r="I31" s="71"/>
      <c r="J31" s="71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spans="1:26">
      <c r="A32" s="67"/>
      <c r="B32" s="70"/>
      <c r="C32" s="70"/>
      <c r="D32" s="71"/>
      <c r="E32" s="71"/>
      <c r="F32" s="71"/>
      <c r="G32" s="71"/>
      <c r="H32" s="71"/>
      <c r="I32" s="71"/>
      <c r="J32" s="71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spans="1:26">
      <c r="A33" s="67"/>
      <c r="B33" s="67"/>
      <c r="C33" s="70"/>
      <c r="D33" s="71"/>
      <c r="E33" s="71"/>
      <c r="F33" s="71"/>
      <c r="G33" s="71"/>
      <c r="H33" s="71"/>
      <c r="I33" s="71"/>
      <c r="J33" s="71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spans="1:26">
      <c r="A34" s="67"/>
      <c r="B34" s="67"/>
      <c r="C34" s="70"/>
      <c r="D34" s="71"/>
      <c r="E34" s="71"/>
      <c r="F34" s="71"/>
      <c r="G34" s="71"/>
      <c r="H34" s="71"/>
      <c r="I34" s="71"/>
      <c r="J34" s="71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spans="1:26">
      <c r="A35" s="67"/>
      <c r="B35" s="67"/>
      <c r="C35" s="70"/>
      <c r="D35" s="71"/>
      <c r="E35" s="71"/>
      <c r="F35" s="71"/>
      <c r="G35" s="71"/>
      <c r="H35" s="71"/>
      <c r="I35" s="71"/>
      <c r="J35" s="71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>
      <c r="A36" s="67"/>
      <c r="B36" s="67"/>
      <c r="C36" s="70"/>
      <c r="D36" s="71"/>
      <c r="E36" s="71"/>
      <c r="F36" s="71"/>
      <c r="G36" s="71"/>
      <c r="H36" s="71"/>
      <c r="I36" s="71"/>
      <c r="J36" s="71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1:26">
      <c r="A37" s="67"/>
      <c r="B37" s="67"/>
      <c r="C37" s="70"/>
      <c r="D37" s="71"/>
      <c r="E37" s="71"/>
      <c r="F37" s="71"/>
      <c r="G37" s="71"/>
      <c r="H37" s="71"/>
      <c r="I37" s="71"/>
      <c r="J37" s="71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1:26">
      <c r="A38" s="67"/>
      <c r="B38" s="67"/>
      <c r="C38" s="70"/>
      <c r="D38" s="71"/>
      <c r="E38" s="71"/>
      <c r="F38" s="71"/>
      <c r="G38" s="71"/>
      <c r="H38" s="71"/>
      <c r="I38" s="71"/>
      <c r="J38" s="71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1:26">
      <c r="A39" s="67"/>
      <c r="B39" s="67"/>
      <c r="C39" s="70"/>
      <c r="D39" s="71"/>
      <c r="E39" s="71"/>
      <c r="F39" s="71"/>
      <c r="G39" s="71"/>
      <c r="H39" s="71"/>
      <c r="I39" s="71"/>
      <c r="J39" s="71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1:26">
      <c r="A40" s="67"/>
      <c r="B40" s="67"/>
      <c r="C40" s="70"/>
      <c r="D40" s="71"/>
      <c r="E40" s="71"/>
      <c r="F40" s="71"/>
      <c r="G40" s="71"/>
      <c r="H40" s="71"/>
      <c r="I40" s="71"/>
      <c r="J40" s="71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1:26">
      <c r="A41" s="67"/>
      <c r="B41" s="67"/>
      <c r="C41" s="70"/>
      <c r="D41" s="71"/>
      <c r="E41" s="71"/>
      <c r="F41" s="71"/>
      <c r="G41" s="71"/>
      <c r="H41" s="71"/>
      <c r="I41" s="71"/>
      <c r="J41" s="71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1:26">
      <c r="A42" s="67"/>
      <c r="B42" s="67"/>
      <c r="C42" s="70"/>
      <c r="D42" s="71"/>
      <c r="E42" s="71"/>
      <c r="F42" s="71"/>
      <c r="G42" s="71"/>
      <c r="H42" s="71"/>
      <c r="I42" s="71"/>
      <c r="J42" s="71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1:26">
      <c r="A43" s="67"/>
      <c r="B43" s="67"/>
      <c r="C43" s="70"/>
      <c r="D43" s="71"/>
      <c r="E43" s="71"/>
      <c r="F43" s="71"/>
      <c r="G43" s="71"/>
      <c r="H43" s="71"/>
      <c r="I43" s="71"/>
      <c r="J43" s="71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1:26">
      <c r="A44" s="67"/>
      <c r="B44" s="67"/>
      <c r="C44" s="70"/>
      <c r="D44" s="71"/>
      <c r="E44" s="71"/>
      <c r="F44" s="71"/>
      <c r="G44" s="71"/>
      <c r="H44" s="71"/>
      <c r="I44" s="71"/>
      <c r="J44" s="71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1:26">
      <c r="A45" s="67"/>
      <c r="B45" s="67"/>
      <c r="C45" s="70"/>
      <c r="D45" s="71"/>
      <c r="E45" s="71"/>
      <c r="F45" s="71"/>
      <c r="G45" s="71"/>
      <c r="H45" s="71"/>
      <c r="I45" s="71"/>
      <c r="J45" s="71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>
      <c r="A46" s="67"/>
      <c r="B46" s="67"/>
      <c r="C46" s="70"/>
      <c r="D46" s="71"/>
      <c r="E46" s="71"/>
      <c r="F46" s="71"/>
      <c r="G46" s="71"/>
      <c r="H46" s="71"/>
      <c r="I46" s="71"/>
      <c r="J46" s="71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1:26">
      <c r="A47" s="67"/>
      <c r="B47" s="67"/>
      <c r="C47" s="70"/>
      <c r="D47" s="71"/>
      <c r="E47" s="71"/>
      <c r="F47" s="71"/>
      <c r="G47" s="71"/>
      <c r="H47" s="71"/>
      <c r="I47" s="71"/>
      <c r="J47" s="71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1:26">
      <c r="A48" s="67"/>
      <c r="B48" s="67"/>
      <c r="C48" s="70"/>
      <c r="D48" s="71"/>
      <c r="E48" s="71"/>
      <c r="F48" s="71"/>
      <c r="G48" s="71"/>
      <c r="H48" s="71"/>
      <c r="I48" s="71"/>
      <c r="J48" s="71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1:26">
      <c r="A49" s="67"/>
      <c r="B49" s="67"/>
      <c r="C49" s="70"/>
      <c r="D49" s="71"/>
      <c r="E49" s="71"/>
      <c r="F49" s="71"/>
      <c r="G49" s="71"/>
      <c r="H49" s="71"/>
      <c r="I49" s="71"/>
      <c r="J49" s="71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1:26">
      <c r="A50" s="67"/>
      <c r="B50" s="67"/>
      <c r="C50" s="70"/>
      <c r="D50" s="71"/>
      <c r="E50" s="71"/>
      <c r="F50" s="71"/>
      <c r="G50" s="71"/>
      <c r="H50" s="71"/>
      <c r="I50" s="71"/>
      <c r="J50" s="71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1:26">
      <c r="A51" s="67"/>
      <c r="B51" s="67"/>
      <c r="C51" s="70"/>
      <c r="D51" s="71"/>
      <c r="E51" s="71"/>
      <c r="F51" s="71"/>
      <c r="G51" s="71"/>
      <c r="H51" s="71"/>
      <c r="I51" s="71"/>
      <c r="J51" s="71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>
      <c r="A52" s="67"/>
      <c r="B52" s="67"/>
      <c r="C52" s="70"/>
      <c r="D52" s="71"/>
      <c r="E52" s="71"/>
      <c r="F52" s="71"/>
      <c r="G52" s="71"/>
      <c r="H52" s="71"/>
      <c r="I52" s="71"/>
      <c r="J52" s="71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1:26">
      <c r="A53" s="67"/>
      <c r="B53" s="67"/>
      <c r="C53" s="70"/>
      <c r="D53" s="71"/>
      <c r="E53" s="71"/>
      <c r="F53" s="71"/>
      <c r="G53" s="71"/>
      <c r="H53" s="71"/>
      <c r="I53" s="71"/>
      <c r="J53" s="71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1:26">
      <c r="A54" s="67"/>
      <c r="B54" s="67"/>
      <c r="C54" s="70"/>
      <c r="D54" s="71"/>
      <c r="E54" s="71"/>
      <c r="F54" s="71"/>
      <c r="G54" s="71"/>
      <c r="H54" s="71"/>
      <c r="I54" s="71"/>
      <c r="J54" s="71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1:26">
      <c r="A55" s="67"/>
      <c r="B55" s="67"/>
      <c r="C55" s="70"/>
      <c r="D55" s="71"/>
      <c r="E55" s="71"/>
      <c r="F55" s="71"/>
      <c r="G55" s="71"/>
      <c r="H55" s="71"/>
      <c r="I55" s="71"/>
      <c r="J55" s="71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1:26">
      <c r="A56" s="67"/>
      <c r="B56" s="67"/>
      <c r="C56" s="70"/>
      <c r="D56" s="71"/>
      <c r="E56" s="71"/>
      <c r="F56" s="71"/>
      <c r="G56" s="71"/>
      <c r="H56" s="71"/>
      <c r="I56" s="71"/>
      <c r="J56" s="71"/>
    </row>
    <row r="57" spans="1:26">
      <c r="A57" s="67"/>
      <c r="B57" s="67"/>
      <c r="C57" s="70"/>
      <c r="D57" s="71"/>
      <c r="E57" s="71"/>
      <c r="F57" s="71"/>
      <c r="G57" s="71"/>
      <c r="H57" s="71"/>
      <c r="I57" s="71"/>
      <c r="J57" s="71"/>
    </row>
    <row r="58" spans="1:26">
      <c r="A58" s="67"/>
      <c r="B58" s="67"/>
      <c r="C58" s="70"/>
      <c r="D58" s="71"/>
      <c r="E58" s="71"/>
      <c r="F58" s="71"/>
      <c r="G58" s="71"/>
      <c r="H58" s="71"/>
      <c r="I58" s="71"/>
      <c r="J58" s="71"/>
    </row>
    <row r="59" spans="1:26">
      <c r="A59" s="67"/>
      <c r="B59" s="67"/>
      <c r="C59" s="70"/>
      <c r="D59" s="71"/>
      <c r="E59" s="71"/>
      <c r="F59" s="71"/>
      <c r="G59" s="71"/>
      <c r="H59" s="71"/>
      <c r="I59" s="71"/>
      <c r="J59" s="71"/>
    </row>
    <row r="60" spans="1:26">
      <c r="A60" s="67"/>
      <c r="B60" s="67"/>
      <c r="C60" s="70"/>
      <c r="D60" s="71"/>
      <c r="E60" s="71"/>
      <c r="F60" s="71"/>
      <c r="G60" s="71"/>
      <c r="H60" s="71"/>
      <c r="I60" s="71"/>
      <c r="J60" s="71"/>
    </row>
    <row r="61" spans="1:26">
      <c r="A61" s="67"/>
      <c r="B61" s="67"/>
      <c r="C61" s="70"/>
      <c r="D61" s="71"/>
      <c r="E61" s="71"/>
      <c r="F61" s="71"/>
      <c r="G61" s="71"/>
      <c r="H61" s="71"/>
      <c r="I61" s="71"/>
      <c r="J61" s="71"/>
    </row>
    <row r="62" spans="1:26">
      <c r="A62" s="67"/>
      <c r="B62" s="67"/>
      <c r="C62" s="70"/>
      <c r="D62" s="71"/>
      <c r="E62" s="71"/>
      <c r="F62" s="71"/>
      <c r="G62" s="71"/>
      <c r="H62" s="71"/>
      <c r="I62" s="71"/>
      <c r="J62" s="71"/>
    </row>
    <row r="63" spans="1:26">
      <c r="A63" s="67"/>
      <c r="B63" s="67"/>
      <c r="C63" s="70"/>
      <c r="D63" s="71"/>
      <c r="E63" s="71"/>
      <c r="F63" s="71"/>
      <c r="G63" s="71"/>
      <c r="H63" s="71"/>
      <c r="I63" s="71"/>
      <c r="J63" s="71"/>
    </row>
    <row r="64" spans="1:26">
      <c r="A64" s="67"/>
      <c r="B64" s="67"/>
      <c r="C64" s="70"/>
      <c r="D64" s="71"/>
      <c r="E64" s="71"/>
      <c r="F64" s="71"/>
      <c r="G64" s="71"/>
      <c r="H64" s="71"/>
      <c r="I64" s="71"/>
      <c r="J64" s="71"/>
    </row>
    <row r="65" spans="1:10">
      <c r="A65" s="67"/>
      <c r="B65" s="67"/>
      <c r="C65" s="70"/>
      <c r="D65" s="71"/>
      <c r="E65" s="71"/>
      <c r="F65" s="71"/>
      <c r="G65" s="71"/>
      <c r="H65" s="71"/>
      <c r="I65" s="71"/>
      <c r="J65" s="71"/>
    </row>
    <row r="66" spans="1:10">
      <c r="A66" s="67"/>
      <c r="B66" s="67"/>
      <c r="C66" s="70"/>
      <c r="D66" s="71"/>
      <c r="E66" s="71"/>
      <c r="F66" s="71"/>
      <c r="G66" s="71"/>
      <c r="H66" s="71"/>
      <c r="I66" s="71"/>
      <c r="J66" s="71"/>
    </row>
    <row r="67" spans="1:10">
      <c r="A67" s="67"/>
      <c r="B67" s="67"/>
      <c r="C67" s="70"/>
      <c r="D67" s="71"/>
      <c r="E67" s="71"/>
      <c r="F67" s="71"/>
      <c r="G67" s="71"/>
      <c r="H67" s="71"/>
      <c r="I67" s="71"/>
      <c r="J67" s="71"/>
    </row>
    <row r="68" spans="1:10">
      <c r="A68" s="67"/>
      <c r="B68" s="67"/>
      <c r="C68" s="70"/>
      <c r="D68" s="71"/>
      <c r="E68" s="71"/>
      <c r="F68" s="71"/>
      <c r="G68" s="71"/>
      <c r="H68" s="71"/>
      <c r="I68" s="71"/>
      <c r="J68" s="71"/>
    </row>
    <row r="69" spans="1:10">
      <c r="A69" s="67"/>
      <c r="B69" s="67"/>
    </row>
  </sheetData>
  <sheetProtection password="8553" sheet="1" objects="1" scenarios="1"/>
  <mergeCells count="6">
    <mergeCell ref="V5:X5"/>
    <mergeCell ref="M17:O17"/>
    <mergeCell ref="Q18:T18"/>
    <mergeCell ref="M25:O25"/>
    <mergeCell ref="C2:E2"/>
    <mergeCell ref="R5:T5"/>
  </mergeCells>
  <phoneticPr fontId="30" type="noConversion"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M10" sqref="M10:M12"/>
    </sheetView>
  </sheetViews>
  <sheetFormatPr defaultRowHeight="12.5"/>
  <cols>
    <col min="8" max="8" width="9.453125" bestFit="1" customWidth="1"/>
    <col min="9" max="9" width="12.453125" bestFit="1" customWidth="1"/>
    <col min="12" max="12" width="12.26953125" customWidth="1"/>
    <col min="13" max="13" width="11" customWidth="1"/>
    <col min="17" max="17" width="10.1796875" bestFit="1" customWidth="1"/>
  </cols>
  <sheetData>
    <row r="1" spans="1:13">
      <c r="A1" s="18" t="s">
        <v>19</v>
      </c>
      <c r="B1" s="18" t="s">
        <v>20</v>
      </c>
      <c r="C1" s="18" t="s">
        <v>21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</row>
    <row r="2" spans="1:13">
      <c r="A2" s="88">
        <f>Design_Calculator!C48</f>
        <v>8.3000000000000007</v>
      </c>
      <c r="B2" s="88">
        <f>Design_Calculator!C49</f>
        <v>12</v>
      </c>
      <c r="C2" s="89">
        <v>1E-3</v>
      </c>
      <c r="D2" s="90">
        <f>Design_Calculator!C51</f>
        <v>1000</v>
      </c>
      <c r="E2" s="91">
        <f>C2/D2</f>
        <v>9.9999999999999995E-7</v>
      </c>
      <c r="F2" s="92">
        <f>A2</f>
        <v>8.3000000000000007</v>
      </c>
      <c r="G2" s="91">
        <f>F2-E2</f>
        <v>8.2999990000000015</v>
      </c>
      <c r="H2" s="93">
        <f>Design_Calculator!C50*0.000001</f>
        <v>4.6999999999999999E-4</v>
      </c>
      <c r="I2" s="20">
        <f>H2*(C2)/G2</f>
        <v>5.6626512846567805E-8</v>
      </c>
    </row>
    <row r="3" spans="1:13">
      <c r="A3" s="18">
        <f t="shared" ref="A3:A66" si="0">A2</f>
        <v>8.3000000000000007</v>
      </c>
      <c r="B3" s="18">
        <f t="shared" ref="B3:B66" si="1">B2</f>
        <v>12</v>
      </c>
      <c r="C3" s="17">
        <f>B$3*((ROW()-2)/100)</f>
        <v>0.12</v>
      </c>
      <c r="D3" s="18">
        <f t="shared" ref="D3:D66" si="2">D2</f>
        <v>1000</v>
      </c>
      <c r="E3" s="19">
        <f>C3/D3</f>
        <v>1.1999999999999999E-4</v>
      </c>
      <c r="F3" s="86">
        <f t="shared" ref="F3:F66" si="3">A3</f>
        <v>8.3000000000000007</v>
      </c>
      <c r="G3" s="19">
        <f>F3-E3</f>
        <v>8.2998799999999999</v>
      </c>
      <c r="H3" s="18">
        <f t="shared" ref="H3:H66" si="4">H2</f>
        <v>4.6999999999999999E-4</v>
      </c>
      <c r="I3" s="20">
        <f>H3*(B$3/100)/G3</f>
        <v>6.7952789678886922E-6</v>
      </c>
    </row>
    <row r="4" spans="1:13">
      <c r="A4" s="18">
        <f t="shared" si="0"/>
        <v>8.3000000000000007</v>
      </c>
      <c r="B4" s="18">
        <f t="shared" si="1"/>
        <v>12</v>
      </c>
      <c r="C4" s="17">
        <f t="shared" ref="C4:C67" si="5">B$3*((ROW()-2)/100)</f>
        <v>0.24</v>
      </c>
      <c r="D4" s="18">
        <f t="shared" si="2"/>
        <v>1000</v>
      </c>
      <c r="E4" s="19">
        <f t="shared" ref="E4:E67" si="6">C4/D4</f>
        <v>2.3999999999999998E-4</v>
      </c>
      <c r="F4" s="86">
        <f t="shared" si="3"/>
        <v>8.3000000000000007</v>
      </c>
      <c r="G4" s="19">
        <f t="shared" ref="G4:G67" si="7">F4-E4</f>
        <v>8.2997600000000009</v>
      </c>
      <c r="H4" s="18">
        <f t="shared" si="4"/>
        <v>4.6999999999999999E-4</v>
      </c>
      <c r="I4" s="20">
        <f t="shared" ref="I4:I67" si="8">H4*(B$3/100)/G4</f>
        <v>6.7953772157267181E-6</v>
      </c>
    </row>
    <row r="5" spans="1:13">
      <c r="A5" s="18">
        <f t="shared" si="0"/>
        <v>8.3000000000000007</v>
      </c>
      <c r="B5" s="18">
        <f t="shared" si="1"/>
        <v>12</v>
      </c>
      <c r="C5" s="17">
        <f t="shared" si="5"/>
        <v>0.36</v>
      </c>
      <c r="D5" s="18">
        <f t="shared" si="2"/>
        <v>1000</v>
      </c>
      <c r="E5" s="19">
        <f t="shared" si="6"/>
        <v>3.5999999999999997E-4</v>
      </c>
      <c r="F5" s="86">
        <f t="shared" si="3"/>
        <v>8.3000000000000007</v>
      </c>
      <c r="G5" s="19">
        <f t="shared" si="7"/>
        <v>8.2996400000000001</v>
      </c>
      <c r="H5" s="18">
        <f t="shared" si="4"/>
        <v>4.6999999999999999E-4</v>
      </c>
      <c r="I5" s="20">
        <f t="shared" si="8"/>
        <v>6.7954754664057713E-6</v>
      </c>
    </row>
    <row r="6" spans="1:13">
      <c r="A6" s="18">
        <f t="shared" si="0"/>
        <v>8.3000000000000007</v>
      </c>
      <c r="B6" s="18">
        <f t="shared" si="1"/>
        <v>12</v>
      </c>
      <c r="C6" s="17">
        <f t="shared" si="5"/>
        <v>0.48</v>
      </c>
      <c r="D6" s="18">
        <f t="shared" si="2"/>
        <v>1000</v>
      </c>
      <c r="E6" s="19">
        <f t="shared" si="6"/>
        <v>4.7999999999999996E-4</v>
      </c>
      <c r="F6" s="86">
        <f t="shared" si="3"/>
        <v>8.3000000000000007</v>
      </c>
      <c r="G6" s="19">
        <f t="shared" si="7"/>
        <v>8.2995200000000011</v>
      </c>
      <c r="H6" s="18">
        <f t="shared" si="4"/>
        <v>4.6999999999999999E-4</v>
      </c>
      <c r="I6" s="20">
        <f t="shared" si="8"/>
        <v>6.7955737199259703E-6</v>
      </c>
    </row>
    <row r="7" spans="1:13" ht="13">
      <c r="A7" s="18">
        <f t="shared" si="0"/>
        <v>8.3000000000000007</v>
      </c>
      <c r="B7" s="18">
        <f t="shared" si="1"/>
        <v>12</v>
      </c>
      <c r="C7" s="17">
        <f t="shared" si="5"/>
        <v>0.60000000000000009</v>
      </c>
      <c r="D7" s="18">
        <f t="shared" si="2"/>
        <v>1000</v>
      </c>
      <c r="E7" s="19">
        <f t="shared" si="6"/>
        <v>6.0000000000000006E-4</v>
      </c>
      <c r="F7" s="86">
        <f t="shared" si="3"/>
        <v>8.3000000000000007</v>
      </c>
      <c r="G7" s="19">
        <f t="shared" si="7"/>
        <v>8.2994000000000003</v>
      </c>
      <c r="H7" s="18">
        <f t="shared" si="4"/>
        <v>4.6999999999999999E-4</v>
      </c>
      <c r="I7" s="20">
        <f t="shared" si="8"/>
        <v>6.7956719762874415E-6</v>
      </c>
      <c r="L7" s="102" t="s">
        <v>105</v>
      </c>
      <c r="M7" s="102"/>
    </row>
    <row r="8" spans="1:13">
      <c r="A8" s="18">
        <f t="shared" si="0"/>
        <v>8.3000000000000007</v>
      </c>
      <c r="B8" s="18">
        <f t="shared" si="1"/>
        <v>12</v>
      </c>
      <c r="C8" s="17">
        <f t="shared" si="5"/>
        <v>0.72</v>
      </c>
      <c r="D8" s="18">
        <f t="shared" si="2"/>
        <v>1000</v>
      </c>
      <c r="E8" s="19">
        <f t="shared" si="6"/>
        <v>7.1999999999999994E-4</v>
      </c>
      <c r="F8" s="86">
        <f t="shared" si="3"/>
        <v>8.3000000000000007</v>
      </c>
      <c r="G8" s="19">
        <f t="shared" si="7"/>
        <v>8.2992800000000013</v>
      </c>
      <c r="H8" s="18">
        <f t="shared" si="4"/>
        <v>4.6999999999999999E-4</v>
      </c>
      <c r="I8" s="20">
        <f t="shared" si="8"/>
        <v>6.7957702354903058E-6</v>
      </c>
      <c r="L8" s="23" t="s">
        <v>106</v>
      </c>
      <c r="M8" s="21">
        <v>0.3</v>
      </c>
    </row>
    <row r="9" spans="1:13">
      <c r="A9" s="18">
        <f t="shared" si="0"/>
        <v>8.3000000000000007</v>
      </c>
      <c r="B9" s="18">
        <f t="shared" si="1"/>
        <v>12</v>
      </c>
      <c r="C9" s="17">
        <f t="shared" si="5"/>
        <v>0.84000000000000008</v>
      </c>
      <c r="D9" s="18">
        <f t="shared" si="2"/>
        <v>1000</v>
      </c>
      <c r="E9" s="19">
        <f t="shared" si="6"/>
        <v>8.4000000000000003E-4</v>
      </c>
      <c r="F9" s="86">
        <f t="shared" si="3"/>
        <v>8.3000000000000007</v>
      </c>
      <c r="G9" s="19">
        <f t="shared" si="7"/>
        <v>8.2991600000000005</v>
      </c>
      <c r="H9" s="18">
        <f t="shared" si="4"/>
        <v>4.6999999999999999E-4</v>
      </c>
      <c r="I9" s="20">
        <f t="shared" si="8"/>
        <v>6.7958684975346895E-6</v>
      </c>
      <c r="L9" s="23" t="s">
        <v>107</v>
      </c>
      <c r="M9" s="21">
        <v>0.3</v>
      </c>
    </row>
    <row r="10" spans="1:13">
      <c r="A10" s="18">
        <f t="shared" si="0"/>
        <v>8.3000000000000007</v>
      </c>
      <c r="B10" s="18">
        <f t="shared" si="1"/>
        <v>12</v>
      </c>
      <c r="C10" s="17">
        <f t="shared" si="5"/>
        <v>0.96</v>
      </c>
      <c r="D10" s="18">
        <f t="shared" si="2"/>
        <v>1000</v>
      </c>
      <c r="E10" s="19">
        <f t="shared" si="6"/>
        <v>9.5999999999999992E-4</v>
      </c>
      <c r="F10" s="86">
        <f t="shared" si="3"/>
        <v>8.3000000000000007</v>
      </c>
      <c r="G10" s="19">
        <f t="shared" si="7"/>
        <v>8.2990400000000015</v>
      </c>
      <c r="H10" s="18">
        <f t="shared" si="4"/>
        <v>4.6999999999999999E-4</v>
      </c>
      <c r="I10" s="20">
        <f t="shared" si="8"/>
        <v>6.7959667624207121E-6</v>
      </c>
      <c r="L10" s="23" t="s">
        <v>111</v>
      </c>
      <c r="M10" s="21">
        <f>SQRT(M9^2+M8^2)</f>
        <v>0.42426406871192851</v>
      </c>
    </row>
    <row r="11" spans="1:13">
      <c r="A11" s="18">
        <f t="shared" si="0"/>
        <v>8.3000000000000007</v>
      </c>
      <c r="B11" s="18">
        <f t="shared" si="1"/>
        <v>12</v>
      </c>
      <c r="C11" s="17">
        <f t="shared" si="5"/>
        <v>1.08</v>
      </c>
      <c r="D11" s="18">
        <f t="shared" si="2"/>
        <v>1000</v>
      </c>
      <c r="E11" s="19">
        <f t="shared" si="6"/>
        <v>1.08E-3</v>
      </c>
      <c r="F11" s="86">
        <f t="shared" si="3"/>
        <v>8.3000000000000007</v>
      </c>
      <c r="G11" s="19">
        <f t="shared" si="7"/>
        <v>8.2989200000000007</v>
      </c>
      <c r="H11" s="18">
        <f t="shared" si="4"/>
        <v>4.6999999999999999E-4</v>
      </c>
      <c r="I11" s="20">
        <f t="shared" si="8"/>
        <v>6.7960650301484997E-6</v>
      </c>
      <c r="L11" s="21"/>
      <c r="M11" s="21"/>
    </row>
    <row r="12" spans="1:13">
      <c r="A12" s="18">
        <f t="shared" si="0"/>
        <v>8.3000000000000007</v>
      </c>
      <c r="B12" s="18">
        <f t="shared" si="1"/>
        <v>12</v>
      </c>
      <c r="C12" s="17">
        <f t="shared" si="5"/>
        <v>1.2000000000000002</v>
      </c>
      <c r="D12" s="18">
        <f t="shared" si="2"/>
        <v>1000</v>
      </c>
      <c r="E12" s="19">
        <f t="shared" si="6"/>
        <v>1.2000000000000001E-3</v>
      </c>
      <c r="F12" s="86">
        <f t="shared" si="3"/>
        <v>8.3000000000000007</v>
      </c>
      <c r="G12" s="19">
        <f t="shared" si="7"/>
        <v>8.2988</v>
      </c>
      <c r="H12" s="18">
        <f t="shared" si="4"/>
        <v>4.6999999999999999E-4</v>
      </c>
      <c r="I12" s="20">
        <f t="shared" si="8"/>
        <v>6.7961633007181752E-6</v>
      </c>
      <c r="L12" s="23" t="s">
        <v>104</v>
      </c>
      <c r="M12" s="21">
        <v>0</v>
      </c>
    </row>
    <row r="13" spans="1:13">
      <c r="A13" s="18">
        <f t="shared" si="0"/>
        <v>8.3000000000000007</v>
      </c>
      <c r="B13" s="18">
        <f t="shared" si="1"/>
        <v>12</v>
      </c>
      <c r="C13" s="17">
        <f t="shared" si="5"/>
        <v>1.32</v>
      </c>
      <c r="D13" s="18">
        <f t="shared" si="2"/>
        <v>1000</v>
      </c>
      <c r="E13" s="19">
        <f t="shared" si="6"/>
        <v>1.32E-3</v>
      </c>
      <c r="F13" s="86">
        <f t="shared" si="3"/>
        <v>8.3000000000000007</v>
      </c>
      <c r="G13" s="19">
        <f t="shared" si="7"/>
        <v>8.2986800000000009</v>
      </c>
      <c r="H13" s="18">
        <f t="shared" si="4"/>
        <v>4.6999999999999999E-4</v>
      </c>
      <c r="I13" s="20">
        <f t="shared" si="8"/>
        <v>6.7962615741298605E-6</v>
      </c>
      <c r="L13" s="23" t="s">
        <v>110</v>
      </c>
      <c r="M13" s="21">
        <f>MAX(M10:M12)</f>
        <v>0.42426406871192851</v>
      </c>
    </row>
    <row r="14" spans="1:13">
      <c r="A14" s="18">
        <f t="shared" si="0"/>
        <v>8.3000000000000007</v>
      </c>
      <c r="B14" s="18">
        <f t="shared" si="1"/>
        <v>12</v>
      </c>
      <c r="C14" s="17">
        <f t="shared" si="5"/>
        <v>1.44</v>
      </c>
      <c r="D14" s="18">
        <f t="shared" si="2"/>
        <v>1000</v>
      </c>
      <c r="E14" s="19">
        <f t="shared" si="6"/>
        <v>1.4399999999999999E-3</v>
      </c>
      <c r="F14" s="86">
        <f t="shared" si="3"/>
        <v>8.3000000000000007</v>
      </c>
      <c r="G14" s="19">
        <f t="shared" si="7"/>
        <v>8.2985600000000002</v>
      </c>
      <c r="H14" s="18">
        <f t="shared" si="4"/>
        <v>4.6999999999999999E-4</v>
      </c>
      <c r="I14" s="20">
        <f t="shared" si="8"/>
        <v>6.7963598503836802E-6</v>
      </c>
      <c r="L14" s="21"/>
      <c r="M14" s="21"/>
    </row>
    <row r="15" spans="1:13">
      <c r="A15" s="18">
        <f t="shared" si="0"/>
        <v>8.3000000000000007</v>
      </c>
      <c r="B15" s="18">
        <f t="shared" si="1"/>
        <v>12</v>
      </c>
      <c r="C15" s="17">
        <f t="shared" si="5"/>
        <v>1.56</v>
      </c>
      <c r="D15" s="18">
        <f t="shared" si="2"/>
        <v>1000</v>
      </c>
      <c r="E15" s="19">
        <f t="shared" si="6"/>
        <v>1.56E-3</v>
      </c>
      <c r="F15" s="86">
        <f t="shared" si="3"/>
        <v>8.3000000000000007</v>
      </c>
      <c r="G15" s="19">
        <f t="shared" si="7"/>
        <v>8.2984400000000011</v>
      </c>
      <c r="H15" s="18">
        <f t="shared" si="4"/>
        <v>4.6999999999999999E-4</v>
      </c>
      <c r="I15" s="20">
        <f t="shared" si="8"/>
        <v>6.7964581294797562E-6</v>
      </c>
      <c r="L15" s="23" t="s">
        <v>108</v>
      </c>
      <c r="M15" s="21">
        <v>0.2</v>
      </c>
    </row>
    <row r="16" spans="1:13">
      <c r="A16" s="18">
        <f t="shared" si="0"/>
        <v>8.3000000000000007</v>
      </c>
      <c r="B16" s="18">
        <f t="shared" si="1"/>
        <v>12</v>
      </c>
      <c r="C16" s="17">
        <f t="shared" si="5"/>
        <v>1.6800000000000002</v>
      </c>
      <c r="D16" s="18">
        <f t="shared" si="2"/>
        <v>1000</v>
      </c>
      <c r="E16" s="19">
        <f t="shared" si="6"/>
        <v>1.6800000000000001E-3</v>
      </c>
      <c r="F16" s="86">
        <f t="shared" si="3"/>
        <v>8.3000000000000007</v>
      </c>
      <c r="G16" s="19">
        <f t="shared" si="7"/>
        <v>8.2983200000000004</v>
      </c>
      <c r="H16" s="18">
        <f t="shared" si="4"/>
        <v>4.6999999999999999E-4</v>
      </c>
      <c r="I16" s="20">
        <f t="shared" si="8"/>
        <v>6.7965564114182139E-6</v>
      </c>
      <c r="L16" s="23" t="s">
        <v>109</v>
      </c>
      <c r="M16" s="21">
        <v>0.2</v>
      </c>
    </row>
    <row r="17" spans="1:13">
      <c r="A17" s="18">
        <f t="shared" si="0"/>
        <v>8.3000000000000007</v>
      </c>
      <c r="B17" s="18">
        <f t="shared" si="1"/>
        <v>12</v>
      </c>
      <c r="C17" s="17">
        <f t="shared" si="5"/>
        <v>1.7999999999999998</v>
      </c>
      <c r="D17" s="18">
        <f t="shared" si="2"/>
        <v>1000</v>
      </c>
      <c r="E17" s="19">
        <f t="shared" si="6"/>
        <v>1.7999999999999997E-3</v>
      </c>
      <c r="F17" s="86">
        <f t="shared" si="3"/>
        <v>8.3000000000000007</v>
      </c>
      <c r="G17" s="19">
        <f t="shared" si="7"/>
        <v>8.2982000000000014</v>
      </c>
      <c r="H17" s="18">
        <f t="shared" si="4"/>
        <v>4.6999999999999999E-4</v>
      </c>
      <c r="I17" s="20">
        <f t="shared" si="8"/>
        <v>6.7966546961991744E-6</v>
      </c>
      <c r="L17" s="23" t="s">
        <v>111</v>
      </c>
      <c r="M17" s="21">
        <f>SQRT(M16^2+M15^2)</f>
        <v>0.28284271247461906</v>
      </c>
    </row>
    <row r="18" spans="1:13">
      <c r="A18" s="18">
        <f t="shared" si="0"/>
        <v>8.3000000000000007</v>
      </c>
      <c r="B18" s="18">
        <f t="shared" si="1"/>
        <v>12</v>
      </c>
      <c r="C18" s="17">
        <f t="shared" si="5"/>
        <v>1.92</v>
      </c>
      <c r="D18" s="18">
        <f t="shared" si="2"/>
        <v>1000</v>
      </c>
      <c r="E18" s="19">
        <f t="shared" si="6"/>
        <v>1.9199999999999998E-3</v>
      </c>
      <c r="F18" s="86">
        <f t="shared" si="3"/>
        <v>8.3000000000000007</v>
      </c>
      <c r="G18" s="19">
        <f t="shared" si="7"/>
        <v>8.2980800000000006</v>
      </c>
      <c r="H18" s="18">
        <f t="shared" si="4"/>
        <v>4.6999999999999999E-4</v>
      </c>
      <c r="I18" s="20">
        <f t="shared" si="8"/>
        <v>6.796752983822763E-6</v>
      </c>
      <c r="L18" s="21"/>
      <c r="M18" s="21"/>
    </row>
    <row r="19" spans="1:13">
      <c r="A19" s="18">
        <f t="shared" si="0"/>
        <v>8.3000000000000007</v>
      </c>
      <c r="B19" s="18">
        <f t="shared" si="1"/>
        <v>12</v>
      </c>
      <c r="C19" s="17">
        <f t="shared" si="5"/>
        <v>2.04</v>
      </c>
      <c r="D19" s="18">
        <f t="shared" si="2"/>
        <v>1000</v>
      </c>
      <c r="E19" s="19">
        <f t="shared" si="6"/>
        <v>2.0400000000000001E-3</v>
      </c>
      <c r="F19" s="86">
        <f t="shared" si="3"/>
        <v>8.3000000000000007</v>
      </c>
      <c r="G19" s="19">
        <f t="shared" si="7"/>
        <v>8.2979600000000016</v>
      </c>
      <c r="H19" s="18">
        <f t="shared" si="4"/>
        <v>4.6999999999999999E-4</v>
      </c>
      <c r="I19" s="20">
        <f t="shared" si="8"/>
        <v>6.7968512742891001E-6</v>
      </c>
      <c r="L19" s="23" t="s">
        <v>112</v>
      </c>
      <c r="M19" s="21">
        <f>SQRT(M13^2+M17^2)</f>
        <v>0.50990195135927852</v>
      </c>
    </row>
    <row r="20" spans="1:13">
      <c r="A20" s="18">
        <f t="shared" si="0"/>
        <v>8.3000000000000007</v>
      </c>
      <c r="B20" s="18">
        <f t="shared" si="1"/>
        <v>12</v>
      </c>
      <c r="C20" s="17">
        <f t="shared" si="5"/>
        <v>2.16</v>
      </c>
      <c r="D20" s="18">
        <f t="shared" si="2"/>
        <v>1000</v>
      </c>
      <c r="E20" s="19">
        <f t="shared" si="6"/>
        <v>2.16E-3</v>
      </c>
      <c r="F20" s="86">
        <f t="shared" si="3"/>
        <v>8.3000000000000007</v>
      </c>
      <c r="G20" s="19">
        <f t="shared" si="7"/>
        <v>8.2978400000000008</v>
      </c>
      <c r="H20" s="18">
        <f t="shared" si="4"/>
        <v>4.6999999999999999E-4</v>
      </c>
      <c r="I20" s="20">
        <f t="shared" si="8"/>
        <v>6.7969495675983136E-6</v>
      </c>
    </row>
    <row r="21" spans="1:13">
      <c r="A21" s="18">
        <f t="shared" si="0"/>
        <v>8.3000000000000007</v>
      </c>
      <c r="B21" s="18">
        <f t="shared" si="1"/>
        <v>12</v>
      </c>
      <c r="C21" s="17">
        <f t="shared" si="5"/>
        <v>2.2800000000000002</v>
      </c>
      <c r="D21" s="18">
        <f t="shared" si="2"/>
        <v>1000</v>
      </c>
      <c r="E21" s="19">
        <f t="shared" si="6"/>
        <v>2.2800000000000003E-3</v>
      </c>
      <c r="F21" s="86">
        <f t="shared" si="3"/>
        <v>8.3000000000000007</v>
      </c>
      <c r="G21" s="19">
        <f t="shared" si="7"/>
        <v>8.29772</v>
      </c>
      <c r="H21" s="18">
        <f t="shared" si="4"/>
        <v>4.6999999999999999E-4</v>
      </c>
      <c r="I21" s="20">
        <f t="shared" si="8"/>
        <v>6.7970478637505237E-6</v>
      </c>
    </row>
    <row r="22" spans="1:13">
      <c r="A22" s="18">
        <f t="shared" si="0"/>
        <v>8.3000000000000007</v>
      </c>
      <c r="B22" s="18">
        <f t="shared" si="1"/>
        <v>12</v>
      </c>
      <c r="C22" s="17">
        <f t="shared" si="5"/>
        <v>2.4000000000000004</v>
      </c>
      <c r="D22" s="18">
        <f t="shared" si="2"/>
        <v>1000</v>
      </c>
      <c r="E22" s="19">
        <f t="shared" si="6"/>
        <v>2.4000000000000002E-3</v>
      </c>
      <c r="F22" s="86">
        <f t="shared" si="3"/>
        <v>8.3000000000000007</v>
      </c>
      <c r="G22" s="19">
        <f t="shared" si="7"/>
        <v>8.297600000000001</v>
      </c>
      <c r="H22" s="18">
        <f t="shared" si="4"/>
        <v>4.6999999999999999E-4</v>
      </c>
      <c r="I22" s="20">
        <f t="shared" si="8"/>
        <v>6.7971461627458532E-6</v>
      </c>
    </row>
    <row r="23" spans="1:13">
      <c r="A23" s="18">
        <f t="shared" si="0"/>
        <v>8.3000000000000007</v>
      </c>
      <c r="B23" s="18">
        <f t="shared" si="1"/>
        <v>12</v>
      </c>
      <c r="C23" s="17">
        <f t="shared" si="5"/>
        <v>2.52</v>
      </c>
      <c r="D23" s="18">
        <f t="shared" si="2"/>
        <v>1000</v>
      </c>
      <c r="E23" s="19">
        <f t="shared" si="6"/>
        <v>2.5200000000000001E-3</v>
      </c>
      <c r="F23" s="86">
        <f t="shared" si="3"/>
        <v>8.3000000000000007</v>
      </c>
      <c r="G23" s="19">
        <f t="shared" si="7"/>
        <v>8.2974800000000002</v>
      </c>
      <c r="H23" s="18">
        <f t="shared" si="4"/>
        <v>4.6999999999999999E-4</v>
      </c>
      <c r="I23" s="20">
        <f t="shared" si="8"/>
        <v>6.7972444645844276E-6</v>
      </c>
    </row>
    <row r="24" spans="1:13">
      <c r="A24" s="18">
        <f t="shared" si="0"/>
        <v>8.3000000000000007</v>
      </c>
      <c r="B24" s="18">
        <f t="shared" si="1"/>
        <v>12</v>
      </c>
      <c r="C24" s="17">
        <f t="shared" si="5"/>
        <v>2.64</v>
      </c>
      <c r="D24" s="18">
        <f t="shared" si="2"/>
        <v>1000</v>
      </c>
      <c r="E24" s="19">
        <f t="shared" si="6"/>
        <v>2.64E-3</v>
      </c>
      <c r="F24" s="86">
        <f t="shared" si="3"/>
        <v>8.3000000000000007</v>
      </c>
      <c r="G24" s="19">
        <f t="shared" si="7"/>
        <v>8.2973600000000012</v>
      </c>
      <c r="H24" s="18">
        <f t="shared" si="4"/>
        <v>4.6999999999999999E-4</v>
      </c>
      <c r="I24" s="20">
        <f t="shared" si="8"/>
        <v>6.7973427692663679E-6</v>
      </c>
    </row>
    <row r="25" spans="1:13">
      <c r="A25" s="18">
        <f t="shared" si="0"/>
        <v>8.3000000000000007</v>
      </c>
      <c r="B25" s="18">
        <f t="shared" si="1"/>
        <v>12</v>
      </c>
      <c r="C25" s="17">
        <f t="shared" si="5"/>
        <v>2.7600000000000002</v>
      </c>
      <c r="D25" s="18">
        <f t="shared" si="2"/>
        <v>1000</v>
      </c>
      <c r="E25" s="19">
        <f t="shared" si="6"/>
        <v>2.7600000000000003E-3</v>
      </c>
      <c r="F25" s="86">
        <f t="shared" si="3"/>
        <v>8.3000000000000007</v>
      </c>
      <c r="G25" s="19">
        <f t="shared" si="7"/>
        <v>8.2972400000000004</v>
      </c>
      <c r="H25" s="18">
        <f t="shared" si="4"/>
        <v>4.6999999999999999E-4</v>
      </c>
      <c r="I25" s="20">
        <f t="shared" si="8"/>
        <v>6.7974410767917995E-6</v>
      </c>
    </row>
    <row r="26" spans="1:13">
      <c r="A26" s="18">
        <f t="shared" si="0"/>
        <v>8.3000000000000007</v>
      </c>
      <c r="B26" s="18">
        <f t="shared" si="1"/>
        <v>12</v>
      </c>
      <c r="C26" s="17">
        <f t="shared" si="5"/>
        <v>2.88</v>
      </c>
      <c r="D26" s="18">
        <f t="shared" si="2"/>
        <v>1000</v>
      </c>
      <c r="E26" s="19">
        <f t="shared" si="6"/>
        <v>2.8799999999999997E-3</v>
      </c>
      <c r="F26" s="86">
        <f t="shared" si="3"/>
        <v>8.3000000000000007</v>
      </c>
      <c r="G26" s="19">
        <f t="shared" si="7"/>
        <v>8.2971200000000014</v>
      </c>
      <c r="H26" s="18">
        <f t="shared" si="4"/>
        <v>4.6999999999999999E-4</v>
      </c>
      <c r="I26" s="20">
        <f t="shared" si="8"/>
        <v>6.7975393871608443E-6</v>
      </c>
    </row>
    <row r="27" spans="1:13">
      <c r="A27" s="18">
        <f t="shared" si="0"/>
        <v>8.3000000000000007</v>
      </c>
      <c r="B27" s="18">
        <f t="shared" si="1"/>
        <v>12</v>
      </c>
      <c r="C27" s="17">
        <f t="shared" si="5"/>
        <v>3</v>
      </c>
      <c r="D27" s="18">
        <f t="shared" si="2"/>
        <v>1000</v>
      </c>
      <c r="E27" s="19">
        <f t="shared" si="6"/>
        <v>3.0000000000000001E-3</v>
      </c>
      <c r="F27" s="86">
        <f t="shared" si="3"/>
        <v>8.3000000000000007</v>
      </c>
      <c r="G27" s="19">
        <f t="shared" si="7"/>
        <v>8.2970000000000006</v>
      </c>
      <c r="H27" s="18">
        <f t="shared" si="4"/>
        <v>4.6999999999999999E-4</v>
      </c>
      <c r="I27" s="20">
        <f t="shared" si="8"/>
        <v>6.7976377003736278E-6</v>
      </c>
    </row>
    <row r="28" spans="1:13">
      <c r="A28" s="18">
        <f t="shared" si="0"/>
        <v>8.3000000000000007</v>
      </c>
      <c r="B28" s="18">
        <f t="shared" si="1"/>
        <v>12</v>
      </c>
      <c r="C28" s="17">
        <f t="shared" si="5"/>
        <v>3.12</v>
      </c>
      <c r="D28" s="18">
        <f t="shared" si="2"/>
        <v>1000</v>
      </c>
      <c r="E28" s="19">
        <f t="shared" si="6"/>
        <v>3.1199999999999999E-3</v>
      </c>
      <c r="F28" s="86">
        <f t="shared" si="3"/>
        <v>8.3000000000000007</v>
      </c>
      <c r="G28" s="19">
        <f t="shared" si="7"/>
        <v>8.2968800000000016</v>
      </c>
      <c r="H28" s="18">
        <f t="shared" si="4"/>
        <v>4.6999999999999999E-4</v>
      </c>
      <c r="I28" s="20">
        <f t="shared" si="8"/>
        <v>6.7977360164302711E-6</v>
      </c>
    </row>
    <row r="29" spans="1:13">
      <c r="A29" s="18">
        <f t="shared" si="0"/>
        <v>8.3000000000000007</v>
      </c>
      <c r="B29" s="18">
        <f t="shared" si="1"/>
        <v>12</v>
      </c>
      <c r="C29" s="17">
        <f t="shared" si="5"/>
        <v>3.24</v>
      </c>
      <c r="D29" s="18">
        <f t="shared" si="2"/>
        <v>1000</v>
      </c>
      <c r="E29" s="19">
        <f t="shared" si="6"/>
        <v>3.2400000000000003E-3</v>
      </c>
      <c r="F29" s="86">
        <f t="shared" si="3"/>
        <v>8.3000000000000007</v>
      </c>
      <c r="G29" s="19">
        <f t="shared" si="7"/>
        <v>8.2967600000000008</v>
      </c>
      <c r="H29" s="18">
        <f t="shared" si="4"/>
        <v>4.6999999999999999E-4</v>
      </c>
      <c r="I29" s="20">
        <f t="shared" si="8"/>
        <v>6.7978343353308994E-6</v>
      </c>
    </row>
    <row r="30" spans="1:13">
      <c r="A30" s="18">
        <f t="shared" si="0"/>
        <v>8.3000000000000007</v>
      </c>
      <c r="B30" s="18">
        <f t="shared" si="1"/>
        <v>12</v>
      </c>
      <c r="C30" s="17">
        <f t="shared" si="5"/>
        <v>3.3600000000000003</v>
      </c>
      <c r="D30" s="18">
        <f t="shared" si="2"/>
        <v>1000</v>
      </c>
      <c r="E30" s="19">
        <f t="shared" si="6"/>
        <v>3.3600000000000001E-3</v>
      </c>
      <c r="F30" s="86">
        <f t="shared" si="3"/>
        <v>8.3000000000000007</v>
      </c>
      <c r="G30" s="19">
        <f t="shared" si="7"/>
        <v>8.29664</v>
      </c>
      <c r="H30" s="18">
        <f t="shared" si="4"/>
        <v>4.6999999999999999E-4</v>
      </c>
      <c r="I30" s="20">
        <f t="shared" si="8"/>
        <v>6.7979326570756349E-6</v>
      </c>
    </row>
    <row r="31" spans="1:13">
      <c r="A31" s="18">
        <f t="shared" si="0"/>
        <v>8.3000000000000007</v>
      </c>
      <c r="B31" s="18">
        <f t="shared" si="1"/>
        <v>12</v>
      </c>
      <c r="C31" s="17">
        <f t="shared" si="5"/>
        <v>3.4799999999999995</v>
      </c>
      <c r="D31" s="18">
        <f t="shared" si="2"/>
        <v>1000</v>
      </c>
      <c r="E31" s="19">
        <f t="shared" si="6"/>
        <v>3.4799999999999996E-3</v>
      </c>
      <c r="F31" s="86">
        <f t="shared" si="3"/>
        <v>8.3000000000000007</v>
      </c>
      <c r="G31" s="19">
        <f t="shared" si="7"/>
        <v>8.296520000000001</v>
      </c>
      <c r="H31" s="18">
        <f t="shared" si="4"/>
        <v>4.6999999999999999E-4</v>
      </c>
      <c r="I31" s="20">
        <f t="shared" si="8"/>
        <v>6.7980309816646003E-6</v>
      </c>
    </row>
    <row r="32" spans="1:13">
      <c r="A32" s="18">
        <f t="shared" si="0"/>
        <v>8.3000000000000007</v>
      </c>
      <c r="B32" s="18">
        <f t="shared" si="1"/>
        <v>12</v>
      </c>
      <c r="C32" s="17">
        <f t="shared" si="5"/>
        <v>3.5999999999999996</v>
      </c>
      <c r="D32" s="18">
        <f t="shared" si="2"/>
        <v>1000</v>
      </c>
      <c r="E32" s="19">
        <f t="shared" si="6"/>
        <v>3.5999999999999995E-3</v>
      </c>
      <c r="F32" s="86">
        <f t="shared" si="3"/>
        <v>8.3000000000000007</v>
      </c>
      <c r="G32" s="19">
        <f t="shared" si="7"/>
        <v>8.2964000000000002</v>
      </c>
      <c r="H32" s="18">
        <f t="shared" si="4"/>
        <v>4.6999999999999999E-4</v>
      </c>
      <c r="I32" s="20">
        <f t="shared" si="8"/>
        <v>6.7981293090979209E-6</v>
      </c>
    </row>
    <row r="33" spans="1:9">
      <c r="A33" s="18">
        <f t="shared" si="0"/>
        <v>8.3000000000000007</v>
      </c>
      <c r="B33" s="18">
        <f t="shared" si="1"/>
        <v>12</v>
      </c>
      <c r="C33" s="17">
        <f t="shared" si="5"/>
        <v>3.7199999999999998</v>
      </c>
      <c r="D33" s="18">
        <f t="shared" si="2"/>
        <v>1000</v>
      </c>
      <c r="E33" s="19">
        <f t="shared" si="6"/>
        <v>3.7199999999999998E-3</v>
      </c>
      <c r="F33" s="86">
        <f t="shared" si="3"/>
        <v>8.3000000000000007</v>
      </c>
      <c r="G33" s="19">
        <f t="shared" si="7"/>
        <v>8.2962800000000012</v>
      </c>
      <c r="H33" s="18">
        <f t="shared" si="4"/>
        <v>4.6999999999999999E-4</v>
      </c>
      <c r="I33" s="20">
        <f t="shared" si="8"/>
        <v>6.7982276393757188E-6</v>
      </c>
    </row>
    <row r="34" spans="1:9">
      <c r="A34" s="18">
        <f t="shared" si="0"/>
        <v>8.3000000000000007</v>
      </c>
      <c r="B34" s="18">
        <f t="shared" si="1"/>
        <v>12</v>
      </c>
      <c r="C34" s="17">
        <f t="shared" si="5"/>
        <v>3.84</v>
      </c>
      <c r="D34" s="18">
        <f t="shared" si="2"/>
        <v>1000</v>
      </c>
      <c r="E34" s="19">
        <f t="shared" si="6"/>
        <v>3.8399999999999997E-3</v>
      </c>
      <c r="F34" s="86">
        <f t="shared" si="3"/>
        <v>8.3000000000000007</v>
      </c>
      <c r="G34" s="19">
        <f t="shared" si="7"/>
        <v>8.2961600000000004</v>
      </c>
      <c r="H34" s="18">
        <f t="shared" si="4"/>
        <v>4.6999999999999999E-4</v>
      </c>
      <c r="I34" s="20">
        <f t="shared" si="8"/>
        <v>6.7983259724981184E-6</v>
      </c>
    </row>
    <row r="35" spans="1:9">
      <c r="A35" s="18">
        <f t="shared" si="0"/>
        <v>8.3000000000000007</v>
      </c>
      <c r="B35" s="18">
        <f t="shared" si="1"/>
        <v>12</v>
      </c>
      <c r="C35" s="17">
        <f t="shared" si="5"/>
        <v>3.96</v>
      </c>
      <c r="D35" s="18">
        <f t="shared" si="2"/>
        <v>1000</v>
      </c>
      <c r="E35" s="19">
        <f t="shared" si="6"/>
        <v>3.96E-3</v>
      </c>
      <c r="F35" s="86">
        <f t="shared" si="3"/>
        <v>8.3000000000000007</v>
      </c>
      <c r="G35" s="19">
        <f t="shared" si="7"/>
        <v>8.2960400000000014</v>
      </c>
      <c r="H35" s="18">
        <f t="shared" si="4"/>
        <v>4.6999999999999999E-4</v>
      </c>
      <c r="I35" s="20">
        <f t="shared" si="8"/>
        <v>6.7984243084652418E-6</v>
      </c>
    </row>
    <row r="36" spans="1:9">
      <c r="A36" s="18">
        <f t="shared" si="0"/>
        <v>8.3000000000000007</v>
      </c>
      <c r="B36" s="18">
        <f t="shared" si="1"/>
        <v>12</v>
      </c>
      <c r="C36" s="17">
        <f t="shared" si="5"/>
        <v>4.08</v>
      </c>
      <c r="D36" s="18">
        <f t="shared" si="2"/>
        <v>1000</v>
      </c>
      <c r="E36" s="19">
        <f t="shared" si="6"/>
        <v>4.0800000000000003E-3</v>
      </c>
      <c r="F36" s="86">
        <f t="shared" si="3"/>
        <v>8.3000000000000007</v>
      </c>
      <c r="G36" s="19">
        <f t="shared" si="7"/>
        <v>8.2959200000000006</v>
      </c>
      <c r="H36" s="18">
        <f t="shared" si="4"/>
        <v>4.6999999999999999E-4</v>
      </c>
      <c r="I36" s="20">
        <f t="shared" si="8"/>
        <v>6.7985226472772143E-6</v>
      </c>
    </row>
    <row r="37" spans="1:9">
      <c r="A37" s="18">
        <f t="shared" si="0"/>
        <v>8.3000000000000007</v>
      </c>
      <c r="B37" s="18">
        <f t="shared" si="1"/>
        <v>12</v>
      </c>
      <c r="C37" s="17">
        <f t="shared" si="5"/>
        <v>4.1999999999999993</v>
      </c>
      <c r="D37" s="18">
        <f t="shared" si="2"/>
        <v>1000</v>
      </c>
      <c r="E37" s="19">
        <f t="shared" si="6"/>
        <v>4.1999999999999989E-3</v>
      </c>
      <c r="F37" s="86">
        <f t="shared" si="3"/>
        <v>8.3000000000000007</v>
      </c>
      <c r="G37" s="19">
        <f t="shared" si="7"/>
        <v>8.2957999999999998</v>
      </c>
      <c r="H37" s="18">
        <f t="shared" si="4"/>
        <v>4.6999999999999999E-4</v>
      </c>
      <c r="I37" s="20">
        <f t="shared" si="8"/>
        <v>6.7986209889341587E-6</v>
      </c>
    </row>
    <row r="38" spans="1:9">
      <c r="A38" s="18">
        <f t="shared" si="0"/>
        <v>8.3000000000000007</v>
      </c>
      <c r="B38" s="18">
        <f t="shared" si="1"/>
        <v>12</v>
      </c>
      <c r="C38" s="17">
        <f t="shared" si="5"/>
        <v>4.32</v>
      </c>
      <c r="D38" s="18">
        <f t="shared" si="2"/>
        <v>1000</v>
      </c>
      <c r="E38" s="19">
        <f t="shared" si="6"/>
        <v>4.3200000000000001E-3</v>
      </c>
      <c r="F38" s="86">
        <f t="shared" si="3"/>
        <v>8.3000000000000007</v>
      </c>
      <c r="G38" s="19">
        <f t="shared" si="7"/>
        <v>8.2956800000000008</v>
      </c>
      <c r="H38" s="18">
        <f t="shared" si="4"/>
        <v>4.6999999999999999E-4</v>
      </c>
      <c r="I38" s="20">
        <f t="shared" si="8"/>
        <v>6.7987193334361969E-6</v>
      </c>
    </row>
    <row r="39" spans="1:9">
      <c r="A39" s="18">
        <f t="shared" si="0"/>
        <v>8.3000000000000007</v>
      </c>
      <c r="B39" s="18">
        <f t="shared" si="1"/>
        <v>12</v>
      </c>
      <c r="C39" s="17">
        <f t="shared" si="5"/>
        <v>4.4399999999999995</v>
      </c>
      <c r="D39" s="18">
        <f t="shared" si="2"/>
        <v>1000</v>
      </c>
      <c r="E39" s="19">
        <f t="shared" si="6"/>
        <v>4.4399999999999995E-3</v>
      </c>
      <c r="F39" s="86">
        <f t="shared" si="3"/>
        <v>8.3000000000000007</v>
      </c>
      <c r="G39" s="19">
        <f t="shared" si="7"/>
        <v>8.29556</v>
      </c>
      <c r="H39" s="18">
        <f t="shared" si="4"/>
        <v>4.6999999999999999E-4</v>
      </c>
      <c r="I39" s="20">
        <f t="shared" si="8"/>
        <v>6.7988176807834544E-6</v>
      </c>
    </row>
    <row r="40" spans="1:9">
      <c r="A40" s="18">
        <f t="shared" si="0"/>
        <v>8.3000000000000007</v>
      </c>
      <c r="B40" s="18">
        <f t="shared" si="1"/>
        <v>12</v>
      </c>
      <c r="C40" s="17">
        <f t="shared" si="5"/>
        <v>4.5600000000000005</v>
      </c>
      <c r="D40" s="18">
        <f t="shared" si="2"/>
        <v>1000</v>
      </c>
      <c r="E40" s="19">
        <f t="shared" si="6"/>
        <v>4.5600000000000007E-3</v>
      </c>
      <c r="F40" s="86">
        <f t="shared" si="3"/>
        <v>8.3000000000000007</v>
      </c>
      <c r="G40" s="19">
        <f t="shared" si="7"/>
        <v>8.295440000000001</v>
      </c>
      <c r="H40" s="18">
        <f t="shared" si="4"/>
        <v>4.6999999999999999E-4</v>
      </c>
      <c r="I40" s="20">
        <f t="shared" si="8"/>
        <v>6.7989160309760532E-6</v>
      </c>
    </row>
    <row r="41" spans="1:9">
      <c r="A41" s="18">
        <f t="shared" si="0"/>
        <v>8.3000000000000007</v>
      </c>
      <c r="B41" s="18">
        <f t="shared" si="1"/>
        <v>12</v>
      </c>
      <c r="C41" s="17">
        <f t="shared" si="5"/>
        <v>4.68</v>
      </c>
      <c r="D41" s="18">
        <f t="shared" si="2"/>
        <v>1000</v>
      </c>
      <c r="E41" s="19">
        <f t="shared" si="6"/>
        <v>4.6800000000000001E-3</v>
      </c>
      <c r="F41" s="86">
        <f t="shared" si="3"/>
        <v>8.3000000000000007</v>
      </c>
      <c r="G41" s="19">
        <f t="shared" si="7"/>
        <v>8.2953200000000002</v>
      </c>
      <c r="H41" s="18">
        <f t="shared" si="4"/>
        <v>4.6999999999999999E-4</v>
      </c>
      <c r="I41" s="20">
        <f t="shared" si="8"/>
        <v>6.7990143840141176E-6</v>
      </c>
    </row>
    <row r="42" spans="1:9">
      <c r="A42" s="18">
        <f t="shared" si="0"/>
        <v>8.3000000000000007</v>
      </c>
      <c r="B42" s="18">
        <f t="shared" si="1"/>
        <v>12</v>
      </c>
      <c r="C42" s="17">
        <f t="shared" si="5"/>
        <v>4.8000000000000007</v>
      </c>
      <c r="D42" s="18">
        <f t="shared" si="2"/>
        <v>1000</v>
      </c>
      <c r="E42" s="19">
        <f t="shared" si="6"/>
        <v>4.8000000000000004E-3</v>
      </c>
      <c r="F42" s="86">
        <f t="shared" si="3"/>
        <v>8.3000000000000007</v>
      </c>
      <c r="G42" s="19">
        <f t="shared" si="7"/>
        <v>8.2952000000000012</v>
      </c>
      <c r="H42" s="18">
        <f t="shared" si="4"/>
        <v>4.6999999999999999E-4</v>
      </c>
      <c r="I42" s="20">
        <f t="shared" si="8"/>
        <v>6.7991127398977706E-6</v>
      </c>
    </row>
    <row r="43" spans="1:9">
      <c r="A43" s="18">
        <f t="shared" si="0"/>
        <v>8.3000000000000007</v>
      </c>
      <c r="B43" s="18">
        <f t="shared" si="1"/>
        <v>12</v>
      </c>
      <c r="C43" s="17">
        <f t="shared" si="5"/>
        <v>4.92</v>
      </c>
      <c r="D43" s="18">
        <f t="shared" si="2"/>
        <v>1000</v>
      </c>
      <c r="E43" s="19">
        <f t="shared" si="6"/>
        <v>4.9199999999999999E-3</v>
      </c>
      <c r="F43" s="86">
        <f t="shared" si="3"/>
        <v>8.3000000000000007</v>
      </c>
      <c r="G43" s="19">
        <f t="shared" si="7"/>
        <v>8.2950800000000005</v>
      </c>
      <c r="H43" s="18">
        <f t="shared" si="4"/>
        <v>4.6999999999999999E-4</v>
      </c>
      <c r="I43" s="20">
        <f t="shared" si="8"/>
        <v>6.7992110986271367E-6</v>
      </c>
    </row>
    <row r="44" spans="1:9">
      <c r="A44" s="18">
        <f t="shared" si="0"/>
        <v>8.3000000000000007</v>
      </c>
      <c r="B44" s="18">
        <f t="shared" si="1"/>
        <v>12</v>
      </c>
      <c r="C44" s="17">
        <f t="shared" si="5"/>
        <v>5.04</v>
      </c>
      <c r="D44" s="18">
        <f t="shared" si="2"/>
        <v>1000</v>
      </c>
      <c r="E44" s="19">
        <f t="shared" si="6"/>
        <v>5.0400000000000002E-3</v>
      </c>
      <c r="F44" s="86">
        <f t="shared" si="3"/>
        <v>8.3000000000000007</v>
      </c>
      <c r="G44" s="19">
        <f t="shared" si="7"/>
        <v>8.2949600000000014</v>
      </c>
      <c r="H44" s="18">
        <f t="shared" si="4"/>
        <v>4.6999999999999999E-4</v>
      </c>
      <c r="I44" s="20">
        <f t="shared" si="8"/>
        <v>6.7993094602023378E-6</v>
      </c>
    </row>
    <row r="45" spans="1:9">
      <c r="A45" s="18">
        <f t="shared" si="0"/>
        <v>8.3000000000000007</v>
      </c>
      <c r="B45" s="18">
        <f t="shared" si="1"/>
        <v>12</v>
      </c>
      <c r="C45" s="17">
        <f t="shared" si="5"/>
        <v>5.16</v>
      </c>
      <c r="D45" s="18">
        <f t="shared" si="2"/>
        <v>1000</v>
      </c>
      <c r="E45" s="19">
        <f t="shared" si="6"/>
        <v>5.1600000000000005E-3</v>
      </c>
      <c r="F45" s="86">
        <f t="shared" si="3"/>
        <v>8.3000000000000007</v>
      </c>
      <c r="G45" s="19">
        <f t="shared" si="7"/>
        <v>8.2948400000000007</v>
      </c>
      <c r="H45" s="18">
        <f t="shared" si="4"/>
        <v>4.6999999999999999E-4</v>
      </c>
      <c r="I45" s="20">
        <f t="shared" si="8"/>
        <v>6.7994078246235002E-6</v>
      </c>
    </row>
    <row r="46" spans="1:9">
      <c r="A46" s="18">
        <f t="shared" si="0"/>
        <v>8.3000000000000007</v>
      </c>
      <c r="B46" s="18">
        <f t="shared" si="1"/>
        <v>12</v>
      </c>
      <c r="C46" s="17">
        <f t="shared" si="5"/>
        <v>5.28</v>
      </c>
      <c r="D46" s="18">
        <f t="shared" si="2"/>
        <v>1000</v>
      </c>
      <c r="E46" s="19">
        <f t="shared" si="6"/>
        <v>5.28E-3</v>
      </c>
      <c r="F46" s="86">
        <f t="shared" si="3"/>
        <v>8.3000000000000007</v>
      </c>
      <c r="G46" s="19">
        <f t="shared" si="7"/>
        <v>8.2947199999999999</v>
      </c>
      <c r="H46" s="18">
        <f t="shared" si="4"/>
        <v>4.6999999999999999E-4</v>
      </c>
      <c r="I46" s="20">
        <f t="shared" si="8"/>
        <v>6.7995061918907449E-6</v>
      </c>
    </row>
    <row r="47" spans="1:9">
      <c r="A47" s="18">
        <f t="shared" si="0"/>
        <v>8.3000000000000007</v>
      </c>
      <c r="B47" s="18">
        <f t="shared" si="1"/>
        <v>12</v>
      </c>
      <c r="C47" s="17">
        <f t="shared" si="5"/>
        <v>5.4</v>
      </c>
      <c r="D47" s="18">
        <f t="shared" si="2"/>
        <v>1000</v>
      </c>
      <c r="E47" s="19">
        <f t="shared" si="6"/>
        <v>5.4000000000000003E-3</v>
      </c>
      <c r="F47" s="86">
        <f t="shared" si="3"/>
        <v>8.3000000000000007</v>
      </c>
      <c r="G47" s="19">
        <f t="shared" si="7"/>
        <v>8.2946000000000009</v>
      </c>
      <c r="H47" s="18">
        <f t="shared" si="4"/>
        <v>4.6999999999999999E-4</v>
      </c>
      <c r="I47" s="20">
        <f t="shared" si="8"/>
        <v>6.799604562004194E-6</v>
      </c>
    </row>
    <row r="48" spans="1:9">
      <c r="A48" s="18">
        <f t="shared" si="0"/>
        <v>8.3000000000000007</v>
      </c>
      <c r="B48" s="18">
        <f t="shared" si="1"/>
        <v>12</v>
      </c>
      <c r="C48" s="17">
        <f t="shared" si="5"/>
        <v>5.5200000000000005</v>
      </c>
      <c r="D48" s="18">
        <f t="shared" si="2"/>
        <v>1000</v>
      </c>
      <c r="E48" s="19">
        <f t="shared" si="6"/>
        <v>5.5200000000000006E-3</v>
      </c>
      <c r="F48" s="86">
        <f t="shared" si="3"/>
        <v>8.3000000000000007</v>
      </c>
      <c r="G48" s="19">
        <f t="shared" si="7"/>
        <v>8.2944800000000001</v>
      </c>
      <c r="H48" s="18">
        <f t="shared" si="4"/>
        <v>4.6999999999999999E-4</v>
      </c>
      <c r="I48" s="20">
        <f t="shared" si="8"/>
        <v>6.7997029349639753E-6</v>
      </c>
    </row>
    <row r="49" spans="1:9">
      <c r="A49" s="18">
        <f t="shared" si="0"/>
        <v>8.3000000000000007</v>
      </c>
      <c r="B49" s="18">
        <f t="shared" si="1"/>
        <v>12</v>
      </c>
      <c r="C49" s="17">
        <f t="shared" si="5"/>
        <v>5.64</v>
      </c>
      <c r="D49" s="18">
        <f t="shared" si="2"/>
        <v>1000</v>
      </c>
      <c r="E49" s="19">
        <f t="shared" si="6"/>
        <v>5.64E-3</v>
      </c>
      <c r="F49" s="86">
        <f t="shared" si="3"/>
        <v>8.3000000000000007</v>
      </c>
      <c r="G49" s="19">
        <f t="shared" si="7"/>
        <v>8.2943600000000011</v>
      </c>
      <c r="H49" s="18">
        <f t="shared" si="4"/>
        <v>4.6999999999999999E-4</v>
      </c>
      <c r="I49" s="20">
        <f t="shared" si="8"/>
        <v>6.7998013107702083E-6</v>
      </c>
    </row>
    <row r="50" spans="1:9">
      <c r="A50" s="18">
        <f t="shared" si="0"/>
        <v>8.3000000000000007</v>
      </c>
      <c r="B50" s="18">
        <f t="shared" si="1"/>
        <v>12</v>
      </c>
      <c r="C50" s="17">
        <f t="shared" si="5"/>
        <v>5.76</v>
      </c>
      <c r="D50" s="18">
        <f t="shared" si="2"/>
        <v>1000</v>
      </c>
      <c r="E50" s="19">
        <f t="shared" si="6"/>
        <v>5.7599999999999995E-3</v>
      </c>
      <c r="F50" s="86">
        <f t="shared" si="3"/>
        <v>8.3000000000000007</v>
      </c>
      <c r="G50" s="19">
        <f t="shared" si="7"/>
        <v>8.2942400000000003</v>
      </c>
      <c r="H50" s="18">
        <f t="shared" si="4"/>
        <v>4.6999999999999999E-4</v>
      </c>
      <c r="I50" s="20">
        <f t="shared" si="8"/>
        <v>6.7998996894230209E-6</v>
      </c>
    </row>
    <row r="51" spans="1:9">
      <c r="A51" s="18">
        <f t="shared" si="0"/>
        <v>8.3000000000000007</v>
      </c>
      <c r="B51" s="18">
        <f t="shared" si="1"/>
        <v>12</v>
      </c>
      <c r="C51" s="17">
        <f t="shared" si="5"/>
        <v>5.88</v>
      </c>
      <c r="D51" s="18">
        <f t="shared" si="2"/>
        <v>1000</v>
      </c>
      <c r="E51" s="19">
        <f t="shared" si="6"/>
        <v>5.8799999999999998E-3</v>
      </c>
      <c r="F51" s="86">
        <f t="shared" si="3"/>
        <v>8.3000000000000007</v>
      </c>
      <c r="G51" s="19">
        <f t="shared" si="7"/>
        <v>8.2941200000000013</v>
      </c>
      <c r="H51" s="18">
        <f t="shared" si="4"/>
        <v>4.6999999999999999E-4</v>
      </c>
      <c r="I51" s="20">
        <f t="shared" si="8"/>
        <v>6.7999980709225316E-6</v>
      </c>
    </row>
    <row r="52" spans="1:9">
      <c r="A52" s="18">
        <f t="shared" si="0"/>
        <v>8.3000000000000007</v>
      </c>
      <c r="B52" s="18">
        <f t="shared" si="1"/>
        <v>12</v>
      </c>
      <c r="C52" s="17">
        <f t="shared" si="5"/>
        <v>6</v>
      </c>
      <c r="D52" s="18">
        <f t="shared" si="2"/>
        <v>1000</v>
      </c>
      <c r="E52" s="19">
        <f t="shared" si="6"/>
        <v>6.0000000000000001E-3</v>
      </c>
      <c r="F52" s="86">
        <f t="shared" si="3"/>
        <v>8.3000000000000007</v>
      </c>
      <c r="G52" s="19">
        <f t="shared" si="7"/>
        <v>8.2940000000000005</v>
      </c>
      <c r="H52" s="18">
        <f t="shared" si="4"/>
        <v>4.6999999999999999E-4</v>
      </c>
      <c r="I52" s="20">
        <f t="shared" si="8"/>
        <v>6.8000964552688684E-6</v>
      </c>
    </row>
    <row r="53" spans="1:9">
      <c r="A53" s="18">
        <f t="shared" si="0"/>
        <v>8.3000000000000007</v>
      </c>
      <c r="B53" s="18">
        <f t="shared" si="1"/>
        <v>12</v>
      </c>
      <c r="C53" s="17">
        <f t="shared" si="5"/>
        <v>6.12</v>
      </c>
      <c r="D53" s="18">
        <f t="shared" si="2"/>
        <v>1000</v>
      </c>
      <c r="E53" s="19">
        <f t="shared" si="6"/>
        <v>6.1200000000000004E-3</v>
      </c>
      <c r="F53" s="86">
        <f t="shared" si="3"/>
        <v>8.3000000000000007</v>
      </c>
      <c r="G53" s="19">
        <f t="shared" si="7"/>
        <v>8.2938800000000015</v>
      </c>
      <c r="H53" s="18">
        <f t="shared" si="4"/>
        <v>4.6999999999999999E-4</v>
      </c>
      <c r="I53" s="20">
        <f t="shared" si="8"/>
        <v>6.8001948424621508E-6</v>
      </c>
    </row>
    <row r="54" spans="1:9">
      <c r="A54" s="18">
        <f t="shared" si="0"/>
        <v>8.3000000000000007</v>
      </c>
      <c r="B54" s="18">
        <f t="shared" si="1"/>
        <v>12</v>
      </c>
      <c r="C54" s="17">
        <f t="shared" si="5"/>
        <v>6.24</v>
      </c>
      <c r="D54" s="18">
        <f t="shared" si="2"/>
        <v>1000</v>
      </c>
      <c r="E54" s="19">
        <f t="shared" si="6"/>
        <v>6.2399999999999999E-3</v>
      </c>
      <c r="F54" s="86">
        <f t="shared" si="3"/>
        <v>8.3000000000000007</v>
      </c>
      <c r="G54" s="19">
        <f t="shared" si="7"/>
        <v>8.2937600000000007</v>
      </c>
      <c r="H54" s="18">
        <f t="shared" si="4"/>
        <v>4.6999999999999999E-4</v>
      </c>
      <c r="I54" s="20">
        <f t="shared" si="8"/>
        <v>6.8002932325025065E-6</v>
      </c>
    </row>
    <row r="55" spans="1:9">
      <c r="A55" s="18">
        <f t="shared" si="0"/>
        <v>8.3000000000000007</v>
      </c>
      <c r="B55" s="18">
        <f t="shared" si="1"/>
        <v>12</v>
      </c>
      <c r="C55" s="17">
        <f t="shared" si="5"/>
        <v>6.36</v>
      </c>
      <c r="D55" s="18">
        <f t="shared" si="2"/>
        <v>1000</v>
      </c>
      <c r="E55" s="19">
        <f t="shared" si="6"/>
        <v>6.3600000000000002E-3</v>
      </c>
      <c r="F55" s="86">
        <f t="shared" si="3"/>
        <v>8.3000000000000007</v>
      </c>
      <c r="G55" s="19">
        <f t="shared" si="7"/>
        <v>8.2936399999999999</v>
      </c>
      <c r="H55" s="18">
        <f t="shared" si="4"/>
        <v>4.6999999999999999E-4</v>
      </c>
      <c r="I55" s="20">
        <f t="shared" si="8"/>
        <v>6.8003916253900576E-6</v>
      </c>
    </row>
    <row r="56" spans="1:9">
      <c r="A56" s="18">
        <f t="shared" si="0"/>
        <v>8.3000000000000007</v>
      </c>
      <c r="B56" s="18">
        <f t="shared" si="1"/>
        <v>12</v>
      </c>
      <c r="C56" s="17">
        <f t="shared" si="5"/>
        <v>6.48</v>
      </c>
      <c r="D56" s="18">
        <f t="shared" si="2"/>
        <v>1000</v>
      </c>
      <c r="E56" s="19">
        <f t="shared" si="6"/>
        <v>6.4800000000000005E-3</v>
      </c>
      <c r="F56" s="86">
        <f t="shared" si="3"/>
        <v>8.3000000000000007</v>
      </c>
      <c r="G56" s="19">
        <f t="shared" si="7"/>
        <v>8.2935200000000009</v>
      </c>
      <c r="H56" s="18">
        <f t="shared" si="4"/>
        <v>4.6999999999999999E-4</v>
      </c>
      <c r="I56" s="20">
        <f t="shared" si="8"/>
        <v>6.8004900211249251E-6</v>
      </c>
    </row>
    <row r="57" spans="1:9">
      <c r="A57" s="18">
        <f t="shared" si="0"/>
        <v>8.3000000000000007</v>
      </c>
      <c r="B57" s="18">
        <f t="shared" si="1"/>
        <v>12</v>
      </c>
      <c r="C57" s="17">
        <f t="shared" si="5"/>
        <v>6.6000000000000005</v>
      </c>
      <c r="D57" s="18">
        <f t="shared" si="2"/>
        <v>1000</v>
      </c>
      <c r="E57" s="19">
        <f t="shared" si="6"/>
        <v>6.6000000000000008E-3</v>
      </c>
      <c r="F57" s="86">
        <f t="shared" si="3"/>
        <v>8.3000000000000007</v>
      </c>
      <c r="G57" s="19">
        <f t="shared" si="7"/>
        <v>8.2934000000000001</v>
      </c>
      <c r="H57" s="18">
        <f t="shared" si="4"/>
        <v>4.6999999999999999E-4</v>
      </c>
      <c r="I57" s="20">
        <f t="shared" si="8"/>
        <v>6.8005884197072363E-6</v>
      </c>
    </row>
    <row r="58" spans="1:9">
      <c r="A58" s="18">
        <f t="shared" si="0"/>
        <v>8.3000000000000007</v>
      </c>
      <c r="B58" s="18">
        <f t="shared" si="1"/>
        <v>12</v>
      </c>
      <c r="C58" s="17">
        <f t="shared" si="5"/>
        <v>6.7200000000000006</v>
      </c>
      <c r="D58" s="18">
        <f t="shared" si="2"/>
        <v>1000</v>
      </c>
      <c r="E58" s="19">
        <f t="shared" si="6"/>
        <v>6.7200000000000003E-3</v>
      </c>
      <c r="F58" s="86">
        <f t="shared" si="3"/>
        <v>8.3000000000000007</v>
      </c>
      <c r="G58" s="19">
        <f t="shared" si="7"/>
        <v>8.2932800000000011</v>
      </c>
      <c r="H58" s="18">
        <f t="shared" si="4"/>
        <v>4.6999999999999999E-4</v>
      </c>
      <c r="I58" s="20">
        <f t="shared" si="8"/>
        <v>6.8006868211371121E-6</v>
      </c>
    </row>
    <row r="59" spans="1:9">
      <c r="A59" s="18">
        <f t="shared" si="0"/>
        <v>8.3000000000000007</v>
      </c>
      <c r="B59" s="18">
        <f t="shared" si="1"/>
        <v>12</v>
      </c>
      <c r="C59" s="17">
        <f t="shared" si="5"/>
        <v>6.84</v>
      </c>
      <c r="D59" s="18">
        <f t="shared" si="2"/>
        <v>1000</v>
      </c>
      <c r="E59" s="19">
        <f t="shared" si="6"/>
        <v>6.8399999999999997E-3</v>
      </c>
      <c r="F59" s="86">
        <f t="shared" si="3"/>
        <v>8.3000000000000007</v>
      </c>
      <c r="G59" s="19">
        <f t="shared" si="7"/>
        <v>8.2931600000000003</v>
      </c>
      <c r="H59" s="18">
        <f t="shared" si="4"/>
        <v>4.6999999999999999E-4</v>
      </c>
      <c r="I59" s="20">
        <f t="shared" si="8"/>
        <v>6.8007852254146779E-6</v>
      </c>
    </row>
    <row r="60" spans="1:9">
      <c r="A60" s="18">
        <f t="shared" si="0"/>
        <v>8.3000000000000007</v>
      </c>
      <c r="B60" s="18">
        <f t="shared" si="1"/>
        <v>12</v>
      </c>
      <c r="C60" s="17">
        <f t="shared" si="5"/>
        <v>6.9599999999999991</v>
      </c>
      <c r="D60" s="18">
        <f t="shared" si="2"/>
        <v>1000</v>
      </c>
      <c r="E60" s="19">
        <f t="shared" si="6"/>
        <v>6.9599999999999992E-3</v>
      </c>
      <c r="F60" s="86">
        <f t="shared" si="3"/>
        <v>8.3000000000000007</v>
      </c>
      <c r="G60" s="19">
        <f t="shared" si="7"/>
        <v>8.2930400000000013</v>
      </c>
      <c r="H60" s="18">
        <f t="shared" si="4"/>
        <v>4.6999999999999999E-4</v>
      </c>
      <c r="I60" s="20">
        <f t="shared" si="8"/>
        <v>6.8008836325400558E-6</v>
      </c>
    </row>
    <row r="61" spans="1:9">
      <c r="A61" s="18">
        <f t="shared" si="0"/>
        <v>8.3000000000000007</v>
      </c>
      <c r="B61" s="18">
        <f t="shared" si="1"/>
        <v>12</v>
      </c>
      <c r="C61" s="17">
        <f t="shared" si="5"/>
        <v>7.08</v>
      </c>
      <c r="D61" s="18">
        <f t="shared" si="2"/>
        <v>1000</v>
      </c>
      <c r="E61" s="19">
        <f t="shared" si="6"/>
        <v>7.0800000000000004E-3</v>
      </c>
      <c r="F61" s="86">
        <f t="shared" si="3"/>
        <v>8.3000000000000007</v>
      </c>
      <c r="G61" s="19">
        <f t="shared" si="7"/>
        <v>8.2929200000000005</v>
      </c>
      <c r="H61" s="18">
        <f t="shared" si="4"/>
        <v>4.6999999999999999E-4</v>
      </c>
      <c r="I61" s="20">
        <f t="shared" si="8"/>
        <v>6.8009820425133719E-6</v>
      </c>
    </row>
    <row r="62" spans="1:9">
      <c r="A62" s="18">
        <f t="shared" si="0"/>
        <v>8.3000000000000007</v>
      </c>
      <c r="B62" s="18">
        <f t="shared" si="1"/>
        <v>12</v>
      </c>
      <c r="C62" s="17">
        <f t="shared" si="5"/>
        <v>7.1999999999999993</v>
      </c>
      <c r="D62" s="18">
        <f t="shared" si="2"/>
        <v>1000</v>
      </c>
      <c r="E62" s="19">
        <f t="shared" si="6"/>
        <v>7.1999999999999989E-3</v>
      </c>
      <c r="F62" s="86">
        <f t="shared" si="3"/>
        <v>8.3000000000000007</v>
      </c>
      <c r="G62" s="19">
        <f t="shared" si="7"/>
        <v>8.2928000000000015</v>
      </c>
      <c r="H62" s="18">
        <f t="shared" si="4"/>
        <v>4.6999999999999999E-4</v>
      </c>
      <c r="I62" s="20">
        <f t="shared" si="8"/>
        <v>6.8010804553347465E-6</v>
      </c>
    </row>
    <row r="63" spans="1:9">
      <c r="A63" s="18">
        <f t="shared" si="0"/>
        <v>8.3000000000000007</v>
      </c>
      <c r="B63" s="18">
        <f t="shared" si="1"/>
        <v>12</v>
      </c>
      <c r="C63" s="17">
        <f t="shared" si="5"/>
        <v>7.32</v>
      </c>
      <c r="D63" s="18">
        <f t="shared" si="2"/>
        <v>1000</v>
      </c>
      <c r="E63" s="19">
        <f t="shared" si="6"/>
        <v>7.3200000000000001E-3</v>
      </c>
      <c r="F63" s="86">
        <f t="shared" si="3"/>
        <v>8.3000000000000007</v>
      </c>
      <c r="G63" s="19">
        <f t="shared" si="7"/>
        <v>8.2926800000000007</v>
      </c>
      <c r="H63" s="18">
        <f t="shared" si="4"/>
        <v>4.6999999999999999E-4</v>
      </c>
      <c r="I63" s="20">
        <f t="shared" si="8"/>
        <v>6.8011788710043066E-6</v>
      </c>
    </row>
    <row r="64" spans="1:9">
      <c r="A64" s="18">
        <f t="shared" si="0"/>
        <v>8.3000000000000007</v>
      </c>
      <c r="B64" s="18">
        <f t="shared" si="1"/>
        <v>12</v>
      </c>
      <c r="C64" s="17">
        <f t="shared" si="5"/>
        <v>7.4399999999999995</v>
      </c>
      <c r="D64" s="18">
        <f t="shared" si="2"/>
        <v>1000</v>
      </c>
      <c r="E64" s="19">
        <f t="shared" si="6"/>
        <v>7.4399999999999996E-3</v>
      </c>
      <c r="F64" s="86">
        <f t="shared" si="3"/>
        <v>8.3000000000000007</v>
      </c>
      <c r="G64" s="19">
        <f t="shared" si="7"/>
        <v>8.2925599999999999</v>
      </c>
      <c r="H64" s="18">
        <f t="shared" si="4"/>
        <v>4.6999999999999999E-4</v>
      </c>
      <c r="I64" s="20">
        <f t="shared" si="8"/>
        <v>6.8012772895221735E-6</v>
      </c>
    </row>
    <row r="65" spans="1:9">
      <c r="A65" s="18">
        <f t="shared" si="0"/>
        <v>8.3000000000000007</v>
      </c>
      <c r="B65" s="18">
        <f t="shared" si="1"/>
        <v>12</v>
      </c>
      <c r="C65" s="17">
        <f t="shared" si="5"/>
        <v>7.5600000000000005</v>
      </c>
      <c r="D65" s="18">
        <f t="shared" si="2"/>
        <v>1000</v>
      </c>
      <c r="E65" s="19">
        <f t="shared" si="6"/>
        <v>7.5600000000000007E-3</v>
      </c>
      <c r="F65" s="86">
        <f t="shared" si="3"/>
        <v>8.3000000000000007</v>
      </c>
      <c r="G65" s="19">
        <f t="shared" si="7"/>
        <v>8.2924400000000009</v>
      </c>
      <c r="H65" s="18">
        <f t="shared" si="4"/>
        <v>4.6999999999999999E-4</v>
      </c>
      <c r="I65" s="20">
        <f t="shared" si="8"/>
        <v>6.8013757108884706E-6</v>
      </c>
    </row>
    <row r="66" spans="1:9">
      <c r="A66" s="18">
        <f t="shared" si="0"/>
        <v>8.3000000000000007</v>
      </c>
      <c r="B66" s="18">
        <f t="shared" si="1"/>
        <v>12</v>
      </c>
      <c r="C66" s="17">
        <f t="shared" si="5"/>
        <v>7.68</v>
      </c>
      <c r="D66" s="18">
        <f t="shared" si="2"/>
        <v>1000</v>
      </c>
      <c r="E66" s="19">
        <f t="shared" si="6"/>
        <v>7.6799999999999993E-3</v>
      </c>
      <c r="F66" s="86">
        <f t="shared" si="3"/>
        <v>8.3000000000000007</v>
      </c>
      <c r="G66" s="19">
        <f t="shared" si="7"/>
        <v>8.2923200000000001</v>
      </c>
      <c r="H66" s="18">
        <f t="shared" si="4"/>
        <v>4.6999999999999999E-4</v>
      </c>
      <c r="I66" s="20">
        <f t="shared" si="8"/>
        <v>6.8014741351033235E-6</v>
      </c>
    </row>
    <row r="67" spans="1:9">
      <c r="A67" s="18">
        <f t="shared" ref="A67:B82" si="9">A66</f>
        <v>8.3000000000000007</v>
      </c>
      <c r="B67" s="18">
        <f t="shared" si="9"/>
        <v>12</v>
      </c>
      <c r="C67" s="17">
        <f t="shared" si="5"/>
        <v>7.8000000000000007</v>
      </c>
      <c r="D67" s="18">
        <f t="shared" ref="D67:D102" si="10">D66</f>
        <v>1000</v>
      </c>
      <c r="E67" s="19">
        <f t="shared" si="6"/>
        <v>7.8000000000000005E-3</v>
      </c>
      <c r="F67" s="86">
        <f t="shared" ref="F67:F102" si="11">A67</f>
        <v>8.3000000000000007</v>
      </c>
      <c r="G67" s="19">
        <f t="shared" si="7"/>
        <v>8.2922000000000011</v>
      </c>
      <c r="H67" s="18">
        <f t="shared" ref="H67:H102" si="12">H66</f>
        <v>4.6999999999999999E-4</v>
      </c>
      <c r="I67" s="20">
        <f t="shared" si="8"/>
        <v>6.8015725621668541E-6</v>
      </c>
    </row>
    <row r="68" spans="1:9">
      <c r="A68" s="18">
        <f t="shared" si="9"/>
        <v>8.3000000000000007</v>
      </c>
      <c r="B68" s="18">
        <f t="shared" si="9"/>
        <v>12</v>
      </c>
      <c r="C68" s="17">
        <f t="shared" ref="C68:C102" si="13">B$3*((ROW()-2)/100)</f>
        <v>7.92</v>
      </c>
      <c r="D68" s="18">
        <f t="shared" si="10"/>
        <v>1000</v>
      </c>
      <c r="E68" s="19">
        <f t="shared" ref="E68:E102" si="14">C68/D68</f>
        <v>7.92E-3</v>
      </c>
      <c r="F68" s="86">
        <f t="shared" si="11"/>
        <v>8.3000000000000007</v>
      </c>
      <c r="G68" s="19">
        <f t="shared" ref="G68:G102" si="15">F68-E68</f>
        <v>8.2920800000000003</v>
      </c>
      <c r="H68" s="18">
        <f t="shared" si="12"/>
        <v>4.6999999999999999E-4</v>
      </c>
      <c r="I68" s="20">
        <f t="shared" ref="I68:I102" si="16">H68*(B$3/100)/G68</f>
        <v>6.8016709920791877E-6</v>
      </c>
    </row>
    <row r="69" spans="1:9">
      <c r="A69" s="18">
        <f t="shared" si="9"/>
        <v>8.3000000000000007</v>
      </c>
      <c r="B69" s="18">
        <f t="shared" si="9"/>
        <v>12</v>
      </c>
      <c r="C69" s="17">
        <f t="shared" si="13"/>
        <v>8.0400000000000009</v>
      </c>
      <c r="D69" s="18">
        <f t="shared" si="10"/>
        <v>1000</v>
      </c>
      <c r="E69" s="19">
        <f t="shared" si="14"/>
        <v>8.0400000000000003E-3</v>
      </c>
      <c r="F69" s="86">
        <f t="shared" si="11"/>
        <v>8.3000000000000007</v>
      </c>
      <c r="G69" s="19">
        <f t="shared" si="15"/>
        <v>8.2919600000000013</v>
      </c>
      <c r="H69" s="18">
        <f t="shared" si="12"/>
        <v>4.6999999999999999E-4</v>
      </c>
      <c r="I69" s="20">
        <f t="shared" si="16"/>
        <v>6.8017694248404463E-6</v>
      </c>
    </row>
    <row r="70" spans="1:9">
      <c r="A70" s="18">
        <f t="shared" si="9"/>
        <v>8.3000000000000007</v>
      </c>
      <c r="B70" s="18">
        <f t="shared" si="9"/>
        <v>12</v>
      </c>
      <c r="C70" s="17">
        <f t="shared" si="13"/>
        <v>8.16</v>
      </c>
      <c r="D70" s="18">
        <f t="shared" si="10"/>
        <v>1000</v>
      </c>
      <c r="E70" s="19">
        <f t="shared" si="14"/>
        <v>8.1600000000000006E-3</v>
      </c>
      <c r="F70" s="86">
        <f t="shared" si="11"/>
        <v>8.3000000000000007</v>
      </c>
      <c r="G70" s="19">
        <f t="shared" si="15"/>
        <v>8.2918400000000005</v>
      </c>
      <c r="H70" s="18">
        <f t="shared" si="12"/>
        <v>4.6999999999999999E-4</v>
      </c>
      <c r="I70" s="20">
        <f t="shared" si="16"/>
        <v>6.8018678604507553E-6</v>
      </c>
    </row>
    <row r="71" spans="1:9">
      <c r="A71" s="18">
        <f t="shared" si="9"/>
        <v>8.3000000000000007</v>
      </c>
      <c r="B71" s="18">
        <f t="shared" si="9"/>
        <v>12</v>
      </c>
      <c r="C71" s="17">
        <f t="shared" si="13"/>
        <v>8.2799999999999994</v>
      </c>
      <c r="D71" s="18">
        <f t="shared" si="10"/>
        <v>1000</v>
      </c>
      <c r="E71" s="19">
        <f t="shared" si="14"/>
        <v>8.2799999999999992E-3</v>
      </c>
      <c r="F71" s="86">
        <f t="shared" si="11"/>
        <v>8.3000000000000007</v>
      </c>
      <c r="G71" s="19">
        <f t="shared" si="15"/>
        <v>8.2917200000000015</v>
      </c>
      <c r="H71" s="18">
        <f t="shared" si="12"/>
        <v>4.6999999999999999E-4</v>
      </c>
      <c r="I71" s="20">
        <f t="shared" si="16"/>
        <v>6.8019662989102366E-6</v>
      </c>
    </row>
    <row r="72" spans="1:9">
      <c r="A72" s="18">
        <f t="shared" si="9"/>
        <v>8.3000000000000007</v>
      </c>
      <c r="B72" s="18">
        <f t="shared" si="9"/>
        <v>12</v>
      </c>
      <c r="C72" s="17">
        <f t="shared" si="13"/>
        <v>8.3999999999999986</v>
      </c>
      <c r="D72" s="18">
        <f t="shared" si="10"/>
        <v>1000</v>
      </c>
      <c r="E72" s="19">
        <f t="shared" si="14"/>
        <v>8.3999999999999977E-3</v>
      </c>
      <c r="F72" s="86">
        <f t="shared" si="11"/>
        <v>8.3000000000000007</v>
      </c>
      <c r="G72" s="19">
        <f t="shared" si="15"/>
        <v>8.2916000000000007</v>
      </c>
      <c r="H72" s="18">
        <f t="shared" si="12"/>
        <v>4.6999999999999999E-4</v>
      </c>
      <c r="I72" s="20">
        <f t="shared" si="16"/>
        <v>6.8020647402190157E-6</v>
      </c>
    </row>
    <row r="73" spans="1:9">
      <c r="A73" s="18">
        <f t="shared" si="9"/>
        <v>8.3000000000000007</v>
      </c>
      <c r="B73" s="18">
        <f t="shared" si="9"/>
        <v>12</v>
      </c>
      <c r="C73" s="17">
        <f t="shared" si="13"/>
        <v>8.52</v>
      </c>
      <c r="D73" s="18">
        <f t="shared" si="10"/>
        <v>1000</v>
      </c>
      <c r="E73" s="19">
        <f t="shared" si="14"/>
        <v>8.5199999999999998E-3</v>
      </c>
      <c r="F73" s="86">
        <f t="shared" si="11"/>
        <v>8.3000000000000007</v>
      </c>
      <c r="G73" s="19">
        <f t="shared" si="15"/>
        <v>8.29148</v>
      </c>
      <c r="H73" s="18">
        <f t="shared" si="12"/>
        <v>4.6999999999999999E-4</v>
      </c>
      <c r="I73" s="20">
        <f t="shared" si="16"/>
        <v>6.8021631843772153E-6</v>
      </c>
    </row>
    <row r="74" spans="1:9">
      <c r="A74" s="18">
        <f t="shared" si="9"/>
        <v>8.3000000000000007</v>
      </c>
      <c r="B74" s="18">
        <f t="shared" si="9"/>
        <v>12</v>
      </c>
      <c r="C74" s="17">
        <f t="shared" si="13"/>
        <v>8.64</v>
      </c>
      <c r="D74" s="18">
        <f t="shared" si="10"/>
        <v>1000</v>
      </c>
      <c r="E74" s="19">
        <f t="shared" si="14"/>
        <v>8.6400000000000001E-3</v>
      </c>
      <c r="F74" s="86">
        <f t="shared" si="11"/>
        <v>8.3000000000000007</v>
      </c>
      <c r="G74" s="19">
        <f t="shared" si="15"/>
        <v>8.291360000000001</v>
      </c>
      <c r="H74" s="18">
        <f t="shared" si="12"/>
        <v>4.6999999999999999E-4</v>
      </c>
      <c r="I74" s="20">
        <f t="shared" si="16"/>
        <v>6.8022616313849582E-6</v>
      </c>
    </row>
    <row r="75" spans="1:9">
      <c r="A75" s="18">
        <f t="shared" si="9"/>
        <v>8.3000000000000007</v>
      </c>
      <c r="B75" s="18">
        <f t="shared" si="9"/>
        <v>12</v>
      </c>
      <c r="C75" s="17">
        <f t="shared" si="13"/>
        <v>8.76</v>
      </c>
      <c r="D75" s="18">
        <f t="shared" si="10"/>
        <v>1000</v>
      </c>
      <c r="E75" s="19">
        <f t="shared" si="14"/>
        <v>8.7600000000000004E-3</v>
      </c>
      <c r="F75" s="86">
        <f t="shared" si="11"/>
        <v>8.3000000000000007</v>
      </c>
      <c r="G75" s="19">
        <f t="shared" si="15"/>
        <v>8.2912400000000002</v>
      </c>
      <c r="H75" s="18">
        <f t="shared" si="12"/>
        <v>4.6999999999999999E-4</v>
      </c>
      <c r="I75" s="20">
        <f t="shared" si="16"/>
        <v>6.8023600812423707E-6</v>
      </c>
    </row>
    <row r="76" spans="1:9">
      <c r="A76" s="18">
        <f t="shared" si="9"/>
        <v>8.3000000000000007</v>
      </c>
      <c r="B76" s="18">
        <f t="shared" si="9"/>
        <v>12</v>
      </c>
      <c r="C76" s="17">
        <f t="shared" si="13"/>
        <v>8.879999999999999</v>
      </c>
      <c r="D76" s="18">
        <f t="shared" si="10"/>
        <v>1000</v>
      </c>
      <c r="E76" s="19">
        <f t="shared" si="14"/>
        <v>8.879999999999999E-3</v>
      </c>
      <c r="F76" s="86">
        <f t="shared" si="11"/>
        <v>8.3000000000000007</v>
      </c>
      <c r="G76" s="19">
        <f t="shared" si="15"/>
        <v>8.2911200000000012</v>
      </c>
      <c r="H76" s="18">
        <f t="shared" si="12"/>
        <v>4.6999999999999999E-4</v>
      </c>
      <c r="I76" s="20">
        <f t="shared" si="16"/>
        <v>6.8024585339495738E-6</v>
      </c>
    </row>
    <row r="77" spans="1:9">
      <c r="A77" s="18">
        <f t="shared" si="9"/>
        <v>8.3000000000000007</v>
      </c>
      <c r="B77" s="18">
        <f t="shared" si="9"/>
        <v>12</v>
      </c>
      <c r="C77" s="17">
        <f t="shared" si="13"/>
        <v>9</v>
      </c>
      <c r="D77" s="18">
        <f t="shared" si="10"/>
        <v>1000</v>
      </c>
      <c r="E77" s="19">
        <f t="shared" si="14"/>
        <v>8.9999999999999993E-3</v>
      </c>
      <c r="F77" s="86">
        <f t="shared" si="11"/>
        <v>8.3000000000000007</v>
      </c>
      <c r="G77" s="19">
        <f t="shared" si="15"/>
        <v>8.2910000000000004</v>
      </c>
      <c r="H77" s="18">
        <f t="shared" si="12"/>
        <v>4.6999999999999999E-4</v>
      </c>
      <c r="I77" s="20">
        <f t="shared" si="16"/>
        <v>6.802556989506693E-6</v>
      </c>
    </row>
    <row r="78" spans="1:9">
      <c r="A78" s="18">
        <f t="shared" si="9"/>
        <v>8.3000000000000007</v>
      </c>
      <c r="B78" s="18">
        <f t="shared" si="9"/>
        <v>12</v>
      </c>
      <c r="C78" s="17">
        <f t="shared" si="13"/>
        <v>9.120000000000001</v>
      </c>
      <c r="D78" s="18">
        <f t="shared" si="10"/>
        <v>1000</v>
      </c>
      <c r="E78" s="19">
        <f t="shared" si="14"/>
        <v>9.1200000000000014E-3</v>
      </c>
      <c r="F78" s="86">
        <f t="shared" si="11"/>
        <v>8.3000000000000007</v>
      </c>
      <c r="G78" s="19">
        <f t="shared" si="15"/>
        <v>8.2908800000000014</v>
      </c>
      <c r="H78" s="18">
        <f t="shared" si="12"/>
        <v>4.6999999999999999E-4</v>
      </c>
      <c r="I78" s="20">
        <f t="shared" si="16"/>
        <v>6.8026554479138503E-6</v>
      </c>
    </row>
    <row r="79" spans="1:9">
      <c r="A79" s="18">
        <f t="shared" si="9"/>
        <v>8.3000000000000007</v>
      </c>
      <c r="B79" s="18">
        <f t="shared" si="9"/>
        <v>12</v>
      </c>
      <c r="C79" s="17">
        <f t="shared" si="13"/>
        <v>9.24</v>
      </c>
      <c r="D79" s="18">
        <f t="shared" si="10"/>
        <v>1000</v>
      </c>
      <c r="E79" s="19">
        <f t="shared" si="14"/>
        <v>9.2399999999999999E-3</v>
      </c>
      <c r="F79" s="86">
        <f t="shared" si="11"/>
        <v>8.3000000000000007</v>
      </c>
      <c r="G79" s="19">
        <f t="shared" si="15"/>
        <v>8.2907600000000006</v>
      </c>
      <c r="H79" s="18">
        <f t="shared" si="12"/>
        <v>4.6999999999999999E-4</v>
      </c>
      <c r="I79" s="20">
        <f t="shared" si="16"/>
        <v>6.8027539091711725E-6</v>
      </c>
    </row>
    <row r="80" spans="1:9">
      <c r="A80" s="18">
        <f t="shared" si="9"/>
        <v>8.3000000000000007</v>
      </c>
      <c r="B80" s="18">
        <f t="shared" si="9"/>
        <v>12</v>
      </c>
      <c r="C80" s="17">
        <f t="shared" si="13"/>
        <v>9.36</v>
      </c>
      <c r="D80" s="18">
        <f t="shared" si="10"/>
        <v>1000</v>
      </c>
      <c r="E80" s="19">
        <f t="shared" si="14"/>
        <v>9.3600000000000003E-3</v>
      </c>
      <c r="F80" s="86">
        <f t="shared" si="11"/>
        <v>8.3000000000000007</v>
      </c>
      <c r="G80" s="19">
        <f t="shared" si="15"/>
        <v>8.2906400000000016</v>
      </c>
      <c r="H80" s="18">
        <f t="shared" si="12"/>
        <v>4.6999999999999999E-4</v>
      </c>
      <c r="I80" s="20">
        <f t="shared" si="16"/>
        <v>6.8028523732787802E-6</v>
      </c>
    </row>
    <row r="81" spans="1:9">
      <c r="A81" s="18">
        <f t="shared" si="9"/>
        <v>8.3000000000000007</v>
      </c>
      <c r="B81" s="18">
        <f t="shared" si="9"/>
        <v>12</v>
      </c>
      <c r="C81" s="17">
        <f t="shared" si="13"/>
        <v>9.48</v>
      </c>
      <c r="D81" s="18">
        <f t="shared" si="10"/>
        <v>1000</v>
      </c>
      <c r="E81" s="19">
        <f t="shared" si="14"/>
        <v>9.4800000000000006E-3</v>
      </c>
      <c r="F81" s="86">
        <f t="shared" si="11"/>
        <v>8.3000000000000007</v>
      </c>
      <c r="G81" s="19">
        <f t="shared" si="15"/>
        <v>8.2905200000000008</v>
      </c>
      <c r="H81" s="18">
        <f t="shared" si="12"/>
        <v>4.6999999999999999E-4</v>
      </c>
      <c r="I81" s="20">
        <f t="shared" si="16"/>
        <v>6.8029508402367994E-6</v>
      </c>
    </row>
    <row r="82" spans="1:9">
      <c r="A82" s="18">
        <f t="shared" si="9"/>
        <v>8.3000000000000007</v>
      </c>
      <c r="B82" s="18">
        <f t="shared" si="9"/>
        <v>12</v>
      </c>
      <c r="C82" s="17">
        <f t="shared" si="13"/>
        <v>9.6000000000000014</v>
      </c>
      <c r="D82" s="18">
        <f t="shared" si="10"/>
        <v>1000</v>
      </c>
      <c r="E82" s="19">
        <f t="shared" si="14"/>
        <v>9.6000000000000009E-3</v>
      </c>
      <c r="F82" s="86">
        <f t="shared" si="11"/>
        <v>8.3000000000000007</v>
      </c>
      <c r="G82" s="19">
        <f t="shared" si="15"/>
        <v>8.2904</v>
      </c>
      <c r="H82" s="18">
        <f t="shared" si="12"/>
        <v>4.6999999999999999E-4</v>
      </c>
      <c r="I82" s="20">
        <f t="shared" si="16"/>
        <v>6.803049310045353E-6</v>
      </c>
    </row>
    <row r="83" spans="1:9">
      <c r="A83" s="18">
        <f t="shared" ref="A83:B98" si="17">A82</f>
        <v>8.3000000000000007</v>
      </c>
      <c r="B83" s="18">
        <f t="shared" si="17"/>
        <v>12</v>
      </c>
      <c r="C83" s="17">
        <f t="shared" si="13"/>
        <v>9.7200000000000006</v>
      </c>
      <c r="D83" s="18">
        <f t="shared" si="10"/>
        <v>1000</v>
      </c>
      <c r="E83" s="19">
        <f t="shared" si="14"/>
        <v>9.7200000000000012E-3</v>
      </c>
      <c r="F83" s="86">
        <f t="shared" si="11"/>
        <v>8.3000000000000007</v>
      </c>
      <c r="G83" s="19">
        <f t="shared" si="15"/>
        <v>8.290280000000001</v>
      </c>
      <c r="H83" s="18">
        <f t="shared" si="12"/>
        <v>4.6999999999999999E-4</v>
      </c>
      <c r="I83" s="20">
        <f t="shared" si="16"/>
        <v>6.8031477827045637E-6</v>
      </c>
    </row>
    <row r="84" spans="1:9">
      <c r="A84" s="18">
        <f t="shared" si="17"/>
        <v>8.3000000000000007</v>
      </c>
      <c r="B84" s="18">
        <f t="shared" si="17"/>
        <v>12</v>
      </c>
      <c r="C84" s="17">
        <f t="shared" si="13"/>
        <v>9.84</v>
      </c>
      <c r="D84" s="18">
        <f t="shared" si="10"/>
        <v>1000</v>
      </c>
      <c r="E84" s="19">
        <f t="shared" si="14"/>
        <v>9.8399999999999998E-3</v>
      </c>
      <c r="F84" s="86">
        <f t="shared" si="11"/>
        <v>8.3000000000000007</v>
      </c>
      <c r="G84" s="19">
        <f t="shared" si="15"/>
        <v>8.2901600000000002</v>
      </c>
      <c r="H84" s="18">
        <f t="shared" si="12"/>
        <v>4.6999999999999999E-4</v>
      </c>
      <c r="I84" s="20">
        <f t="shared" si="16"/>
        <v>6.8032462582145571E-6</v>
      </c>
    </row>
    <row r="85" spans="1:9">
      <c r="A85" s="18">
        <f t="shared" si="17"/>
        <v>8.3000000000000007</v>
      </c>
      <c r="B85" s="18">
        <f t="shared" si="17"/>
        <v>12</v>
      </c>
      <c r="C85" s="17">
        <f t="shared" si="13"/>
        <v>9.9599999999999991</v>
      </c>
      <c r="D85" s="18">
        <f t="shared" si="10"/>
        <v>1000</v>
      </c>
      <c r="E85" s="19">
        <f t="shared" si="14"/>
        <v>9.9599999999999984E-3</v>
      </c>
      <c r="F85" s="86">
        <f t="shared" si="11"/>
        <v>8.3000000000000007</v>
      </c>
      <c r="G85" s="19">
        <f t="shared" si="15"/>
        <v>8.2900400000000012</v>
      </c>
      <c r="H85" s="18">
        <f t="shared" si="12"/>
        <v>4.6999999999999999E-4</v>
      </c>
      <c r="I85" s="20">
        <f t="shared" si="16"/>
        <v>6.8033447365754549E-6</v>
      </c>
    </row>
    <row r="86" spans="1:9">
      <c r="A86" s="18">
        <f t="shared" si="17"/>
        <v>8.3000000000000007</v>
      </c>
      <c r="B86" s="18">
        <f t="shared" si="17"/>
        <v>12</v>
      </c>
      <c r="C86" s="17">
        <f t="shared" si="13"/>
        <v>10.08</v>
      </c>
      <c r="D86" s="18">
        <f t="shared" si="10"/>
        <v>1000</v>
      </c>
      <c r="E86" s="19">
        <f t="shared" si="14"/>
        <v>1.008E-2</v>
      </c>
      <c r="F86" s="86">
        <f t="shared" si="11"/>
        <v>8.3000000000000007</v>
      </c>
      <c r="G86" s="19">
        <f t="shared" si="15"/>
        <v>8.2899200000000004</v>
      </c>
      <c r="H86" s="18">
        <f t="shared" si="12"/>
        <v>4.6999999999999999E-4</v>
      </c>
      <c r="I86" s="20">
        <f t="shared" si="16"/>
        <v>6.8034432177873844E-6</v>
      </c>
    </row>
    <row r="87" spans="1:9">
      <c r="A87" s="18">
        <f t="shared" si="17"/>
        <v>8.3000000000000007</v>
      </c>
      <c r="B87" s="18">
        <f t="shared" si="17"/>
        <v>12</v>
      </c>
      <c r="C87" s="17">
        <f t="shared" si="13"/>
        <v>10.199999999999999</v>
      </c>
      <c r="D87" s="18">
        <f t="shared" si="10"/>
        <v>1000</v>
      </c>
      <c r="E87" s="19">
        <f t="shared" si="14"/>
        <v>1.0199999999999999E-2</v>
      </c>
      <c r="F87" s="86">
        <f t="shared" si="11"/>
        <v>8.3000000000000007</v>
      </c>
      <c r="G87" s="19">
        <f t="shared" si="15"/>
        <v>8.2898000000000014</v>
      </c>
      <c r="H87" s="18">
        <f t="shared" si="12"/>
        <v>4.6999999999999999E-4</v>
      </c>
      <c r="I87" s="20">
        <f t="shared" si="16"/>
        <v>6.8035417018504648E-6</v>
      </c>
    </row>
    <row r="88" spans="1:9">
      <c r="A88" s="18">
        <f t="shared" si="17"/>
        <v>8.3000000000000007</v>
      </c>
      <c r="B88" s="18">
        <f t="shared" si="17"/>
        <v>12</v>
      </c>
      <c r="C88" s="17">
        <f t="shared" si="13"/>
        <v>10.32</v>
      </c>
      <c r="D88" s="18">
        <f t="shared" si="10"/>
        <v>1000</v>
      </c>
      <c r="E88" s="19">
        <f t="shared" si="14"/>
        <v>1.0320000000000001E-2</v>
      </c>
      <c r="F88" s="86">
        <f t="shared" si="11"/>
        <v>8.3000000000000007</v>
      </c>
      <c r="G88" s="19">
        <f t="shared" si="15"/>
        <v>8.2896800000000006</v>
      </c>
      <c r="H88" s="18">
        <f t="shared" si="12"/>
        <v>4.6999999999999999E-4</v>
      </c>
      <c r="I88" s="20">
        <f t="shared" si="16"/>
        <v>6.8036401887648242E-6</v>
      </c>
    </row>
    <row r="89" spans="1:9">
      <c r="A89" s="18">
        <f t="shared" si="17"/>
        <v>8.3000000000000007</v>
      </c>
      <c r="B89" s="18">
        <f t="shared" si="17"/>
        <v>12</v>
      </c>
      <c r="C89" s="17">
        <f t="shared" si="13"/>
        <v>10.44</v>
      </c>
      <c r="D89" s="18">
        <f t="shared" si="10"/>
        <v>1000</v>
      </c>
      <c r="E89" s="19">
        <f t="shared" si="14"/>
        <v>1.044E-2</v>
      </c>
      <c r="F89" s="86">
        <f t="shared" si="11"/>
        <v>8.3000000000000007</v>
      </c>
      <c r="G89" s="19">
        <f t="shared" si="15"/>
        <v>8.2895600000000016</v>
      </c>
      <c r="H89" s="18">
        <f t="shared" si="12"/>
        <v>4.6999999999999999E-4</v>
      </c>
      <c r="I89" s="20">
        <f t="shared" si="16"/>
        <v>6.8037386785305836E-6</v>
      </c>
    </row>
    <row r="90" spans="1:9">
      <c r="A90" s="18">
        <f t="shared" si="17"/>
        <v>8.3000000000000007</v>
      </c>
      <c r="B90" s="18">
        <f t="shared" si="17"/>
        <v>12</v>
      </c>
      <c r="C90" s="17">
        <f t="shared" si="13"/>
        <v>10.56</v>
      </c>
      <c r="D90" s="18">
        <f t="shared" si="10"/>
        <v>1000</v>
      </c>
      <c r="E90" s="19">
        <f t="shared" si="14"/>
        <v>1.056E-2</v>
      </c>
      <c r="F90" s="86">
        <f t="shared" si="11"/>
        <v>8.3000000000000007</v>
      </c>
      <c r="G90" s="19">
        <f t="shared" si="15"/>
        <v>8.2894400000000008</v>
      </c>
      <c r="H90" s="18">
        <f t="shared" si="12"/>
        <v>4.6999999999999999E-4</v>
      </c>
      <c r="I90" s="20">
        <f t="shared" si="16"/>
        <v>6.8038371711478685E-6</v>
      </c>
    </row>
    <row r="91" spans="1:9">
      <c r="A91" s="18">
        <f t="shared" si="17"/>
        <v>8.3000000000000007</v>
      </c>
      <c r="B91" s="18">
        <f t="shared" si="17"/>
        <v>12</v>
      </c>
      <c r="C91" s="17">
        <f t="shared" si="13"/>
        <v>10.68</v>
      </c>
      <c r="D91" s="18">
        <f t="shared" si="10"/>
        <v>1000</v>
      </c>
      <c r="E91" s="19">
        <f t="shared" si="14"/>
        <v>1.068E-2</v>
      </c>
      <c r="F91" s="86">
        <f t="shared" si="11"/>
        <v>8.3000000000000007</v>
      </c>
      <c r="G91" s="19">
        <f t="shared" si="15"/>
        <v>8.28932</v>
      </c>
      <c r="H91" s="18">
        <f t="shared" si="12"/>
        <v>4.6999999999999999E-4</v>
      </c>
      <c r="I91" s="20">
        <f t="shared" si="16"/>
        <v>6.8039356666168024E-6</v>
      </c>
    </row>
    <row r="92" spans="1:9">
      <c r="A92" s="18">
        <f t="shared" si="17"/>
        <v>8.3000000000000007</v>
      </c>
      <c r="B92" s="18">
        <f t="shared" si="17"/>
        <v>12</v>
      </c>
      <c r="C92" s="17">
        <f t="shared" si="13"/>
        <v>10.8</v>
      </c>
      <c r="D92" s="18">
        <f t="shared" si="10"/>
        <v>1000</v>
      </c>
      <c r="E92" s="19">
        <f t="shared" si="14"/>
        <v>1.0800000000000001E-2</v>
      </c>
      <c r="F92" s="86">
        <f t="shared" si="11"/>
        <v>8.3000000000000007</v>
      </c>
      <c r="G92" s="19">
        <f t="shared" si="15"/>
        <v>8.289200000000001</v>
      </c>
      <c r="H92" s="18">
        <f t="shared" si="12"/>
        <v>4.6999999999999999E-4</v>
      </c>
      <c r="I92" s="20">
        <f t="shared" si="16"/>
        <v>6.8040341649375073E-6</v>
      </c>
    </row>
    <row r="93" spans="1:9">
      <c r="A93" s="18">
        <f t="shared" si="17"/>
        <v>8.3000000000000007</v>
      </c>
      <c r="B93" s="18">
        <f t="shared" si="17"/>
        <v>12</v>
      </c>
      <c r="C93" s="17">
        <f t="shared" si="13"/>
        <v>10.92</v>
      </c>
      <c r="D93" s="18">
        <f t="shared" si="10"/>
        <v>1000</v>
      </c>
      <c r="E93" s="19">
        <f t="shared" si="14"/>
        <v>1.0919999999999999E-2</v>
      </c>
      <c r="F93" s="86">
        <f t="shared" si="11"/>
        <v>8.3000000000000007</v>
      </c>
      <c r="G93" s="19">
        <f t="shared" si="15"/>
        <v>8.2890800000000002</v>
      </c>
      <c r="H93" s="18">
        <f t="shared" si="12"/>
        <v>4.6999999999999999E-4</v>
      </c>
      <c r="I93" s="20">
        <f t="shared" si="16"/>
        <v>6.8041326661101104E-6</v>
      </c>
    </row>
    <row r="94" spans="1:9">
      <c r="A94" s="18">
        <f t="shared" si="17"/>
        <v>8.3000000000000007</v>
      </c>
      <c r="B94" s="18">
        <f t="shared" si="17"/>
        <v>12</v>
      </c>
      <c r="C94" s="17">
        <f t="shared" si="13"/>
        <v>11.040000000000001</v>
      </c>
      <c r="D94" s="18">
        <f t="shared" si="10"/>
        <v>1000</v>
      </c>
      <c r="E94" s="19">
        <f t="shared" si="14"/>
        <v>1.1040000000000001E-2</v>
      </c>
      <c r="F94" s="86">
        <f t="shared" si="11"/>
        <v>8.3000000000000007</v>
      </c>
      <c r="G94" s="19">
        <f t="shared" si="15"/>
        <v>8.2889600000000012</v>
      </c>
      <c r="H94" s="18">
        <f t="shared" si="12"/>
        <v>4.6999999999999999E-4</v>
      </c>
      <c r="I94" s="20">
        <f t="shared" si="16"/>
        <v>6.8042311701347318E-6</v>
      </c>
    </row>
    <row r="95" spans="1:9">
      <c r="A95" s="18">
        <f t="shared" si="17"/>
        <v>8.3000000000000007</v>
      </c>
      <c r="B95" s="18">
        <f t="shared" si="17"/>
        <v>12</v>
      </c>
      <c r="C95" s="17">
        <f t="shared" si="13"/>
        <v>11.16</v>
      </c>
      <c r="D95" s="18">
        <f t="shared" si="10"/>
        <v>1000</v>
      </c>
      <c r="E95" s="19">
        <f t="shared" si="14"/>
        <v>1.116E-2</v>
      </c>
      <c r="F95" s="86">
        <f t="shared" si="11"/>
        <v>8.3000000000000007</v>
      </c>
      <c r="G95" s="19">
        <f t="shared" si="15"/>
        <v>8.2888400000000004</v>
      </c>
      <c r="H95" s="18">
        <f t="shared" si="12"/>
        <v>4.6999999999999999E-4</v>
      </c>
      <c r="I95" s="20">
        <f t="shared" si="16"/>
        <v>6.8043296770114987E-6</v>
      </c>
    </row>
    <row r="96" spans="1:9">
      <c r="A96" s="18">
        <f t="shared" si="17"/>
        <v>8.3000000000000007</v>
      </c>
      <c r="B96" s="18">
        <f t="shared" si="17"/>
        <v>12</v>
      </c>
      <c r="C96" s="17">
        <f t="shared" si="13"/>
        <v>11.28</v>
      </c>
      <c r="D96" s="18">
        <f t="shared" si="10"/>
        <v>1000</v>
      </c>
      <c r="E96" s="19">
        <f t="shared" si="14"/>
        <v>1.128E-2</v>
      </c>
      <c r="F96" s="86">
        <f t="shared" si="11"/>
        <v>8.3000000000000007</v>
      </c>
      <c r="G96" s="19">
        <f t="shared" si="15"/>
        <v>8.2887200000000014</v>
      </c>
      <c r="H96" s="18">
        <f t="shared" si="12"/>
        <v>4.6999999999999999E-4</v>
      </c>
      <c r="I96" s="20">
        <f t="shared" si="16"/>
        <v>6.8044281867405321E-6</v>
      </c>
    </row>
    <row r="97" spans="1:9">
      <c r="A97" s="18">
        <f t="shared" si="17"/>
        <v>8.3000000000000007</v>
      </c>
      <c r="B97" s="18">
        <f t="shared" si="17"/>
        <v>12</v>
      </c>
      <c r="C97" s="17">
        <f t="shared" si="13"/>
        <v>11.399999999999999</v>
      </c>
      <c r="D97" s="18">
        <f t="shared" si="10"/>
        <v>1000</v>
      </c>
      <c r="E97" s="19">
        <f t="shared" si="14"/>
        <v>1.1399999999999999E-2</v>
      </c>
      <c r="F97" s="86">
        <f t="shared" si="11"/>
        <v>8.3000000000000007</v>
      </c>
      <c r="G97" s="19">
        <f t="shared" si="15"/>
        <v>8.2886000000000006</v>
      </c>
      <c r="H97" s="18">
        <f t="shared" si="12"/>
        <v>4.6999999999999999E-4</v>
      </c>
      <c r="I97" s="20">
        <f t="shared" si="16"/>
        <v>6.8045266993219591E-6</v>
      </c>
    </row>
    <row r="98" spans="1:9">
      <c r="A98" s="18">
        <f t="shared" si="17"/>
        <v>8.3000000000000007</v>
      </c>
      <c r="B98" s="18">
        <f t="shared" si="17"/>
        <v>12</v>
      </c>
      <c r="C98" s="17">
        <f t="shared" si="13"/>
        <v>11.52</v>
      </c>
      <c r="D98" s="18">
        <f t="shared" si="10"/>
        <v>1000</v>
      </c>
      <c r="E98" s="19">
        <f t="shared" si="14"/>
        <v>1.1519999999999999E-2</v>
      </c>
      <c r="F98" s="86">
        <f t="shared" si="11"/>
        <v>8.3000000000000007</v>
      </c>
      <c r="G98" s="19">
        <f t="shared" si="15"/>
        <v>8.2884799999999998</v>
      </c>
      <c r="H98" s="18">
        <f t="shared" si="12"/>
        <v>4.6999999999999999E-4</v>
      </c>
      <c r="I98" s="20">
        <f t="shared" si="16"/>
        <v>6.8046252147559018E-6</v>
      </c>
    </row>
    <row r="99" spans="1:9">
      <c r="A99" s="18">
        <f t="shared" ref="A99:B102" si="18">A98</f>
        <v>8.3000000000000007</v>
      </c>
      <c r="B99" s="18">
        <f t="shared" si="18"/>
        <v>12</v>
      </c>
      <c r="C99" s="17">
        <f t="shared" si="13"/>
        <v>11.64</v>
      </c>
      <c r="D99" s="18">
        <f t="shared" si="10"/>
        <v>1000</v>
      </c>
      <c r="E99" s="19">
        <f t="shared" si="14"/>
        <v>1.1640000000000001E-2</v>
      </c>
      <c r="F99" s="86">
        <f t="shared" si="11"/>
        <v>8.3000000000000007</v>
      </c>
      <c r="G99" s="19">
        <f t="shared" si="15"/>
        <v>8.2883600000000008</v>
      </c>
      <c r="H99" s="18">
        <f t="shared" si="12"/>
        <v>4.6999999999999999E-4</v>
      </c>
      <c r="I99" s="20">
        <f t="shared" si="16"/>
        <v>6.8047237330424828E-6</v>
      </c>
    </row>
    <row r="100" spans="1:9">
      <c r="A100" s="18">
        <f t="shared" si="18"/>
        <v>8.3000000000000007</v>
      </c>
      <c r="B100" s="18">
        <f t="shared" si="18"/>
        <v>12</v>
      </c>
      <c r="C100" s="17">
        <f t="shared" si="13"/>
        <v>11.76</v>
      </c>
      <c r="D100" s="18">
        <f t="shared" si="10"/>
        <v>1000</v>
      </c>
      <c r="E100" s="19">
        <f t="shared" si="14"/>
        <v>1.176E-2</v>
      </c>
      <c r="F100" s="86">
        <f t="shared" si="11"/>
        <v>8.3000000000000007</v>
      </c>
      <c r="G100" s="19">
        <f t="shared" si="15"/>
        <v>8.2882400000000001</v>
      </c>
      <c r="H100" s="18">
        <f t="shared" si="12"/>
        <v>4.6999999999999999E-4</v>
      </c>
      <c r="I100" s="20">
        <f t="shared" si="16"/>
        <v>6.8048222541818284E-6</v>
      </c>
    </row>
    <row r="101" spans="1:9">
      <c r="A101" s="18">
        <f t="shared" si="18"/>
        <v>8.3000000000000007</v>
      </c>
      <c r="B101" s="18">
        <f t="shared" si="18"/>
        <v>12</v>
      </c>
      <c r="C101" s="17">
        <f t="shared" si="13"/>
        <v>11.879999999999999</v>
      </c>
      <c r="D101" s="18">
        <f t="shared" si="10"/>
        <v>1000</v>
      </c>
      <c r="E101" s="19">
        <f t="shared" si="14"/>
        <v>1.1879999999999998E-2</v>
      </c>
      <c r="F101" s="86">
        <f t="shared" si="11"/>
        <v>8.3000000000000007</v>
      </c>
      <c r="G101" s="19">
        <f t="shared" si="15"/>
        <v>8.288120000000001</v>
      </c>
      <c r="H101" s="18">
        <f t="shared" si="12"/>
        <v>4.6999999999999999E-4</v>
      </c>
      <c r="I101" s="20">
        <f t="shared" si="16"/>
        <v>6.8049207781740598E-6</v>
      </c>
    </row>
    <row r="102" spans="1:9">
      <c r="A102" s="18">
        <f t="shared" si="18"/>
        <v>8.3000000000000007</v>
      </c>
      <c r="B102" s="18">
        <f t="shared" si="18"/>
        <v>12</v>
      </c>
      <c r="C102" s="17">
        <f t="shared" si="13"/>
        <v>12</v>
      </c>
      <c r="D102" s="18">
        <f t="shared" si="10"/>
        <v>1000</v>
      </c>
      <c r="E102" s="19">
        <f t="shared" si="14"/>
        <v>1.2E-2</v>
      </c>
      <c r="F102" s="86">
        <f t="shared" si="11"/>
        <v>8.3000000000000007</v>
      </c>
      <c r="G102" s="19">
        <f t="shared" si="15"/>
        <v>8.2880000000000003</v>
      </c>
      <c r="H102" s="18">
        <f t="shared" si="12"/>
        <v>4.6999999999999999E-4</v>
      </c>
      <c r="I102" s="20">
        <f t="shared" si="16"/>
        <v>6.805019305019304E-6</v>
      </c>
    </row>
    <row r="104" spans="1:9">
      <c r="F104" s="22" t="s">
        <v>158</v>
      </c>
      <c r="G104" s="19">
        <f>MIN(G1:G102)</f>
        <v>8.2880000000000003</v>
      </c>
    </row>
  </sheetData>
  <sheetProtection password="8553" sheet="1" objects="1" scenarios="1"/>
  <mergeCells count="1">
    <mergeCell ref="L7:M7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55</vt:i4>
      </vt:variant>
    </vt:vector>
  </HeadingPairs>
  <TitlesOfParts>
    <vt:vector size="59" baseType="lpstr">
      <vt:lpstr>Intro</vt:lpstr>
      <vt:lpstr>Design_Calculator</vt:lpstr>
      <vt:lpstr>SOA_Look_Up</vt:lpstr>
      <vt:lpstr>Start_Up_Worksheet</vt:lpstr>
      <vt:lpstr>Cgate</vt:lpstr>
      <vt:lpstr>COUT</vt:lpstr>
      <vt:lpstr>Ctimer</vt:lpstr>
      <vt:lpstr>dVdT</vt:lpstr>
      <vt:lpstr>ENF</vt:lpstr>
      <vt:lpstr>ENR</vt:lpstr>
      <vt:lpstr>ENRise</vt:lpstr>
      <vt:lpstr>FET_Gate_Charge_to_reach_Vgs_5.9V</vt:lpstr>
      <vt:lpstr>I_gate</vt:lpstr>
      <vt:lpstr>I_limit</vt:lpstr>
      <vt:lpstr>I_SOA_100ms</vt:lpstr>
      <vt:lpstr>I_SOA_10ms</vt:lpstr>
      <vt:lpstr>I_SOA_1ms</vt:lpstr>
      <vt:lpstr>I_source</vt:lpstr>
      <vt:lpstr>Iload_max</vt:lpstr>
      <vt:lpstr>Irampo</vt:lpstr>
      <vt:lpstr>Itimer</vt:lpstr>
      <vt:lpstr>No_of_FETs</vt:lpstr>
      <vt:lpstr>P_DC_FET</vt:lpstr>
      <vt:lpstr>QFET</vt:lpstr>
      <vt:lpstr>R_1</vt:lpstr>
      <vt:lpstr>R_3</vt:lpstr>
      <vt:lpstr>R_3c</vt:lpstr>
      <vt:lpstr>R_dson_125C</vt:lpstr>
      <vt:lpstr>R_dson_max</vt:lpstr>
      <vt:lpstr>R_JA</vt:lpstr>
      <vt:lpstr>Rds_on_Max</vt:lpstr>
      <vt:lpstr>Rdson</vt:lpstr>
      <vt:lpstr>Retry</vt:lpstr>
      <vt:lpstr>Retry_duty_cycle</vt:lpstr>
      <vt:lpstr>Rload_st</vt:lpstr>
      <vt:lpstr>Rsense</vt:lpstr>
      <vt:lpstr>Rsense_max</vt:lpstr>
      <vt:lpstr>SOA_25C</vt:lpstr>
      <vt:lpstr>SOA_av</vt:lpstr>
      <vt:lpstr>SOA_margin</vt:lpstr>
      <vt:lpstr>SOA_mrg</vt:lpstr>
      <vt:lpstr>SOA_pass</vt:lpstr>
      <vt:lpstr>T_amb_deg</vt:lpstr>
      <vt:lpstr>T_dVdT</vt:lpstr>
      <vt:lpstr>T_fault</vt:lpstr>
      <vt:lpstr>T_fault_actual</vt:lpstr>
      <vt:lpstr>T_FET1</vt:lpstr>
      <vt:lpstr>T_j_DC_max</vt:lpstr>
      <vt:lpstr>T_jfet_max</vt:lpstr>
      <vt:lpstr>T_margin</vt:lpstr>
      <vt:lpstr>T_total</vt:lpstr>
      <vt:lpstr>Tcap</vt:lpstr>
      <vt:lpstr>Tfault</vt:lpstr>
      <vt:lpstr>UVLO_F</vt:lpstr>
      <vt:lpstr>UVLO_R</vt:lpstr>
      <vt:lpstr>V_bus_max</vt:lpstr>
      <vt:lpstr>V_sns_cl_max</vt:lpstr>
      <vt:lpstr>Vta</vt:lpstr>
      <vt:lpstr>Vtimer</vt:lpstr>
    </vt:vector>
  </TitlesOfParts>
  <Company>Texas Instruments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a0176617</dc:creator>
  <cp:lastModifiedBy>Chen, Kevin</cp:lastModifiedBy>
  <cp:lastPrinted>2013-09-03T16:10:45Z</cp:lastPrinted>
  <dcterms:created xsi:type="dcterms:W3CDTF">2010-02-16T22:54:47Z</dcterms:created>
  <dcterms:modified xsi:type="dcterms:W3CDTF">2019-03-12T12:45:45Z</dcterms:modified>
</cp:coreProperties>
</file>