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media/image3.wmf" ContentType="image/x-wmf"/>
  <Override PartName="/xl/media/image1.wmf" ContentType="image/x-wmf"/>
  <Override PartName="/xl/media/image2.wmf" ContentType="image/x-wmf"/>
  <Override PartName="/xl/styles.xml" ContentType="application/vnd.openxmlformats-officedocument.spreadsheetml.styles+xml"/>
  <Override PartName="/xl/workbook.xml" ContentType="application/vnd.openxmlformats-officedocument.spreadsheetml.sheet.main+xml"/>
  <Override PartName="/xl/worksheets/_rels/sheet4.xml.rels" ContentType="application/vnd.openxmlformats-package.relationships+xml"/>
  <Override PartName="/xl/worksheets/_rels/sheet1.xml.rels" ContentType="application/vnd.openxmlformats-package.relationships+xml"/>
  <Override PartName="/xl/worksheets/_rels/sheet3.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charts/chart4.xml" ContentType="application/vnd.openxmlformats-officedocument.drawingml.chart+xml"/>
  <Override PartName="/xl/charts/chart3.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3.xml" ContentType="application/vnd.openxmlformats-officedocument.spreadsheetml.comments+xml"/>
  <Override PartName="/xl/sharedStrings.xml" ContentType="application/vnd.openxmlformats-officedocument.spreadsheetml.sharedString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3.xml" ContentType="application/vnd.openxmlformats-officedocument.drawing+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2" activeTab="2"/>
  </bookViews>
  <sheets>
    <sheet name="Bode_Plot VOUT1" sheetId="1" state="hidden" r:id="rId2"/>
    <sheet name="Variable Management" sheetId="2" state="hidden" r:id="rId3"/>
    <sheet name="Calculator" sheetId="3" state="visible" r:id="rId4"/>
    <sheet name="BOM and Schematic" sheetId="4" state="visible" r:id="rId5"/>
    <sheet name="Sheet1" sheetId="5" state="hidden" r:id="rId6"/>
  </sheets>
  <externalReferences>
    <externalReference r:id="rId7"/>
    <externalReference r:id="rId8"/>
  </externalReferences>
  <definedNames>
    <definedName function="false" hidden="false" name="Aea" vbProcedure="false">'Bode_Plot VOUT1'!$R$18</definedName>
    <definedName function="false" hidden="false" name="Aol" vbProcedure="false">'Bode_Plot VOUT1'!$R$17</definedName>
    <definedName function="false" hidden="false" name="Cc1ea" vbProcedure="false">'Variable Management'!$B$107</definedName>
    <definedName function="false" hidden="false" name="Cc1ea_u" vbProcedure="false">'Variable Management'!$B$114</definedName>
    <definedName function="false" hidden="false" name="Cc2ea_u" vbProcedure="false">'Variable Management'!$B$115</definedName>
    <definedName function="false" hidden="false" name="Cc3ea_u" vbProcedure="false">'Variable Management'!$B$117</definedName>
    <definedName function="false" hidden="false" name="Ccomp" vbProcedure="false">Calculator!$C$66</definedName>
    <definedName function="false" hidden="false" name="Chf" vbProcedure="false">Ccomp/100</definedName>
    <definedName function="false" hidden="false" name="Cin" vbProcedure="false">'Variable Management'!$B$58</definedName>
    <definedName function="false" hidden="false" name="Cout" vbProcedure="false">'Variable Management'!$B$44</definedName>
    <definedName function="false" hidden="false" name="Cout1" vbProcedure="false">Calculator!$C$44</definedName>
    <definedName function="false" hidden="false" name="Cout2" vbProcedure="false">Calculator!$C$46</definedName>
    <definedName function="false" hidden="false" name="CoutEsr" vbProcedure="false">'Variable Management'!$B$50</definedName>
    <definedName function="false" hidden="false" name="Cout_Total" vbProcedure="false">Calculator!$C$49</definedName>
    <definedName function="false" hidden="false" name="Cr" vbProcedure="false">'[1]LM(2)5119 Calculator'!$D$44</definedName>
    <definedName function="false" hidden="false" name="Cs" vbProcedure="false">'variable management'!#ref!</definedName>
    <definedName function="false" hidden="false" name="Csideal" vbProcedure="false">'variable management'!#ref!</definedName>
    <definedName function="false" hidden="false" name="DC_Gain_Mod" vbProcedure="false">'Bode_Plot VOUT1'!$X$8</definedName>
    <definedName function="false" hidden="false" name="Deadtime" vbProcedure="false">'variable management'!#ref!</definedName>
    <definedName function="false" hidden="false" name="Dmax" vbProcedure="false">Vout/Vin_min</definedName>
    <definedName function="false" hidden="false" name="Vout" vbProcedure="false">Calculator!$C$16</definedName>
    <definedName function="false" hidden="false" name="Vin_min" vbProcedure="false">Calculator!$C$13</definedName>
    <definedName function="false" hidden="false" name="Dmin" vbProcedure="false">Vout/Vin_max</definedName>
    <definedName function="false" hidden="false" name="Vin_max" vbProcedure="false">Calculator!$C$14</definedName>
    <definedName function="false" hidden="false" name="Doff2" vbProcedure="false">'Variable Management'!$B$28</definedName>
    <definedName function="false" hidden="false" name="DTEST" vbProcedure="false">IF((1-Dmax)&lt;Dmin,Dmax,Dmin)</definedName>
    <definedName function="false" hidden="false" name="DUSE" vbProcedure="false">IF(AND(Dmin&lt;0.5,Dmax&lt;0.5),Dmin,IF(AND(Dmin&lt;0.5,Dmax&gt;0.5),DTEST,Dmax))</definedName>
    <definedName function="false" hidden="false" name="ESR" vbProcedure="false">Calculator!$C$48</definedName>
    <definedName function="false" hidden="false" name="Fbw" vbProcedure="false">calculator!#ref!</definedName>
    <definedName function="false" hidden="false" name="Fcross" vbProcedure="false">'Variable Management'!$B$100</definedName>
    <definedName function="false" hidden="false" name="Fo" vbProcedure="false">'Variable Management'!$B$120</definedName>
    <definedName function="false" hidden="false" name="Fsw" vbProcedure="false">'Variable Management'!$B$139:$B$140</definedName>
    <definedName function="false" hidden="false" name="GmTop" vbProcedure="false">'variable management'!#ref!</definedName>
    <definedName function="false" hidden="false" name="Ics" vbProcedure="false">'Variable Management'!$B$39</definedName>
    <definedName function="false" hidden="false" name="ILimit" vbProcedure="false">'Variable Management'!$B$38</definedName>
    <definedName function="false" hidden="false" name="Ilimit2" vbProcedure="false">'[2]Variable Management'!$B$45</definedName>
    <definedName function="false" hidden="false" name="Iload_margin" vbProcedure="false">Calculator!$C$34</definedName>
    <definedName function="false" hidden="false" name="IOUT" vbProcedure="false">Calculator!$C$17</definedName>
    <definedName function="false" hidden="false" name="Ipp" vbProcedure="false">Vout/(L*Fsw)*(1-Vout/Vin_max)*10^3</definedName>
    <definedName function="false" hidden="false" name="L" vbProcedure="false">Calculator!$C$31</definedName>
    <definedName function="false" hidden="false" name="Iq" vbProcedure="false">'variable management'!#ref!</definedName>
    <definedName function="false" hidden="false" name="Iripple1" vbProcedure="false">'Variable Management'!$B$30</definedName>
    <definedName function="false" hidden="false" name="Iuvlo1" vbProcedure="false">'Variable Management'!$B$83</definedName>
    <definedName function="false" hidden="false" name="Iuvlo2" vbProcedure="false">'Variable Management'!$C$84</definedName>
    <definedName function="false" hidden="false" name="I_load_ripple" vbProcedure="false">Calculator!$C$18</definedName>
    <definedName function="false" hidden="false" name="K" vbProcedure="false">calculator!#ref!</definedName>
    <definedName function="false" hidden="false" name="kfb" vbProcedure="false">'Bode_Plot VOUT1'!$R$24</definedName>
    <definedName function="false" hidden="false" name="Kmidband" vbProcedure="false">'Variable Management'!$B$101</definedName>
    <definedName function="false" hidden="false" name="Lout2" vbProcedure="false">'Variable Management'!$B$25</definedName>
    <definedName function="false" hidden="false" name="Max_Ave_Load" vbProcedure="false">Calculator!$C$17</definedName>
    <definedName function="false" hidden="false" name="Pi" vbProcedure="false">'Variable Management'!$B$128</definedName>
    <definedName function="false" hidden="false" name="PicTable" vbProcedure="false">'[1]LM(2)5119 Calculator'!$S$12:$T$13</definedName>
    <definedName function="false" hidden="false" name="Qg" vbProcedure="false">Calculator!$C$81</definedName>
    <definedName function="false" hidden="false" name="QgBot" vbProcedure="false">'variable management'!#ref!</definedName>
    <definedName function="false" hidden="false" name="QgdTop" vbProcedure="false">'variable management'!#ref!</definedName>
    <definedName function="false" hidden="false" name="QgsTop" vbProcedure="false">'variable management'!#ref!</definedName>
    <definedName function="false" hidden="false" name="QgTop" vbProcedure="false">'variable management'!#ref!</definedName>
    <definedName function="false" hidden="false" name="QrrBot" vbProcedure="false">'variable management'!#ref!</definedName>
    <definedName function="false" hidden="false" name="Rcea1" vbProcedure="false">'Variable Management'!$B$106</definedName>
    <definedName function="false" hidden="false" name="Rcea1_u" vbProcedure="false">'Variable Management'!$B$113</definedName>
    <definedName function="false" hidden="false" name="Rcea2" vbProcedure="false">'Variable Management'!$B$109</definedName>
    <definedName function="false" hidden="false" name="Rcea2_u" vbProcedure="false">'Variable Management'!$B$116</definedName>
    <definedName function="false" hidden="false" name="RCinEsr" vbProcedure="false">'Variable Management'!$B$60</definedName>
    <definedName function="false" hidden="false" name="Rcomp" vbProcedure="false">Calculator!$C$65</definedName>
    <definedName function="false" hidden="false" name="Rdcr" vbProcedure="false">'Variable Management'!$B$26</definedName>
    <definedName function="false" hidden="false" name="RdsonBot" vbProcedure="false">'variable management'!#ref!</definedName>
    <definedName function="false" hidden="false" name="RdsonDRT" vbProcedure="false">'variable management'!#ref!</definedName>
    <definedName function="false" hidden="false" name="RdsonTop" vbProcedure="false">'variable management'!#ref!</definedName>
    <definedName function="false" hidden="false" name="Rfb2_u" vbProcedure="false">'Variable Management'!$B$104</definedName>
    <definedName function="false" hidden="false" name="Rfets" vbProcedure="false">'Variable Management'!$B$130</definedName>
    <definedName function="false" hidden="false" name="RGateTop" vbProcedure="false">'variable management'!#ref!</definedName>
    <definedName function="false" hidden="false" name="Ripple_R" vbProcedure="false">IF(DUSE&lt;=0.5, (1-2*DUSE)/(1-DUSE),(1-2*(1-DUSE))/(1-(1-DUSE)))</definedName>
    <definedName function="false" hidden="false" name="Rload" vbProcedure="false">'Bode_Plot VOUT1'!$X$7</definedName>
    <definedName function="false" hidden="false" name="Ro" vbProcedure="false">'Variable Management'!$B$127</definedName>
    <definedName function="false" hidden="false" name="Rramp" vbProcedure="false">Calculator!$C$43</definedName>
    <definedName function="false" hidden="false" name="Rs" vbProcedure="false">'variable management'!#ref!</definedName>
    <definedName function="false" hidden="false" name="Rset" vbProcedure="false">'variable management'!#ref!</definedName>
    <definedName function="false" hidden="false" name="Rss" vbProcedure="false">Calculator!$C$39</definedName>
    <definedName function="false" hidden="false" name="Ruvlo1" vbProcedure="false">'Variable Management'!$B$74</definedName>
    <definedName function="false" hidden="false" name="ThetaJaCtrl" vbProcedure="false">'variable management'!#ref!</definedName>
    <definedName function="false" hidden="false" name="TL" vbProcedure="false">'Variable Management'!$B$32</definedName>
    <definedName function="false" hidden="false" name="Totp" vbProcedure="false">'Variable Management'!$B$15</definedName>
    <definedName function="false" hidden="false" name="tss" vbProcedure="false">Calculator!$C$70</definedName>
    <definedName function="false" hidden="false" name="Vdd" vbProcedure="false">'variable management'!#ref!</definedName>
    <definedName function="false" hidden="false" name="Vin" vbProcedure="false">'Variable Management'!$B$7</definedName>
    <definedName function="false" hidden="false" name="Vinripple1" vbProcedure="false">'Variable Management'!$B$55</definedName>
    <definedName function="false" hidden="false" name="VINuvlo_off" vbProcedure="false">'Variable Management'!$B$73</definedName>
    <definedName function="false" hidden="false" name="VINuvlo_on" vbProcedure="false">'Variable Management'!$B$72</definedName>
    <definedName function="false" hidden="false" name="Vin_UV" vbProcedure="false">Calculator!$C$59</definedName>
    <definedName function="false" hidden="false" name="VOUT1" vbProcedure="false">'Variable Management'!$B$141:$B$142</definedName>
    <definedName function="false" hidden="false" name="VOUT2" vbProcedure="false">'Variable Management'!$B$144:$B$145</definedName>
    <definedName function="false" hidden="false" name="Vref" vbProcedure="false">'Variable Management'!$B$13</definedName>
    <definedName function="false" hidden="false" name="Vripple1" vbProcedure="false">'Variable Management'!$B$29</definedName>
    <definedName function="false" hidden="false" name="VsdBot" vbProcedure="false">'variable management'!#ref!</definedName>
    <definedName function="false" hidden="false" name="VsdTop" vbProcedure="false">'variable management'!#ref!</definedName>
    <definedName function="false" hidden="false" name="Vsense" vbProcedure="false">'Variable Management'!$B$137:$B$138</definedName>
    <definedName function="false" hidden="false" name="VspTop" vbProcedure="false">'variable management'!#ref!</definedName>
    <definedName function="false" hidden="false" name="VthTop" vbProcedure="false">'variable management'!#ref!</definedName>
    <definedName function="false" hidden="false" name="Vuvlo_off" vbProcedure="false">'Variable Management'!$B$81</definedName>
    <definedName function="false" hidden="false" name="Vuvlo_on" vbProcedure="false">'Variable Management'!$B$80</definedName>
    <definedName function="false" hidden="false" name="w" vbProcedure="false">'Bode_Plot VOUT1'!$D$2:$D$24</definedName>
    <definedName function="false" hidden="false" name="wbw" vbProcedure="false">2*PI()*3000000</definedName>
    <definedName function="false" hidden="false" name="whf" vbProcedure="false">(Chf+Ccomp)/(Rcomp*Chf*Ccomp)*10^9</definedName>
    <definedName function="false" hidden="false" name="wn" vbProcedure="false">'Bode_Plot VOUT1'!$R$5</definedName>
    <definedName function="false" hidden="false" name="wp" vbProcedure="false">'Bode_Plot VOUT1'!$R$3</definedName>
    <definedName function="false" hidden="false" name="wpole" vbProcedure="false">10^9/(_Rfb2*(Ccomp+Chf))</definedName>
    <definedName function="false" hidden="false" name="_Rfb2" vbProcedure="false">'[1]LM(2)5119 Calculator'!$D$59</definedName>
    <definedName function="false" hidden="false" name="wz" vbProcedure="false">'Bode_Plot VOUT1'!$R$4</definedName>
    <definedName function="false" hidden="false" name="Wzero" vbProcedure="false">10^9/(Rcomp*Ccomp)</definedName>
    <definedName function="false" hidden="false" name="zea" vbProcedure="false">'Bode_Plot VOUT1'!$T$2:$T$24</definedName>
    <definedName function="false" hidden="false" name="_Don1" vbProcedure="false">'Variable Management'!$B$20</definedName>
    <definedName function="false" hidden="false" name="_Don2" vbProcedure="false">'Variable Management'!$B$27</definedName>
    <definedName function="false" hidden="false" name="_RFB1" vbProcedure="false">Calculator!$C$60</definedName>
    <definedName function="false" hidden="false" name="_Ruv2" vbProcedure="false">calculator!#ref!</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AK</author>
  </authors>
  <commentList>
    <comment ref="C32" authorId="0">
      <text>
        <r>
          <rPr>
            <sz val="8"/>
            <color rgb="FF000000"/>
            <rFont val="Tahoma"/>
            <family val="2"/>
            <charset val="1"/>
          </rPr>
          <t xml:space="preserve">Select the nearest standard inductor value.  During an overload condition the peak inductor current will reach the current limit threshold of the LM(2)5119.  The selected inductor must have sufficient current capability to withstand a short circuit condition.
</t>
        </r>
      </text>
    </comment>
    <comment ref="C35" authorId="0">
      <text>
        <r>
          <rPr>
            <sz val="8"/>
            <color rgb="FF000000"/>
            <rFont val="Tahoma"/>
            <family val="2"/>
            <charset val="1"/>
          </rPr>
          <t xml:space="preserve">Some margin beyond the maximum load current is recommended for the current limit threshold.  Usually, 20% is a safe number to guarantee desired current capability with normal tolerances.
</t>
        </r>
      </text>
    </comment>
    <comment ref="C49" authorId="0">
      <text>
        <r>
          <rPr>
            <sz val="8"/>
            <color rgb="FF000000"/>
            <rFont val="Tahoma"/>
            <family val="2"/>
            <charset val="1"/>
          </rPr>
          <t xml:space="preserve">The value of ESR is used to calculate the output ripple voltage and is used in the closed loop compensation calculations.
</t>
        </r>
      </text>
    </comment>
    <comment ref="C55" authorId="0">
      <text>
        <r>
          <rPr>
            <sz val="8"/>
            <color rgb="FF000000"/>
            <rFont val="Tahoma"/>
            <family val="2"/>
            <charset val="1"/>
          </rPr>
          <t xml:space="preserve">This is the value of the input capacitor based on two Channels. </t>
        </r>
      </text>
    </comment>
    <comment ref="C61" authorId="0">
      <text>
        <r>
          <rPr>
            <sz val="8"/>
            <color rgb="FF000000"/>
            <rFont val="Tahoma"/>
            <family val="2"/>
            <charset val="1"/>
          </rPr>
          <t xml:space="preserve">Rfb1 should be chosen to limit power dippipation in the output divider.  The value of Rfb2 is calculated based on Rfb1</t>
        </r>
        <r>
          <rPr>
            <b val="true"/>
            <sz val="8"/>
            <color rgb="FF000000"/>
            <rFont val="Tahoma"/>
            <family val="2"/>
            <charset val="1"/>
          </rPr>
          <t xml:space="preserve">.
</t>
        </r>
      </text>
    </comment>
    <comment ref="C65" authorId="0">
      <text>
        <r>
          <rPr>
            <sz val="8"/>
            <color rgb="FF000000"/>
            <rFont val="Tahoma"/>
            <family val="2"/>
            <charset val="1"/>
          </rPr>
          <t xml:space="preserve">Enter a target bandwith for the converter.  It should be at least one order of magnitude less than the switching frequency.</t>
        </r>
      </text>
    </comment>
    <comment ref="C69" authorId="0">
      <text>
        <r>
          <rPr>
            <sz val="8"/>
            <color rgb="FF000000"/>
            <rFont val="Tahoma"/>
            <family val="2"/>
            <charset val="1"/>
          </rPr>
          <t xml:space="preserve">Chf creates a pole to roll off the error amplifier gain.  The pole is set to 10 times the regulator bandwidth if Chf is chosen as Chf=Ccomp/100.
For output capacitors with high ESR, Chf is chosen as:
Chf = Cout*ESR/Rcomp.</t>
        </r>
      </text>
    </comment>
    <comment ref="C71" authorId="0">
      <text>
        <r>
          <rPr>
            <sz val="8"/>
            <color rgb="FF000000"/>
            <rFont val="Tahoma"/>
            <family val="2"/>
            <charset val="1"/>
          </rPr>
          <t xml:space="preserve">This is the time for the reference voltage and output voltage to reach their final value.  It should be substantially longer than the time required to charge Cout to Vout at the maximum output current.
</t>
        </r>
      </text>
    </comment>
    <comment ref="C77" authorId="0">
      <text>
        <r>
          <rPr>
            <sz val="8"/>
            <color rgb="FF000000"/>
            <rFont val="Tahoma"/>
            <family val="2"/>
            <charset val="1"/>
          </rPr>
          <t xml:space="preserve">To estimate the minimum capacitance, enter the gate charge for the low-side MOSFET (QG) from the MOSFET data sheet specification table or typical gate charge curve.
QG is also used to calculate the Power Dissipation.</t>
        </r>
      </text>
    </comment>
    <comment ref="C81" authorId="0">
      <text>
        <r>
          <rPr>
            <sz val="8"/>
            <color rgb="FF000000"/>
            <rFont val="Tahoma"/>
            <family val="2"/>
            <charset val="1"/>
          </rPr>
          <t xml:space="preserve">To estimate the minimum capacitance, enter the gate charge for the low-side MOSFET (QG) from the MOSFET data sheet specification table or typical gate charge curve.
QG is also used to calculate the Power Dissipation.</t>
        </r>
      </text>
    </comment>
    <comment ref="C90" authorId="0">
      <text>
        <r>
          <rPr>
            <sz val="8"/>
            <color rgb="FF000000"/>
            <rFont val="Tahoma"/>
            <family val="2"/>
            <charset val="1"/>
          </rPr>
          <t xml:space="preserve">Restart time is the off time between hiccup cycles and determines the power dissipation in current limit.</t>
        </r>
      </text>
    </comment>
  </commentList>
</comments>
</file>

<file path=xl/sharedStrings.xml><?xml version="1.0" encoding="utf-8"?>
<sst xmlns="http://schemas.openxmlformats.org/spreadsheetml/2006/main" count="459" uniqueCount="361">
  <si>
    <t xml:space="preserve">Frequency (Hz)</t>
  </si>
  <si>
    <t xml:space="preserve">Frequency (rad/sec)</t>
  </si>
  <si>
    <t xml:space="preserve">Modulator
Gain
(dB)</t>
  </si>
  <si>
    <t xml:space="preserve">Modulator
Phase
(deg)</t>
  </si>
  <si>
    <t xml:space="preserve">Error Amplifier Gain
(dB)</t>
  </si>
  <si>
    <t xml:space="preserve">Error Amplifier Phase (deg)</t>
  </si>
  <si>
    <t xml:space="preserve">Loop
Gain
(dB)</t>
  </si>
  <si>
    <t xml:space="preserve">Loop
Phase
(deg)         </t>
  </si>
  <si>
    <t xml:space="preserve">Frequency Compensation Parameters</t>
  </si>
  <si>
    <t xml:space="preserve">Zea</t>
  </si>
  <si>
    <t xml:space="preserve">ωp</t>
  </si>
  <si>
    <t xml:space="preserve">ωz</t>
  </si>
  <si>
    <t xml:space="preserve">wn</t>
  </si>
  <si>
    <t xml:space="preserve">Additional Definitions</t>
  </si>
  <si>
    <t xml:space="preserve">wn^2</t>
  </si>
  <si>
    <t xml:space="preserve">wzero</t>
  </si>
  <si>
    <t xml:space="preserve">RLOAD</t>
  </si>
  <si>
    <t xml:space="preserve">wpole</t>
  </si>
  <si>
    <t xml:space="preserve">DC GAIN MOD</t>
  </si>
  <si>
    <t xml:space="preserve">ωhf</t>
  </si>
  <si>
    <t xml:space="preserve">VCC</t>
  </si>
  <si>
    <t xml:space="preserve">wbw</t>
  </si>
  <si>
    <t xml:space="preserve">RAMP</t>
  </si>
  <si>
    <t xml:space="preserve">Ge</t>
  </si>
  <si>
    <t xml:space="preserve">Q</t>
  </si>
  <si>
    <t xml:space="preserve">Aol</t>
  </si>
  <si>
    <t xml:space="preserve">Aea</t>
  </si>
  <si>
    <t xml:space="preserve">wo</t>
  </si>
  <si>
    <t xml:space="preserve">Kfb</t>
  </si>
  <si>
    <t xml:space="preserve">Excel Variables Names/Calculations</t>
  </si>
  <si>
    <r>
      <rPr>
        <sz val="11"/>
        <color rgb="FF000000"/>
        <rFont val="Calibri"/>
        <family val="2"/>
        <charset val="1"/>
      </rPr>
      <t xml:space="preserve">V</t>
    </r>
    <r>
      <rPr>
        <vertAlign val="subscript"/>
        <sz val="11"/>
        <color rgb="FF000000"/>
        <rFont val="Calibri"/>
        <family val="2"/>
        <charset val="1"/>
      </rPr>
      <t xml:space="preserve">IN(nom)</t>
    </r>
  </si>
  <si>
    <t xml:space="preserve">Input from user =</t>
  </si>
  <si>
    <t xml:space="preserve">Output =</t>
  </si>
  <si>
    <t xml:space="preserve">Constant</t>
  </si>
  <si>
    <t xml:space="preserve">Variable Name</t>
  </si>
  <si>
    <t xml:space="preserve">Value</t>
  </si>
  <si>
    <t xml:space="preserve">STD Units</t>
  </si>
  <si>
    <t xml:space="preserve">Notes</t>
  </si>
  <si>
    <t xml:space="preserve">iteration</t>
  </si>
  <si>
    <t xml:space="preserve">Step 1: Operational Specs</t>
  </si>
  <si>
    <t xml:space="preserve">Vin</t>
  </si>
  <si>
    <t xml:space="preserve">V</t>
  </si>
  <si>
    <t xml:space="preserve">Nominal input voltage</t>
  </si>
  <si>
    <t xml:space="preserve">VOUT1</t>
  </si>
  <si>
    <t xml:space="preserve">Output Voltage</t>
  </si>
  <si>
    <t xml:space="preserve">IOUT1</t>
  </si>
  <si>
    <t xml:space="preserve">A</t>
  </si>
  <si>
    <t xml:space="preserve">Maximum output Current</t>
  </si>
  <si>
    <t xml:space="preserve">Fsw</t>
  </si>
  <si>
    <t xml:space="preserve">Hz</t>
  </si>
  <si>
    <t xml:space="preserve">Nominal Operational Frequency</t>
  </si>
  <si>
    <t xml:space="preserve">Vref</t>
  </si>
  <si>
    <t xml:space="preserve">Reference Voltage</t>
  </si>
  <si>
    <t xml:space="preserve">Rfadj</t>
  </si>
  <si>
    <t xml:space="preserve">W</t>
  </si>
  <si>
    <t xml:space="preserve">CDITHER</t>
  </si>
  <si>
    <t xml:space="preserve">Step 2: Inductor</t>
  </si>
  <si>
    <t xml:space="preserve">Donmin1</t>
  </si>
  <si>
    <t xml:space="preserve">index</t>
  </si>
  <si>
    <t xml:space="preserve">ideal Duty Cycle</t>
  </si>
  <si>
    <t xml:space="preserve">Doffmax1</t>
  </si>
  <si>
    <t xml:space="preserve">Ideal 1- Duty Cycle</t>
  </si>
  <si>
    <t xml:space="preserve">Donmin2</t>
  </si>
  <si>
    <t xml:space="preserve">Donmax2</t>
  </si>
  <si>
    <t xml:space="preserve">Lout1</t>
  </si>
  <si>
    <t xml:space="preserve">Calculated Inductor value for 30% ripple</t>
  </si>
  <si>
    <t xml:space="preserve">Chosen Inductor Value</t>
  </si>
  <si>
    <t xml:space="preserve">Rdcr1</t>
  </si>
  <si>
    <t xml:space="preserve">DCR</t>
  </si>
  <si>
    <t xml:space="preserve">Duty Cycle with DCR accounted for</t>
  </si>
  <si>
    <t xml:space="preserve">s</t>
  </si>
  <si>
    <t xml:space="preserve">Step 3: Current Limit</t>
  </si>
  <si>
    <t xml:space="preserve">Common Circuit (Y/N)?</t>
  </si>
  <si>
    <t xml:space="preserve">yes</t>
  </si>
  <si>
    <t xml:space="preserve">no</t>
  </si>
  <si>
    <t xml:space="preserve">Ilimit</t>
  </si>
  <si>
    <t xml:space="preserve">Chosen current limit level</t>
  </si>
  <si>
    <t xml:space="preserve">Step 4: Output Capacitor</t>
  </si>
  <si>
    <t xml:space="preserve">Icoutrms</t>
  </si>
  <si>
    <t xml:space="preserve">Output Cap rms current</t>
  </si>
  <si>
    <t xml:space="preserve">Coutmin</t>
  </si>
  <si>
    <t xml:space="preserve">F</t>
  </si>
  <si>
    <t xml:space="preserve">Minimum Output Capacitnace</t>
  </si>
  <si>
    <r>
      <rPr>
        <sz val="11"/>
        <color rgb="FF000000"/>
        <rFont val="Calibri"/>
        <family val="2"/>
        <charset val="1"/>
      </rPr>
      <t xml:space="preserve">C</t>
    </r>
    <r>
      <rPr>
        <vertAlign val="subscript"/>
        <sz val="11"/>
        <color rgb="FF000000"/>
        <rFont val="Calibri"/>
        <family val="2"/>
        <charset val="1"/>
      </rPr>
      <t xml:space="preserve">OUT1</t>
    </r>
  </si>
  <si>
    <r>
      <rPr>
        <sz val="11"/>
        <color rgb="FF000000"/>
        <rFont val="Calibri"/>
        <family val="2"/>
        <charset val="1"/>
      </rPr>
      <t xml:space="preserve">C</t>
    </r>
    <r>
      <rPr>
        <vertAlign val="subscript"/>
        <sz val="11"/>
        <color rgb="FF000000"/>
        <rFont val="Calibri"/>
        <family val="2"/>
        <charset val="1"/>
      </rPr>
      <t xml:space="preserve">OUT3</t>
    </r>
  </si>
  <si>
    <r>
      <rPr>
        <sz val="11"/>
        <color rgb="FF000000"/>
        <rFont val="Calibri"/>
        <family val="2"/>
        <charset val="1"/>
      </rPr>
      <t xml:space="preserve">C</t>
    </r>
    <r>
      <rPr>
        <vertAlign val="subscript"/>
        <sz val="11"/>
        <color rgb="FF000000"/>
        <rFont val="Calibri"/>
        <family val="2"/>
        <charset val="1"/>
      </rPr>
      <t xml:space="preserve">OUT4</t>
    </r>
  </si>
  <si>
    <t xml:space="preserve">Resr1</t>
  </si>
  <si>
    <t xml:space="preserve">Max ESR before ripple exceeds Vripple1</t>
  </si>
  <si>
    <t xml:space="preserve">Vout1 ripple</t>
  </si>
  <si>
    <t xml:space="preserve">Chosen ESR</t>
  </si>
  <si>
    <t xml:space="preserve">Step 5: Input Capacitor</t>
  </si>
  <si>
    <t xml:space="preserve">Vinripple1</t>
  </si>
  <si>
    <t xml:space="preserve">Vp-p</t>
  </si>
  <si>
    <t xml:space="preserve">Icinrms</t>
  </si>
  <si>
    <t xml:space="preserve">Cinmin</t>
  </si>
  <si>
    <t xml:space="preserve">Cin</t>
  </si>
  <si>
    <t xml:space="preserve">CVIN ripple</t>
  </si>
  <si>
    <t xml:space="preserve">RCinEsr</t>
  </si>
  <si>
    <t xml:space="preserve">Input capacitance series resistance (ESR)</t>
  </si>
  <si>
    <t xml:space="preserve">Vinripple2</t>
  </si>
  <si>
    <t xml:space="preserve">Step 6: Soft Start</t>
  </si>
  <si>
    <t xml:space="preserve">Tss1</t>
  </si>
  <si>
    <t xml:space="preserve">Soft Start Time</t>
  </si>
  <si>
    <t xml:space="preserve">TSS2</t>
  </si>
  <si>
    <t xml:space="preserve">Load Cap current during soft start</t>
  </si>
  <si>
    <t xml:space="preserve">Css</t>
  </si>
  <si>
    <t xml:space="preserve">CBST</t>
  </si>
  <si>
    <t xml:space="preserve">Step 7: Other Components</t>
  </si>
  <si>
    <t xml:space="preserve">RCOMP1</t>
  </si>
  <si>
    <t xml:space="preserve">RCOMP2</t>
  </si>
  <si>
    <t xml:space="preserve">COMP1</t>
  </si>
  <si>
    <t xml:space="preserve">kΩ</t>
  </si>
  <si>
    <t xml:space="preserve">COMP2</t>
  </si>
  <si>
    <t xml:space="preserve">Cres</t>
  </si>
  <si>
    <t xml:space="preserve">RFB1</t>
  </si>
  <si>
    <t xml:space="preserve">RFB2</t>
  </si>
  <si>
    <t xml:space="preserve">RFB3</t>
  </si>
  <si>
    <t xml:space="preserve">RFB4</t>
  </si>
  <si>
    <t xml:space="preserve">Step 8: Compensation</t>
  </si>
  <si>
    <t xml:space="preserve">Eadcg</t>
  </si>
  <si>
    <t xml:space="preserve">V/V</t>
  </si>
  <si>
    <t xml:space="preserve">Error Amplifier Finite DC Gain (AOL)</t>
  </si>
  <si>
    <t xml:space="preserve">GBP</t>
  </si>
  <si>
    <t xml:space="preserve">Error Amplifier Gain Bandwidth Product (GBW)</t>
  </si>
  <si>
    <t xml:space="preserve">Chosen Crossover</t>
  </si>
  <si>
    <t xml:space="preserve">Kmidband</t>
  </si>
  <si>
    <t xml:space="preserve">Midband Gain For the Error Amplifier</t>
  </si>
  <si>
    <t xml:space="preserve">Rfb1</t>
  </si>
  <si>
    <t xml:space="preserve">Top Feedback Resistor</t>
  </si>
  <si>
    <t xml:space="preserve">Rfb2</t>
  </si>
  <si>
    <t xml:space="preserve">Bottom Feedback Resistor</t>
  </si>
  <si>
    <t xml:space="preserve">Rfb2_u</t>
  </si>
  <si>
    <t xml:space="preserve">User Chosen Feedback Resistor</t>
  </si>
  <si>
    <t xml:space="preserve">Vramp</t>
  </si>
  <si>
    <t xml:space="preserve">Peak-to-Peak Ramp Voltage of PWM</t>
  </si>
  <si>
    <t xml:space="preserve">Rcea1</t>
  </si>
  <si>
    <t xml:space="preserve">This component will first set the midband gain</t>
  </si>
  <si>
    <t xml:space="preserve">Cc1ea</t>
  </si>
  <si>
    <t xml:space="preserve">This along with Rcea1 will set a zero</t>
  </si>
  <si>
    <t xml:space="preserve">Cc2ea</t>
  </si>
  <si>
    <t xml:space="preserve">Rcea2</t>
  </si>
  <si>
    <t xml:space="preserve">Cc3ea</t>
  </si>
  <si>
    <r>
      <rPr>
        <b val="true"/>
        <sz val="10"/>
        <rFont val="Arial"/>
        <family val="2"/>
        <charset val="1"/>
      </rPr>
      <t xml:space="preserve">Choosen Compensation Components from the </t>
    </r>
    <r>
      <rPr>
        <b val="true"/>
        <u val="single"/>
        <sz val="10"/>
        <color rgb="FFFF0000"/>
        <rFont val="Arial"/>
        <family val="2"/>
        <charset val="1"/>
      </rPr>
      <t xml:space="preserve">standard value sheet</t>
    </r>
  </si>
  <si>
    <t xml:space="preserve">Rcea1_u</t>
  </si>
  <si>
    <t xml:space="preserve">Cc1ea_u</t>
  </si>
  <si>
    <t xml:space="preserve">Cc2ea_u</t>
  </si>
  <si>
    <t xml:space="preserve">Rcea2_u</t>
  </si>
  <si>
    <t xml:space="preserve">Cc3ea_u</t>
  </si>
  <si>
    <t xml:space="preserve">Resulting Poles/Zero/Q Locations</t>
  </si>
  <si>
    <t xml:space="preserve">Fo</t>
  </si>
  <si>
    <t xml:space="preserve">LC Double Pole Location</t>
  </si>
  <si>
    <t xml:space="preserve">Quality Factor of LC output Filter</t>
  </si>
  <si>
    <t xml:space="preserve">Fesr</t>
  </si>
  <si>
    <t xml:space="preserve">Cout ESR Zero Location</t>
  </si>
  <si>
    <t xml:space="preserve">Fz1</t>
  </si>
  <si>
    <t xml:space="preserve">This zero is set at or below the double pole location</t>
  </si>
  <si>
    <t xml:space="preserve">Fz2</t>
  </si>
  <si>
    <t xml:space="preserve">Fp1</t>
  </si>
  <si>
    <t xml:space="preserve">This pole cancels the zero from the Output Cap ESR</t>
  </si>
  <si>
    <t xml:space="preserve">Fp2</t>
  </si>
  <si>
    <t xml:space="preserve">This pole is set at half the switching frequency</t>
  </si>
  <si>
    <t xml:space="preserve">Ro</t>
  </si>
  <si>
    <t xml:space="preserve">Output Resistance</t>
  </si>
  <si>
    <t xml:space="preserve">Pi</t>
  </si>
  <si>
    <t xml:space="preserve">PI</t>
  </si>
  <si>
    <t xml:space="preserve">Other Input Variables</t>
  </si>
  <si>
    <t xml:space="preserve">Rfets</t>
  </si>
  <si>
    <t xml:space="preserve">Series resistance due to FETs</t>
  </si>
  <si>
    <t xml:space="preserve">Diode loss eq res</t>
  </si>
  <si>
    <t xml:space="preserve">Fet loss eq res</t>
  </si>
  <si>
    <t xml:space="preserve">cap loss eq res</t>
  </si>
  <si>
    <t xml:space="preserve">Sw cap</t>
  </si>
  <si>
    <t xml:space="preserve">Vsense</t>
  </si>
  <si>
    <t xml:space="preserve">VOUT2</t>
  </si>
  <si>
    <t xml:space="preserve">Bottom FET/Diode</t>
  </si>
  <si>
    <t xml:space="preserve">Part Power</t>
  </si>
  <si>
    <t xml:space="preserve">Power Dis</t>
  </si>
  <si>
    <t xml:space="preserve">SCHEMATIC LABELS</t>
  </si>
  <si>
    <t xml:space="preserve">RC1 = 4.64kΩ</t>
  </si>
  <si>
    <t xml:space="preserve">4.64kΩ</t>
  </si>
  <si>
    <t xml:space="preserve">LOUT = 1uH</t>
  </si>
  <si>
    <t xml:space="preserve">1µH</t>
  </si>
  <si>
    <t xml:space="preserve">Rdcr = 1.1mΩ</t>
  </si>
  <si>
    <t xml:space="preserve">1.1mΩ</t>
  </si>
  <si>
    <t xml:space="preserve">VOUT = 1.2V</t>
  </si>
  <si>
    <t xml:space="preserve">1.2V</t>
  </si>
  <si>
    <t xml:space="preserve">COUT = 220uF</t>
  </si>
  <si>
    <t xml:space="preserve">220µF</t>
  </si>
  <si>
    <t xml:space="preserve">Capacitance per component (Cout)</t>
  </si>
  <si>
    <t xml:space="preserve"># of output caps</t>
  </si>
  <si>
    <t xml:space="preserve">CIN</t>
  </si>
  <si>
    <t xml:space="preserve">Capacitance per component (Cin)</t>
  </si>
  <si>
    <t xml:space="preserve"># of input caps</t>
  </si>
  <si>
    <t xml:space="preserve">RFB1 = 10kΩ</t>
  </si>
  <si>
    <t xml:space="preserve">10kΩ</t>
  </si>
  <si>
    <t xml:space="preserve">RFB2 = 10kΩ</t>
  </si>
  <si>
    <t xml:space="preserve">Crossover Frequency = 44 kHz</t>
  </si>
  <si>
    <t xml:space="preserve">44 kHz</t>
  </si>
  <si>
    <t xml:space="preserve">Phase Margin = 71°</t>
  </si>
  <si>
    <t xml:space="preserve">71°</t>
  </si>
  <si>
    <t xml:space="preserve">4.53kΩ</t>
  </si>
  <si>
    <t xml:space="preserve">Rset</t>
  </si>
  <si>
    <t xml:space="preserve">3.09kΩ</t>
  </si>
  <si>
    <t xml:space="preserve">Rs</t>
  </si>
  <si>
    <t xml:space="preserve">Rotp</t>
  </si>
  <si>
    <t xml:space="preserve">84.5kΩ</t>
  </si>
  <si>
    <t xml:space="preserve">Rpgood</t>
  </si>
  <si>
    <t xml:space="preserve">20kΩ</t>
  </si>
  <si>
    <t xml:space="preserve">47.5kΩ</t>
  </si>
  <si>
    <t xml:space="preserve">47nF</t>
  </si>
  <si>
    <t xml:space="preserve">Cd</t>
  </si>
  <si>
    <t xml:space="preserve">1nF</t>
  </si>
  <si>
    <t xml:space="preserve">Blank out</t>
  </si>
  <si>
    <t xml:space="preserve">About</t>
  </si>
  <si>
    <t xml:space="preserve">Terms of Use</t>
  </si>
  <si>
    <t xml:space="preserve">Step 1 General Requirements</t>
  </si>
  <si>
    <r>
      <rPr>
        <sz val="10"/>
        <rFont val="Arial"/>
        <family val="2"/>
        <charset val="1"/>
      </rPr>
      <t xml:space="preserve">V</t>
    </r>
    <r>
      <rPr>
        <vertAlign val="subscript"/>
        <sz val="10"/>
        <rFont val="Arial"/>
        <family val="2"/>
        <charset val="1"/>
      </rPr>
      <t xml:space="preserve">IN</t>
    </r>
    <r>
      <rPr>
        <sz val="10"/>
        <rFont val="Arial"/>
        <family val="2"/>
        <charset val="1"/>
      </rPr>
      <t xml:space="preserve">(min) (V)</t>
    </r>
  </si>
  <si>
    <r>
      <rPr>
        <sz val="10"/>
        <rFont val="Arial"/>
        <family val="2"/>
        <charset val="1"/>
      </rPr>
      <t xml:space="preserve">V</t>
    </r>
    <r>
      <rPr>
        <vertAlign val="subscript"/>
        <sz val="10"/>
        <rFont val="Arial"/>
        <family val="2"/>
        <charset val="1"/>
      </rPr>
      <t xml:space="preserve">IN</t>
    </r>
    <r>
      <rPr>
        <sz val="10"/>
        <rFont val="Arial"/>
        <family val="2"/>
        <charset val="1"/>
      </rPr>
      <t xml:space="preserve">(nom)</t>
    </r>
  </si>
  <si>
    <r>
      <rPr>
        <sz val="10"/>
        <rFont val="Arial"/>
        <family val="2"/>
        <charset val="1"/>
      </rPr>
      <t xml:space="preserve">V</t>
    </r>
    <r>
      <rPr>
        <vertAlign val="subscript"/>
        <sz val="10"/>
        <rFont val="Arial"/>
        <family val="2"/>
        <charset val="1"/>
      </rPr>
      <t xml:space="preserve">IN</t>
    </r>
    <r>
      <rPr>
        <sz val="10"/>
        <rFont val="Arial"/>
        <family val="2"/>
        <charset val="1"/>
      </rPr>
      <t xml:space="preserve">(max) (V)</t>
    </r>
  </si>
  <si>
    <t xml:space="preserve">Vout is set by connecting the FB pin to VCC for a 3.3V output, GND for a 5.0V output, or an external voltage divider</t>
  </si>
  <si>
    <r>
      <rPr>
        <sz val="10"/>
        <rFont val="Arial"/>
        <family val="2"/>
        <charset val="1"/>
      </rPr>
      <t xml:space="preserve">V</t>
    </r>
    <r>
      <rPr>
        <vertAlign val="subscript"/>
        <sz val="10"/>
        <rFont val="Arial"/>
        <family val="2"/>
        <charset val="1"/>
      </rPr>
      <t xml:space="preserve">OUT</t>
    </r>
    <r>
      <rPr>
        <sz val="10"/>
        <rFont val="Arial"/>
        <family val="2"/>
        <charset val="1"/>
      </rPr>
      <t xml:space="preserve"> (V)</t>
    </r>
  </si>
  <si>
    <t xml:space="preserve">Max. Load Current (A)</t>
  </si>
  <si>
    <t xml:space="preserve">Minimum Duty Cycle</t>
  </si>
  <si>
    <t xml:space="preserve">Maximum Duty Cycle</t>
  </si>
  <si>
    <t xml:space="preserve">Step 2 LM5141 CL threshold 75mV.</t>
  </si>
  <si>
    <t xml:space="preserve">Vsense (V)</t>
  </si>
  <si>
    <t xml:space="preserve">Step 3 Oscillator Frequency</t>
  </si>
  <si>
    <t xml:space="preserve">  Cell C23 calculates the RT resistor, enter the desired RT Frequency 1.8MHz to 2.53MHz</t>
  </si>
  <si>
    <t xml:space="preserve">MHz</t>
  </si>
  <si>
    <r>
      <rPr>
        <sz val="10"/>
        <rFont val="Arial"/>
        <family val="2"/>
        <charset val="1"/>
      </rPr>
      <t xml:space="preserve">RT k</t>
    </r>
    <r>
      <rPr>
        <sz val="10"/>
        <rFont val="Calibri"/>
        <family val="2"/>
        <charset val="1"/>
      </rPr>
      <t xml:space="preserve">Ω</t>
    </r>
  </si>
  <si>
    <t xml:space="preserve">Cell C25 calculates the RT resistor, enter the desired RT Frequency 300kHz-500kHz</t>
  </si>
  <si>
    <t xml:space="preserve">kHz</t>
  </si>
  <si>
    <t xml:space="preserve">RT kHz</t>
  </si>
  <si>
    <t xml:space="preserve">Enter either oscillator frequency 2.2 MHz,  440 kHz, RT frequency, or SYNC frequency </t>
  </si>
  <si>
    <r>
      <rPr>
        <sz val="10"/>
        <rFont val="Arial"/>
        <family val="2"/>
        <charset val="1"/>
      </rPr>
      <t xml:space="preserve">F</t>
    </r>
    <r>
      <rPr>
        <vertAlign val="subscript"/>
        <sz val="10"/>
        <rFont val="Arial"/>
        <family val="2"/>
        <charset val="1"/>
      </rPr>
      <t xml:space="preserve">SW </t>
    </r>
    <r>
      <rPr>
        <sz val="10"/>
        <rFont val="Arial"/>
        <family val="2"/>
        <charset val="1"/>
      </rPr>
      <t xml:space="preserve">(Hz)</t>
    </r>
  </si>
  <si>
    <r>
      <rPr>
        <b val="true"/>
        <sz val="14"/>
        <color rgb="FF0070C0"/>
        <rFont val="Arial"/>
        <family val="2"/>
        <charset val="1"/>
      </rPr>
      <t xml:space="preserve">Enter the Dither modulation Frequency (F</t>
    </r>
    <r>
      <rPr>
        <b val="true"/>
        <vertAlign val="subscript"/>
        <sz val="14"/>
        <color rgb="FF0070C0"/>
        <rFont val="Arial"/>
        <family val="2"/>
        <charset val="1"/>
      </rPr>
      <t xml:space="preserve">MOD</t>
    </r>
    <r>
      <rPr>
        <b val="true"/>
        <sz val="14"/>
        <color rgb="FF0070C0"/>
        <rFont val="Arial"/>
        <family val="2"/>
        <charset val="1"/>
      </rPr>
      <t xml:space="preserve">) </t>
    </r>
  </si>
  <si>
    <r>
      <rPr>
        <sz val="10"/>
        <rFont val="Arial"/>
        <family val="2"/>
        <charset val="1"/>
      </rPr>
      <t xml:space="preserve">C</t>
    </r>
    <r>
      <rPr>
        <vertAlign val="subscript"/>
        <sz val="10"/>
        <rFont val="Arial"/>
        <family val="2"/>
        <charset val="1"/>
      </rPr>
      <t xml:space="preserve">DITH</t>
    </r>
    <r>
      <rPr>
        <sz val="10"/>
        <rFont val="Arial"/>
        <family val="2"/>
        <charset val="1"/>
      </rPr>
      <t xml:space="preserve"> (μF)</t>
    </r>
  </si>
  <si>
    <r>
      <rPr>
        <sz val="10"/>
        <rFont val="Arial"/>
        <family val="2"/>
        <charset val="1"/>
      </rPr>
      <t xml:space="preserve">C</t>
    </r>
    <r>
      <rPr>
        <vertAlign val="subscript"/>
        <sz val="10"/>
        <rFont val="Arial"/>
        <family val="2"/>
        <charset val="1"/>
      </rPr>
      <t xml:space="preserve">DITH_USED </t>
    </r>
    <r>
      <rPr>
        <sz val="10"/>
        <rFont val="Cambria"/>
        <family val="1"/>
        <charset val="1"/>
      </rPr>
      <t xml:space="preserve">(μF)</t>
    </r>
  </si>
  <si>
    <t xml:space="preserve">Step 4 Inductor Value</t>
  </si>
  <si>
    <r>
      <rPr>
        <sz val="10"/>
        <rFont val="Arial"/>
        <family val="2"/>
        <charset val="1"/>
      </rPr>
      <t xml:space="preserve">L</t>
    </r>
    <r>
      <rPr>
        <vertAlign val="subscript"/>
        <sz val="10"/>
        <rFont val="Arial"/>
        <family val="2"/>
        <charset val="1"/>
      </rPr>
      <t xml:space="preserve">OUT</t>
    </r>
    <r>
      <rPr>
        <sz val="10"/>
        <rFont val="Arial"/>
        <family val="2"/>
        <charset val="1"/>
      </rPr>
      <t xml:space="preserve">  Channel (µH)</t>
    </r>
  </si>
  <si>
    <r>
      <rPr>
        <sz val="10"/>
        <rFont val="Arial"/>
        <family val="2"/>
        <charset val="1"/>
      </rPr>
      <t xml:space="preserve">Nearest standard value for L (µH) (L</t>
    </r>
    <r>
      <rPr>
        <vertAlign val="subscript"/>
        <sz val="10"/>
        <rFont val="Arial"/>
        <family val="2"/>
        <charset val="1"/>
      </rPr>
      <t xml:space="preserve">OUT</t>
    </r>
    <r>
      <rPr>
        <sz val="10"/>
        <rFont val="Arial"/>
        <family val="2"/>
        <charset val="1"/>
      </rPr>
      <t xml:space="preserve">)</t>
    </r>
  </si>
  <si>
    <t xml:space="preserve">Inductor dcr (Ω)</t>
  </si>
  <si>
    <t xml:space="preserve">Step 5 Current Limit</t>
  </si>
  <si>
    <t xml:space="preserve">Target (% Beyond Max. Load)</t>
  </si>
  <si>
    <t xml:space="preserve">Max Output Current at Current Limit (A)</t>
  </si>
  <si>
    <t xml:space="preserve">Δipk (A)</t>
  </si>
  <si>
    <t xml:space="preserve">Ipk (A)</t>
  </si>
  <si>
    <r>
      <rPr>
        <sz val="10"/>
        <rFont val="Arial"/>
        <family val="2"/>
        <charset val="1"/>
      </rPr>
      <t xml:space="preserve">Current Sense Resistor (R</t>
    </r>
    <r>
      <rPr>
        <vertAlign val="subscript"/>
        <sz val="10"/>
        <rFont val="Arial"/>
        <family val="2"/>
        <charset val="1"/>
      </rPr>
      <t xml:space="preserve">CS1</t>
    </r>
    <r>
      <rPr>
        <sz val="10"/>
        <rFont val="Arial"/>
        <family val="2"/>
        <charset val="1"/>
      </rPr>
      <t xml:space="preserve">) Ω (120% of Ipk)</t>
    </r>
  </si>
  <si>
    <t xml:space="preserve">Choose Closest Standard Value for Rs (Ω)</t>
  </si>
  <si>
    <t xml:space="preserve">Peak Output Current with Output Short (A)</t>
  </si>
  <si>
    <t xml:space="preserve">Step 6 Output Capacitors</t>
  </si>
  <si>
    <t xml:space="preserve">Min to max step load current Output1(A)</t>
  </si>
  <si>
    <r>
      <rPr>
        <sz val="10"/>
        <rFont val="Arial"/>
        <family val="2"/>
        <charset val="1"/>
      </rPr>
      <t xml:space="preserve">C</t>
    </r>
    <r>
      <rPr>
        <vertAlign val="subscript"/>
        <sz val="10"/>
        <rFont val="Arial"/>
        <family val="2"/>
        <charset val="1"/>
      </rPr>
      <t xml:space="preserve">OUT1 </t>
    </r>
    <r>
      <rPr>
        <sz val="10"/>
        <rFont val="Arial"/>
        <family val="2"/>
        <charset val="1"/>
      </rPr>
      <t xml:space="preserve">(µF)</t>
    </r>
  </si>
  <si>
    <r>
      <rPr>
        <sz val="10"/>
        <rFont val="Arial"/>
        <family val="2"/>
        <charset val="1"/>
      </rPr>
      <t xml:space="preserve">C</t>
    </r>
    <r>
      <rPr>
        <vertAlign val="subscript"/>
        <sz val="10"/>
        <rFont val="Arial"/>
        <family val="2"/>
        <charset val="1"/>
      </rPr>
      <t xml:space="preserve">OUT1</t>
    </r>
    <r>
      <rPr>
        <sz val="10"/>
        <rFont val="Arial"/>
        <family val="2"/>
        <charset val="1"/>
      </rPr>
      <t xml:space="preserve"> and C</t>
    </r>
    <r>
      <rPr>
        <vertAlign val="subscript"/>
        <sz val="10"/>
        <rFont val="Arial"/>
        <family val="2"/>
        <charset val="1"/>
      </rPr>
      <t xml:space="preserve">OUT2 </t>
    </r>
    <r>
      <rPr>
        <sz val="10"/>
        <rFont val="Arial"/>
        <family val="2"/>
        <charset val="1"/>
      </rPr>
      <t xml:space="preserve">should be multiple 82</t>
    </r>
    <r>
      <rPr>
        <sz val="10"/>
        <rFont val="Calibri"/>
        <family val="2"/>
        <charset val="1"/>
      </rPr>
      <t xml:space="preserve">µF</t>
    </r>
    <r>
      <rPr>
        <sz val="10"/>
        <rFont val="Arial"/>
        <family val="2"/>
        <charset val="1"/>
      </rPr>
      <t xml:space="preserve"> capacitors in parallel(µF)</t>
    </r>
  </si>
  <si>
    <r>
      <rPr>
        <sz val="10"/>
        <rFont val="Arial"/>
        <family val="2"/>
        <charset val="1"/>
      </rPr>
      <t xml:space="preserve">C</t>
    </r>
    <r>
      <rPr>
        <vertAlign val="subscript"/>
        <sz val="10"/>
        <rFont val="Arial"/>
        <family val="2"/>
        <charset val="1"/>
      </rPr>
      <t xml:space="preserve">OUT3</t>
    </r>
    <r>
      <rPr>
        <sz val="10"/>
        <rFont val="Arial"/>
        <family val="2"/>
        <charset val="1"/>
      </rPr>
      <t xml:space="preserve"> and C</t>
    </r>
    <r>
      <rPr>
        <vertAlign val="subscript"/>
        <sz val="10"/>
        <rFont val="Arial"/>
        <family val="2"/>
        <charset val="1"/>
      </rPr>
      <t xml:space="preserve">OUT4</t>
    </r>
    <r>
      <rPr>
        <sz val="10"/>
        <rFont val="Arial"/>
        <family val="2"/>
        <charset val="1"/>
      </rPr>
      <t xml:space="preserve"> can be multiple 47µF ceramic capacitors in parallel(µF)C</t>
    </r>
    <r>
      <rPr>
        <vertAlign val="subscript"/>
        <sz val="10"/>
        <rFont val="Arial"/>
        <family val="2"/>
        <charset val="1"/>
      </rPr>
      <t xml:space="preserve">OUT3 </t>
    </r>
    <r>
      <rPr>
        <sz val="10"/>
        <rFont val="Arial"/>
        <family val="2"/>
        <charset val="1"/>
      </rPr>
      <t xml:space="preserve">(µF)</t>
    </r>
  </si>
  <si>
    <t xml:space="preserve">Net ESR (Ω)</t>
  </si>
  <si>
    <r>
      <rPr>
        <sz val="11"/>
        <color rgb="FF000000"/>
        <rFont val="Calibri"/>
        <family val="2"/>
        <charset val="1"/>
      </rPr>
      <t xml:space="preserve">C</t>
    </r>
    <r>
      <rPr>
        <vertAlign val="subscript"/>
        <sz val="10"/>
        <rFont val="Arial"/>
        <family val="2"/>
        <charset val="1"/>
      </rPr>
      <t xml:space="preserve">OUT</t>
    </r>
    <r>
      <rPr>
        <sz val="11"/>
        <color rgb="FF000000"/>
        <rFont val="Calibri"/>
        <family val="2"/>
        <charset val="1"/>
      </rPr>
      <t xml:space="preserve"> Total (µF)</t>
    </r>
  </si>
  <si>
    <t xml:space="preserve">Peak-Peak output voltage ripple (mV)</t>
  </si>
  <si>
    <t xml:space="preserve">Step 7 Input Capacitors</t>
  </si>
  <si>
    <t xml:space="preserve">Input Capacitor ripple Current</t>
  </si>
  <si>
    <r>
      <rPr>
        <sz val="10"/>
        <color rgb="FF000000"/>
        <rFont val="Arial"/>
        <family val="2"/>
        <charset val="1"/>
      </rPr>
      <t xml:space="preserve">C</t>
    </r>
    <r>
      <rPr>
        <vertAlign val="subscript"/>
        <sz val="10"/>
        <color rgb="FF000000"/>
        <rFont val="Arial"/>
        <family val="2"/>
        <charset val="1"/>
      </rPr>
      <t xml:space="preserve">IN</t>
    </r>
    <r>
      <rPr>
        <sz val="10"/>
        <color rgb="FF000000"/>
        <rFont val="Arial"/>
        <family val="2"/>
        <charset val="1"/>
      </rPr>
      <t xml:space="preserve"> should be multiple of 2.2µ capacitors in parallel </t>
    </r>
  </si>
  <si>
    <r>
      <rPr>
        <sz val="10"/>
        <rFont val="Arial"/>
        <family val="2"/>
        <charset val="1"/>
      </rPr>
      <t xml:space="preserve"> C</t>
    </r>
    <r>
      <rPr>
        <vertAlign val="subscript"/>
        <sz val="10"/>
        <rFont val="Arial"/>
        <family val="2"/>
        <charset val="1"/>
      </rPr>
      <t xml:space="preserve">IN </t>
    </r>
    <r>
      <rPr>
        <sz val="10"/>
        <rFont val="Arial"/>
        <family val="2"/>
        <charset val="1"/>
      </rPr>
      <t xml:space="preserve">(µF)</t>
    </r>
  </si>
  <si>
    <t xml:space="preserve">Input Voltage Ripple (V)</t>
  </si>
  <si>
    <t xml:space="preserve">Step 8 Feedback Resistors to set the output voltage between 1.5V and 15V</t>
  </si>
  <si>
    <t xml:space="preserve">Enter the desired output voltage, between 1.5V and 15V</t>
  </si>
  <si>
    <r>
      <rPr>
        <sz val="10"/>
        <rFont val="Arial"/>
        <family val="2"/>
        <charset val="1"/>
      </rPr>
      <t xml:space="preserve">V</t>
    </r>
    <r>
      <rPr>
        <vertAlign val="subscript"/>
        <sz val="10"/>
        <rFont val="Arial"/>
        <family val="2"/>
        <charset val="1"/>
      </rPr>
      <t xml:space="preserve">OUT_SET</t>
    </r>
    <r>
      <rPr>
        <sz val="10"/>
        <rFont val="Arial"/>
        <family val="2"/>
        <charset val="1"/>
      </rPr>
      <t xml:space="preserve"> (V)</t>
    </r>
  </si>
  <si>
    <r>
      <rPr>
        <b val="true"/>
        <sz val="14"/>
        <color rgb="FF0070C0"/>
        <rFont val="Arial"/>
        <family val="2"/>
        <charset val="1"/>
      </rPr>
      <t xml:space="preserve">R</t>
    </r>
    <r>
      <rPr>
        <b val="true"/>
        <vertAlign val="subscript"/>
        <sz val="14"/>
        <color rgb="FF0070C0"/>
        <rFont val="Arial"/>
        <family val="2"/>
        <charset val="1"/>
      </rPr>
      <t xml:space="preserve">FB1</t>
    </r>
    <r>
      <rPr>
        <b val="true"/>
        <sz val="14"/>
        <color rgb="FF0070C0"/>
        <rFont val="Arial"/>
        <family val="2"/>
        <charset val="1"/>
      </rPr>
      <t xml:space="preserve"> and R</t>
    </r>
    <r>
      <rPr>
        <b val="true"/>
        <vertAlign val="subscript"/>
        <sz val="14"/>
        <color rgb="FF0070C0"/>
        <rFont val="Arial"/>
        <family val="2"/>
        <charset val="1"/>
      </rPr>
      <t xml:space="preserve">FB3</t>
    </r>
    <r>
      <rPr>
        <b val="true"/>
        <sz val="14"/>
        <color rgb="FF0070C0"/>
        <rFont val="Arial"/>
        <family val="2"/>
        <charset val="1"/>
      </rPr>
      <t xml:space="preserve"> should be between 10kΩ-20kΩ</t>
    </r>
  </si>
  <si>
    <r>
      <rPr>
        <sz val="10"/>
        <rFont val="Arial"/>
        <family val="2"/>
        <charset val="1"/>
      </rPr>
      <t xml:space="preserve">R</t>
    </r>
    <r>
      <rPr>
        <vertAlign val="subscript"/>
        <sz val="10"/>
        <rFont val="Arial"/>
        <family val="2"/>
        <charset val="1"/>
      </rPr>
      <t xml:space="preserve">FB1</t>
    </r>
    <r>
      <rPr>
        <sz val="10"/>
        <rFont val="Arial"/>
        <family val="2"/>
        <charset val="1"/>
      </rPr>
      <t xml:space="preserve"> (Ω)</t>
    </r>
  </si>
  <si>
    <r>
      <rPr>
        <sz val="10"/>
        <rFont val="Arial"/>
        <family val="2"/>
        <charset val="1"/>
      </rPr>
      <t xml:space="preserve">R</t>
    </r>
    <r>
      <rPr>
        <vertAlign val="subscript"/>
        <sz val="10"/>
        <rFont val="Arial"/>
        <family val="2"/>
        <charset val="1"/>
      </rPr>
      <t xml:space="preserve">FB2</t>
    </r>
    <r>
      <rPr>
        <sz val="10"/>
        <rFont val="Arial"/>
        <family val="2"/>
        <charset val="1"/>
      </rPr>
      <t xml:space="preserve"> (Ω)</t>
    </r>
  </si>
  <si>
    <r>
      <rPr>
        <sz val="10"/>
        <rFont val="Arial"/>
        <family val="2"/>
        <charset val="1"/>
      </rPr>
      <t xml:space="preserve">R</t>
    </r>
    <r>
      <rPr>
        <vertAlign val="subscript"/>
        <sz val="10"/>
        <rFont val="Arial"/>
        <family val="2"/>
        <charset val="1"/>
      </rPr>
      <t xml:space="preserve">FB2 Used</t>
    </r>
    <r>
      <rPr>
        <sz val="10"/>
        <rFont val="Arial"/>
        <family val="2"/>
        <charset val="1"/>
      </rPr>
      <t xml:space="preserve">(k</t>
    </r>
    <r>
      <rPr>
        <sz val="10"/>
        <rFont val="Calibri"/>
        <family val="2"/>
        <charset val="1"/>
      </rPr>
      <t xml:space="preserve">Ω</t>
    </r>
    <r>
      <rPr>
        <sz val="7"/>
        <rFont val="Arial"/>
        <family val="2"/>
        <charset val="1"/>
      </rPr>
      <t xml:space="preserve">)</t>
    </r>
  </si>
  <si>
    <t xml:space="preserve">Step 9 Compensation Network</t>
  </si>
  <si>
    <t xml:space="preserve">GMOD</t>
  </si>
  <si>
    <t xml:space="preserve">Bandwidth (kHz)</t>
  </si>
  <si>
    <r>
      <rPr>
        <sz val="10"/>
        <rFont val="Arial"/>
        <family val="2"/>
        <charset val="1"/>
      </rPr>
      <t xml:space="preserve">R</t>
    </r>
    <r>
      <rPr>
        <vertAlign val="subscript"/>
        <sz val="10"/>
        <rFont val="Arial"/>
        <family val="2"/>
        <charset val="1"/>
      </rPr>
      <t xml:space="preserve">COMP</t>
    </r>
    <r>
      <rPr>
        <sz val="10"/>
        <rFont val="Arial"/>
        <family val="2"/>
        <charset val="1"/>
      </rPr>
      <t xml:space="preserve">(Ω)</t>
    </r>
  </si>
  <si>
    <r>
      <rPr>
        <sz val="10"/>
        <rFont val="Arial"/>
        <family val="2"/>
        <charset val="1"/>
      </rPr>
      <t xml:space="preserve">R</t>
    </r>
    <r>
      <rPr>
        <vertAlign val="subscript"/>
        <sz val="10"/>
        <rFont val="Arial"/>
        <family val="2"/>
        <charset val="1"/>
      </rPr>
      <t xml:space="preserve">COMP1</t>
    </r>
    <r>
      <rPr>
        <sz val="10"/>
        <rFont val="Arial"/>
        <family val="2"/>
        <charset val="1"/>
      </rPr>
      <t xml:space="preserve">_used (Ω)</t>
    </r>
  </si>
  <si>
    <r>
      <rPr>
        <sz val="10"/>
        <rFont val="Arial"/>
        <family val="2"/>
        <charset val="1"/>
      </rPr>
      <t xml:space="preserve"> C</t>
    </r>
    <r>
      <rPr>
        <vertAlign val="subscript"/>
        <sz val="10"/>
        <rFont val="Arial"/>
        <family val="2"/>
        <charset val="1"/>
      </rPr>
      <t xml:space="preserve">COMP</t>
    </r>
    <r>
      <rPr>
        <sz val="10"/>
        <rFont val="Arial"/>
        <family val="2"/>
        <charset val="1"/>
      </rPr>
      <t xml:space="preserve">(nF)</t>
    </r>
  </si>
  <si>
    <r>
      <rPr>
        <sz val="10"/>
        <rFont val="Arial"/>
        <family val="2"/>
        <charset val="1"/>
      </rPr>
      <t xml:space="preserve">C</t>
    </r>
    <r>
      <rPr>
        <vertAlign val="subscript"/>
        <sz val="10"/>
        <rFont val="Arial"/>
        <family val="2"/>
        <charset val="1"/>
      </rPr>
      <t xml:space="preserve">COMP</t>
    </r>
    <r>
      <rPr>
        <sz val="10"/>
        <rFont val="Arial"/>
        <family val="2"/>
        <charset val="1"/>
      </rPr>
      <t xml:space="preserve">_Used</t>
    </r>
    <r>
      <rPr>
        <vertAlign val="subscript"/>
        <sz val="10"/>
        <rFont val="Arial"/>
        <family val="2"/>
        <charset val="1"/>
      </rPr>
      <t xml:space="preserve"> </t>
    </r>
    <r>
      <rPr>
        <sz val="10"/>
        <rFont val="Arial"/>
        <family val="2"/>
        <charset val="1"/>
      </rPr>
      <t xml:space="preserve">(nF)</t>
    </r>
  </si>
  <si>
    <t xml:space="preserve">Step 10 Soft Start Capacitor</t>
  </si>
  <si>
    <t xml:space="preserve">Soft-Start Time (ms)</t>
  </si>
  <si>
    <r>
      <rPr>
        <sz val="10"/>
        <rFont val="Arial"/>
        <family val="2"/>
        <charset val="1"/>
      </rPr>
      <t xml:space="preserve">Soft-Start Capacitor C</t>
    </r>
    <r>
      <rPr>
        <vertAlign val="subscript"/>
        <sz val="10"/>
        <rFont val="Arial"/>
        <family val="2"/>
        <charset val="1"/>
      </rPr>
      <t xml:space="preserve">SS</t>
    </r>
    <r>
      <rPr>
        <sz val="10"/>
        <rFont val="Arial"/>
        <family val="2"/>
        <charset val="1"/>
      </rPr>
      <t xml:space="preserve"> (µF)</t>
    </r>
  </si>
  <si>
    <r>
      <rPr>
        <sz val="10"/>
        <rFont val="Arial"/>
        <family val="2"/>
        <charset val="1"/>
      </rPr>
      <t xml:space="preserve">Enter the nearest standard value (</t>
    </r>
    <r>
      <rPr>
        <sz val="10"/>
        <rFont val="Calibri"/>
        <family val="2"/>
        <charset val="1"/>
      </rPr>
      <t xml:space="preserve">µ</t>
    </r>
    <r>
      <rPr>
        <sz val="10"/>
        <rFont val="Arial"/>
        <family val="2"/>
        <charset val="1"/>
      </rPr>
      <t xml:space="preserve">F)</t>
    </r>
  </si>
  <si>
    <t xml:space="preserve">Step 11 MOSFET High Side</t>
  </si>
  <si>
    <t xml:space="preserve">Driver tr+tr (ns)</t>
  </si>
  <si>
    <t xml:space="preserve">LM5140 tdead Time (ns)</t>
  </si>
  <si>
    <t xml:space="preserve">High-side MOSFET Qg @VVCC (nC)</t>
  </si>
  <si>
    <r>
      <rPr>
        <sz val="10"/>
        <rFont val="Arial"/>
        <family val="2"/>
        <charset val="1"/>
      </rPr>
      <t xml:space="preserve">MOSFET R</t>
    </r>
    <r>
      <rPr>
        <vertAlign val="subscript"/>
        <sz val="10"/>
        <rFont val="Arial"/>
        <family val="2"/>
        <charset val="1"/>
      </rPr>
      <t xml:space="preserve">DSON </t>
    </r>
    <r>
      <rPr>
        <sz val="10"/>
        <rFont val="Cambria"/>
        <family val="1"/>
        <charset val="1"/>
      </rPr>
      <t xml:space="preserve">(Ω</t>
    </r>
    <r>
      <rPr>
        <vertAlign val="subscript"/>
        <sz val="7"/>
        <rFont val="Arial"/>
        <family val="2"/>
        <charset val="1"/>
      </rPr>
      <t xml:space="preserve">)</t>
    </r>
  </si>
  <si>
    <t xml:space="preserve">MOSFET Internal Body Diode VF (V)</t>
  </si>
  <si>
    <t xml:space="preserve">MOSFET Internal Body Qrr (ns)</t>
  </si>
  <si>
    <t xml:space="preserve">MOSFET Low Side</t>
  </si>
  <si>
    <t xml:space="preserve">Low-side MOSFET Qg @VVCC (nC)</t>
  </si>
  <si>
    <t xml:space="preserve">MOSFET Internal Body Diode VF</t>
  </si>
  <si>
    <t xml:space="preserve">MOSFET Internal Boday Qrr (ns)</t>
  </si>
  <si>
    <r>
      <rPr>
        <sz val="10"/>
        <rFont val="Arial"/>
        <family val="2"/>
        <charset val="1"/>
      </rPr>
      <t xml:space="preserve">Minimum C</t>
    </r>
    <r>
      <rPr>
        <vertAlign val="subscript"/>
        <sz val="10"/>
        <rFont val="Arial"/>
        <family val="2"/>
        <charset val="1"/>
      </rPr>
      <t xml:space="preserve">BST </t>
    </r>
    <r>
      <rPr>
        <sz val="10"/>
        <rFont val="Arial"/>
        <family val="2"/>
        <charset val="1"/>
      </rPr>
      <t xml:space="preserve">(µF)</t>
    </r>
  </si>
  <si>
    <r>
      <rPr>
        <sz val="10"/>
        <rFont val="Arial"/>
        <family val="2"/>
        <charset val="1"/>
      </rPr>
      <t xml:space="preserve">VCC Run Current I</t>
    </r>
    <r>
      <rPr>
        <vertAlign val="subscript"/>
        <sz val="10"/>
        <rFont val="Arial"/>
        <family val="2"/>
        <charset val="1"/>
      </rPr>
      <t xml:space="preserve">VCC Total</t>
    </r>
    <r>
      <rPr>
        <sz val="10"/>
        <rFont val="Arial"/>
        <family val="2"/>
        <charset val="1"/>
      </rPr>
      <t xml:space="preserve"> (mA)</t>
    </r>
  </si>
  <si>
    <t xml:space="preserve">Step 13 Restart Capacitor</t>
  </si>
  <si>
    <t xml:space="preserve">Restart Time (ms)</t>
  </si>
  <si>
    <r>
      <rPr>
        <sz val="10"/>
        <rFont val="Arial"/>
        <family val="2"/>
        <charset val="1"/>
      </rPr>
      <t xml:space="preserve">Restart Capacitor C</t>
    </r>
    <r>
      <rPr>
        <vertAlign val="subscript"/>
        <sz val="10"/>
        <rFont val="Arial"/>
        <family val="2"/>
        <charset val="1"/>
      </rPr>
      <t xml:space="preserve">RES </t>
    </r>
    <r>
      <rPr>
        <sz val="10"/>
        <rFont val="Arial"/>
        <family val="2"/>
        <charset val="1"/>
      </rPr>
      <t xml:space="preserve">(nF)</t>
    </r>
  </si>
  <si>
    <t xml:space="preserve">Enter the nearest standard vaule (nF)</t>
  </si>
  <si>
    <t xml:space="preserve">Step 14 Power Dissipation</t>
  </si>
  <si>
    <t xml:space="preserve">I per ICC both channels 0.075A.</t>
  </si>
  <si>
    <r>
      <rPr>
        <b val="true"/>
        <sz val="11"/>
        <color rgb="FF000000"/>
        <rFont val="Calibri"/>
        <family val="2"/>
        <charset val="1"/>
      </rPr>
      <t xml:space="preserve">MOSFETS Losses P</t>
    </r>
    <r>
      <rPr>
        <b val="true"/>
        <vertAlign val="subscript"/>
        <sz val="11"/>
        <color rgb="FF000000"/>
        <rFont val="Calibri"/>
        <family val="2"/>
        <charset val="1"/>
      </rPr>
      <t xml:space="preserve">TOTAL</t>
    </r>
    <r>
      <rPr>
        <b val="true"/>
        <sz val="11"/>
        <color rgb="FF000000"/>
        <rFont val="Calibri"/>
        <family val="2"/>
        <charset val="1"/>
      </rPr>
      <t xml:space="preserve">=P</t>
    </r>
    <r>
      <rPr>
        <b val="true"/>
        <vertAlign val="subscript"/>
        <sz val="11"/>
        <color rgb="FF000000"/>
        <rFont val="Calibri"/>
        <family val="2"/>
        <charset val="1"/>
      </rPr>
      <t xml:space="preserve">ON</t>
    </r>
    <r>
      <rPr>
        <b val="true"/>
        <sz val="11"/>
        <color rgb="FF000000"/>
        <rFont val="Calibri"/>
        <family val="2"/>
        <charset val="1"/>
      </rPr>
      <t xml:space="preserve">+P</t>
    </r>
    <r>
      <rPr>
        <b val="true"/>
        <vertAlign val="subscript"/>
        <sz val="11"/>
        <color rgb="FF000000"/>
        <rFont val="Calibri"/>
        <family val="2"/>
        <charset val="1"/>
      </rPr>
      <t xml:space="preserve">SW</t>
    </r>
  </si>
  <si>
    <t xml:space="preserve">Pd LM5140=(24V-5V)*0.075=1.425W</t>
  </si>
  <si>
    <r>
      <rPr>
        <sz val="12"/>
        <color rgb="FF000000"/>
        <rFont val="Arial"/>
        <family val="2"/>
        <charset val="1"/>
      </rPr>
      <t xml:space="preserve">P</t>
    </r>
    <r>
      <rPr>
        <vertAlign val="subscript"/>
        <sz val="12"/>
        <color rgb="FF000000"/>
        <rFont val="Arial"/>
        <family val="2"/>
        <charset val="1"/>
      </rPr>
      <t xml:space="preserve">ON(HI)</t>
    </r>
  </si>
  <si>
    <r>
      <rPr>
        <sz val="12"/>
        <color rgb="FF000000"/>
        <rFont val="Arial"/>
        <family val="2"/>
        <charset val="1"/>
      </rPr>
      <t xml:space="preserve">P</t>
    </r>
    <r>
      <rPr>
        <vertAlign val="subscript"/>
        <sz val="12"/>
        <color rgb="FF000000"/>
        <rFont val="Arial"/>
        <family val="2"/>
        <charset val="1"/>
      </rPr>
      <t xml:space="preserve">ON(LO)</t>
    </r>
  </si>
  <si>
    <r>
      <rPr>
        <sz val="12"/>
        <color rgb="FF000000"/>
        <rFont val="Arial"/>
        <family val="2"/>
        <charset val="1"/>
      </rPr>
      <t xml:space="preserve">P</t>
    </r>
    <r>
      <rPr>
        <vertAlign val="subscript"/>
        <sz val="12"/>
        <color rgb="FF000000"/>
        <rFont val="Arial"/>
        <family val="2"/>
        <charset val="1"/>
      </rPr>
      <t xml:space="preserve">SW</t>
    </r>
  </si>
  <si>
    <t xml:space="preserve"> </t>
  </si>
  <si>
    <t xml:space="preserve">Power in the dead time</t>
  </si>
  <si>
    <r>
      <rPr>
        <b val="true"/>
        <sz val="12"/>
        <color rgb="FF000000"/>
        <rFont val="Arial"/>
        <family val="2"/>
        <charset val="1"/>
      </rPr>
      <t xml:space="preserve">MOSFET P</t>
    </r>
    <r>
      <rPr>
        <b val="true"/>
        <vertAlign val="subscript"/>
        <sz val="12"/>
        <color rgb="FF000000"/>
        <rFont val="Arial"/>
        <family val="2"/>
        <charset val="1"/>
      </rPr>
      <t xml:space="preserve">TOTAL</t>
    </r>
  </si>
  <si>
    <t xml:space="preserve">Power in the output inductor</t>
  </si>
  <si>
    <r>
      <rPr>
        <sz val="12"/>
        <color rgb="FF000000"/>
        <rFont val="Arial"/>
        <family val="2"/>
        <charset val="1"/>
      </rPr>
      <t xml:space="preserve">P</t>
    </r>
    <r>
      <rPr>
        <vertAlign val="subscript"/>
        <sz val="12"/>
        <color rgb="FF000000"/>
        <rFont val="Arial"/>
        <family val="2"/>
        <charset val="1"/>
      </rPr>
      <t xml:space="preserve">LOUT</t>
    </r>
    <r>
      <rPr>
        <sz val="12"/>
        <color rgb="FF000000"/>
        <rFont val="Arial"/>
        <family val="2"/>
        <charset val="1"/>
      </rPr>
      <t xml:space="preserve"> (W)</t>
    </r>
  </si>
  <si>
    <t xml:space="preserve">Power in the Current Sense Resistor</t>
  </si>
  <si>
    <t xml:space="preserve">Power CS (W)</t>
  </si>
  <si>
    <t xml:space="preserve">P_LM5141</t>
  </si>
  <si>
    <t xml:space="preserve">With VCCX not connected (W)</t>
  </si>
  <si>
    <t xml:space="preserve">With VCCX connected (W)</t>
  </si>
  <si>
    <t xml:space="preserve">Total Power Loss (W)</t>
  </si>
  <si>
    <t xml:space="preserve">Efficiency</t>
  </si>
  <si>
    <t xml:space="preserve">** Tie SYNC to GND if not used **</t>
  </si>
  <si>
    <t xml:space="preserve">High Efficiency Synchronous Buck Regulator BOM</t>
  </si>
  <si>
    <t xml:space="preserve">Count</t>
  </si>
  <si>
    <t xml:space="preserve">Ref Des</t>
  </si>
  <si>
    <t xml:space="preserve">Description</t>
  </si>
  <si>
    <t xml:space="preserve">Size</t>
  </si>
  <si>
    <t xml:space="preserve">Part Number</t>
  </si>
  <si>
    <t xml:space="preserve">MFR</t>
  </si>
  <si>
    <r>
      <rPr>
        <sz val="10"/>
        <rFont val="Arial"/>
        <family val="2"/>
        <charset val="1"/>
      </rPr>
      <t xml:space="preserve">C</t>
    </r>
    <r>
      <rPr>
        <vertAlign val="subscript"/>
        <sz val="10"/>
        <rFont val="Arial"/>
        <family val="2"/>
        <charset val="1"/>
      </rPr>
      <t xml:space="preserve">HB1</t>
    </r>
    <r>
      <rPr>
        <sz val="10"/>
        <rFont val="Arial"/>
        <family val="2"/>
        <charset val="1"/>
      </rPr>
      <t xml:space="preserve">, C</t>
    </r>
    <r>
      <rPr>
        <vertAlign val="subscript"/>
        <sz val="10"/>
        <rFont val="Arial"/>
        <family val="2"/>
        <charset val="1"/>
      </rPr>
      <t xml:space="preserve">HB2</t>
    </r>
  </si>
  <si>
    <t xml:space="preserve">0603</t>
  </si>
  <si>
    <t xml:space="preserve">Std</t>
  </si>
  <si>
    <r>
      <rPr>
        <sz val="10"/>
        <rFont val="Arial"/>
        <family val="2"/>
        <charset val="1"/>
      </rPr>
      <t xml:space="preserve">C</t>
    </r>
    <r>
      <rPr>
        <vertAlign val="subscript"/>
        <sz val="10"/>
        <rFont val="Arial"/>
        <family val="2"/>
        <charset val="1"/>
      </rPr>
      <t xml:space="preserve">OUT1</t>
    </r>
  </si>
  <si>
    <r>
      <rPr>
        <sz val="10"/>
        <rFont val="Arial"/>
        <family val="2"/>
        <charset val="1"/>
      </rPr>
      <t xml:space="preserve">C</t>
    </r>
    <r>
      <rPr>
        <vertAlign val="subscript"/>
        <sz val="10"/>
        <rFont val="Arial"/>
        <family val="2"/>
        <charset val="1"/>
      </rPr>
      <t xml:space="preserve">OUT3</t>
    </r>
  </si>
  <si>
    <r>
      <rPr>
        <sz val="10"/>
        <rFont val="Arial"/>
        <family val="2"/>
        <charset val="1"/>
      </rPr>
      <t xml:space="preserve">C</t>
    </r>
    <r>
      <rPr>
        <vertAlign val="subscript"/>
        <sz val="10"/>
        <rFont val="Arial"/>
        <family val="2"/>
        <charset val="1"/>
      </rPr>
      <t xml:space="preserve">IN</t>
    </r>
  </si>
  <si>
    <r>
      <rPr>
        <sz val="10"/>
        <rFont val="Arial"/>
        <family val="2"/>
        <charset val="1"/>
      </rPr>
      <t xml:space="preserve">C</t>
    </r>
    <r>
      <rPr>
        <vertAlign val="subscript"/>
        <sz val="10"/>
        <rFont val="Arial"/>
        <family val="2"/>
        <charset val="1"/>
      </rPr>
      <t xml:space="preserve">VCC1</t>
    </r>
  </si>
  <si>
    <r>
      <rPr>
        <sz val="10"/>
        <rFont val="Arial"/>
        <family val="2"/>
        <charset val="1"/>
      </rPr>
      <t xml:space="preserve">C</t>
    </r>
    <r>
      <rPr>
        <vertAlign val="subscript"/>
        <sz val="10"/>
        <rFont val="Arial"/>
        <family val="2"/>
        <charset val="1"/>
      </rPr>
      <t xml:space="preserve">VDD</t>
    </r>
  </si>
  <si>
    <r>
      <rPr>
        <sz val="10"/>
        <rFont val="Arial"/>
        <family val="2"/>
        <charset val="1"/>
      </rPr>
      <t xml:space="preserve">C</t>
    </r>
    <r>
      <rPr>
        <vertAlign val="subscript"/>
        <sz val="10"/>
        <rFont val="Arial"/>
        <family val="2"/>
        <charset val="1"/>
      </rPr>
      <t xml:space="preserve">SS1</t>
    </r>
  </si>
  <si>
    <r>
      <rPr>
        <sz val="10"/>
        <rFont val="Arial"/>
        <family val="2"/>
        <charset val="1"/>
      </rPr>
      <t xml:space="preserve">C</t>
    </r>
    <r>
      <rPr>
        <vertAlign val="subscript"/>
        <sz val="10"/>
        <rFont val="Arial"/>
        <family val="2"/>
        <charset val="1"/>
      </rPr>
      <t xml:space="preserve">COMP1</t>
    </r>
  </si>
  <si>
    <r>
      <rPr>
        <sz val="10"/>
        <rFont val="Arial"/>
        <family val="2"/>
        <charset val="1"/>
      </rPr>
      <t xml:space="preserve">C</t>
    </r>
    <r>
      <rPr>
        <vertAlign val="subscript"/>
        <sz val="10"/>
        <rFont val="Arial"/>
        <family val="2"/>
        <charset val="1"/>
      </rPr>
      <t xml:space="preserve">RES</t>
    </r>
  </si>
  <si>
    <r>
      <rPr>
        <sz val="10"/>
        <rFont val="Arial"/>
        <family val="2"/>
        <charset val="1"/>
      </rPr>
      <t xml:space="preserve">C</t>
    </r>
    <r>
      <rPr>
        <vertAlign val="subscript"/>
        <sz val="10"/>
        <rFont val="Arial"/>
        <family val="2"/>
        <charset val="1"/>
      </rPr>
      <t xml:space="preserve">DITH</t>
    </r>
  </si>
  <si>
    <r>
      <rPr>
        <sz val="10"/>
        <rFont val="Arial"/>
        <family val="2"/>
        <charset val="1"/>
      </rPr>
      <t xml:space="preserve">R</t>
    </r>
    <r>
      <rPr>
        <vertAlign val="subscript"/>
        <sz val="10"/>
        <rFont val="Arial"/>
        <family val="2"/>
        <charset val="1"/>
      </rPr>
      <t xml:space="preserve">CS1</t>
    </r>
  </si>
  <si>
    <r>
      <rPr>
        <sz val="10"/>
        <rFont val="Arial"/>
        <family val="2"/>
        <charset val="1"/>
      </rPr>
      <t xml:space="preserve">L</t>
    </r>
    <r>
      <rPr>
        <vertAlign val="subscript"/>
        <sz val="10"/>
        <rFont val="Arial"/>
        <family val="2"/>
        <charset val="1"/>
      </rPr>
      <t xml:space="preserve">OUT1</t>
    </r>
  </si>
  <si>
    <t xml:space="preserve">-</t>
  </si>
  <si>
    <t xml:space="preserve">Q1,Q2,Q3,Q4</t>
  </si>
  <si>
    <t xml:space="preserve">See description</t>
  </si>
  <si>
    <t xml:space="preserve">MOSFET, N-CH, 60 V, 24 A, PowerPAK_SO-8L</t>
  </si>
  <si>
    <t xml:space="preserve">SON 6 x 6 mm</t>
  </si>
  <si>
    <t xml:space="preserve">'SQJ850EP-T1-GE3</t>
  </si>
  <si>
    <r>
      <rPr>
        <sz val="10"/>
        <rFont val="Arial"/>
        <family val="2"/>
        <charset val="1"/>
      </rPr>
      <t xml:space="preserve">R</t>
    </r>
    <r>
      <rPr>
        <vertAlign val="subscript"/>
        <sz val="10"/>
        <rFont val="Arial"/>
        <family val="2"/>
        <charset val="1"/>
      </rPr>
      <t xml:space="preserve">COMP1</t>
    </r>
  </si>
  <si>
    <r>
      <rPr>
        <sz val="10"/>
        <rFont val="Arial"/>
        <family val="2"/>
        <charset val="1"/>
      </rPr>
      <t xml:space="preserve">R</t>
    </r>
    <r>
      <rPr>
        <vertAlign val="subscript"/>
        <sz val="10"/>
        <rFont val="Arial"/>
        <family val="2"/>
        <charset val="1"/>
      </rPr>
      <t xml:space="preserve">FB1</t>
    </r>
  </si>
  <si>
    <r>
      <rPr>
        <sz val="10"/>
        <rFont val="Arial"/>
        <family val="2"/>
        <charset val="1"/>
      </rPr>
      <t xml:space="preserve">R</t>
    </r>
    <r>
      <rPr>
        <vertAlign val="subscript"/>
        <sz val="10"/>
        <rFont val="Arial"/>
        <family val="2"/>
        <charset val="1"/>
      </rPr>
      <t xml:space="preserve">FB2</t>
    </r>
  </si>
  <si>
    <r>
      <rPr>
        <sz val="10"/>
        <rFont val="Arial"/>
        <family val="2"/>
        <charset val="1"/>
      </rPr>
      <t xml:space="preserve">R</t>
    </r>
    <r>
      <rPr>
        <vertAlign val="subscript"/>
        <sz val="10"/>
        <rFont val="Arial"/>
        <family val="2"/>
        <charset val="1"/>
      </rPr>
      <t xml:space="preserve">PGOOD</t>
    </r>
  </si>
  <si>
    <r>
      <rPr>
        <sz val="10"/>
        <rFont val="Arial"/>
        <family val="2"/>
        <charset val="1"/>
      </rPr>
      <t xml:space="preserve">D</t>
    </r>
    <r>
      <rPr>
        <vertAlign val="subscript"/>
        <sz val="10"/>
        <rFont val="Arial"/>
        <family val="2"/>
        <charset val="1"/>
      </rPr>
      <t xml:space="preserve">HB1</t>
    </r>
    <r>
      <rPr>
        <sz val="10"/>
        <rFont val="Arial"/>
        <family val="2"/>
        <charset val="1"/>
      </rPr>
      <t xml:space="preserve">, D</t>
    </r>
    <r>
      <rPr>
        <vertAlign val="subscript"/>
        <sz val="10"/>
        <rFont val="Arial"/>
        <family val="2"/>
        <charset val="1"/>
      </rPr>
      <t xml:space="preserve">BH2</t>
    </r>
  </si>
  <si>
    <t xml:space="preserve">PMEG6010CEJ</t>
  </si>
  <si>
    <t xml:space="preserve">Diode, Schottky, 70V, 1A, SMA</t>
  </si>
  <si>
    <r>
      <rPr>
        <b val="true"/>
        <sz val="10"/>
        <rFont val="Arial"/>
        <family val="2"/>
        <charset val="1"/>
      </rPr>
      <t xml:space="preserve">U</t>
    </r>
    <r>
      <rPr>
        <b val="true"/>
        <vertAlign val="subscript"/>
        <sz val="10"/>
        <rFont val="Arial"/>
        <family val="2"/>
        <charset val="1"/>
      </rPr>
      <t xml:space="preserve">1</t>
    </r>
  </si>
  <si>
    <t xml:space="preserve">LM5141-Q1</t>
  </si>
  <si>
    <t xml:space="preserve">IC, LM5141 Synchronous Buck Controller</t>
  </si>
  <si>
    <t xml:space="preserve">QFN-24</t>
  </si>
  <si>
    <t xml:space="preserve">LM5141QRGERQ1</t>
  </si>
  <si>
    <t xml:space="preserve">TI</t>
  </si>
  <si>
    <r>
      <rPr>
        <b val="true"/>
        <u val="single"/>
        <sz val="10"/>
        <rFont val="Arial"/>
        <family val="2"/>
        <charset val="1"/>
      </rPr>
      <t xml:space="preserve">NOTES</t>
    </r>
    <r>
      <rPr>
        <b val="true"/>
        <sz val="10"/>
        <rFont val="Arial"/>
        <family val="2"/>
        <charset val="1"/>
      </rPr>
      <t xml:space="preserve">:</t>
    </r>
  </si>
  <si>
    <t xml:space="preserve">** Inductor saturation current should be higher than the current limit setpoint at all operating temperatures **</t>
  </si>
  <si>
    <t xml:space="preserve">** Effective output capacitance should be appropriately derated for applied voltage and temperature, particularly with ceramics **</t>
  </si>
</sst>
</file>

<file path=xl/styles.xml><?xml version="1.0" encoding="utf-8"?>
<styleSheet xmlns="http://schemas.openxmlformats.org/spreadsheetml/2006/main">
  <numFmts count="31">
    <numFmt numFmtId="164" formatCode="General"/>
    <numFmt numFmtId="165" formatCode="0.00E+00"/>
    <numFmt numFmtId="166" formatCode="0.0"/>
    <numFmt numFmtId="167" formatCode="0"/>
    <numFmt numFmtId="168" formatCode="0.00"/>
    <numFmt numFmtId="169" formatCode="0.0000"/>
    <numFmt numFmtId="170" formatCode="0.0E+00"/>
    <numFmt numFmtId="171" formatCode="0.000"/>
    <numFmt numFmtId="172" formatCode="General"/>
    <numFmt numFmtId="173" formatCode="0.000000"/>
    <numFmt numFmtId="174" formatCode="#,##0.0"/>
    <numFmt numFmtId="175" formatCode="0.00000"/>
    <numFmt numFmtId="176" formatCode="0.000E+00"/>
    <numFmt numFmtId="177" formatCode="0.000;[RED]0.000"/>
    <numFmt numFmtId="178" formatCode="0.00;[RED]0.00"/>
    <numFmt numFmtId="179" formatCode="#,##0"/>
    <numFmt numFmtId="180" formatCode="0\ %"/>
    <numFmt numFmtId="181" formatCode="[$-407]DD/MM/YYYY"/>
    <numFmt numFmtId="182" formatCode="@"/>
    <numFmt numFmtId="183" formatCode="General&quot;µF&quot;"/>
    <numFmt numFmtId="184" formatCode="&quot;Capacitor, Ceramic, &quot;General&quot;-µF, 16V, X7R, 10%&quot;"/>
    <numFmt numFmtId="185" formatCode="&quot;Capacitor, Ceramic, &quot;General&quot;-µF, 6.3V, X5R, 20%&quot;"/>
    <numFmt numFmtId="186" formatCode="General&quot;µH&quot;"/>
    <numFmt numFmtId="187" formatCode="&quot;Capacitor, Ceramic, &quot;General&quot;-µF, 100V, X7R, 10%&quot;"/>
    <numFmt numFmtId="188" formatCode="&quot;Capacitor, Ceramic, &quot;General&quot;-µF, 10V, X5R, 20%&quot;"/>
    <numFmt numFmtId="189" formatCode="General\ "/>
    <numFmt numFmtId="190" formatCode="&quot;Resistor, &quot;General&quot;-ohms, 1%, 1W, 0612&quot;"/>
    <numFmt numFmtId="191" formatCode="&quot;Inductor, &quot;General&quot;-µH, 10%&quot;"/>
    <numFmt numFmtId="192" formatCode="&quot;MOSFET, N-CH, 30V, &quot;General&quot;mΩ&quot;"/>
    <numFmt numFmtId="193" formatCode="General\k"/>
    <numFmt numFmtId="194" formatCode="&quot;Resistor, Chip, &quot;General&quot;-kΩ, 1/16W, 1%&quot;"/>
  </numFmts>
  <fonts count="60">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0"/>
      <name val="Arial"/>
      <family val="2"/>
      <charset val="1"/>
    </font>
    <font>
      <b val="true"/>
      <u val="single"/>
      <sz val="10"/>
      <name val="Arial"/>
      <family val="2"/>
      <charset val="1"/>
    </font>
    <font>
      <b val="true"/>
      <sz val="12"/>
      <color rgb="FF000000"/>
      <name val="Arial"/>
      <family val="2"/>
    </font>
    <font>
      <sz val="8"/>
      <color rgb="FF000000"/>
      <name val="Arial"/>
      <family val="2"/>
    </font>
    <font>
      <b val="true"/>
      <sz val="11"/>
      <color rgb="FF000000"/>
      <name val="Arial"/>
      <family val="2"/>
    </font>
    <font>
      <b val="true"/>
      <sz val="11"/>
      <color rgb="FF0000FF"/>
      <name val="Arial"/>
      <family val="2"/>
    </font>
    <font>
      <sz val="9.25"/>
      <color rgb="FF000000"/>
      <name val="Arial"/>
      <family val="2"/>
    </font>
    <font>
      <sz val="8.5"/>
      <color rgb="FF000000"/>
      <name val="Arial"/>
      <family val="2"/>
    </font>
    <font>
      <b val="true"/>
      <vertAlign val="subscript"/>
      <sz val="12"/>
      <color rgb="FF000000"/>
      <name val="Arial"/>
      <family val="2"/>
    </font>
    <font>
      <b val="true"/>
      <sz val="22"/>
      <color rgb="FF99CCFF"/>
      <name val="Arial"/>
      <family val="2"/>
      <charset val="1"/>
    </font>
    <font>
      <vertAlign val="subscript"/>
      <sz val="11"/>
      <color rgb="FF000000"/>
      <name val="Calibri"/>
      <family val="2"/>
      <charset val="1"/>
    </font>
    <font>
      <b val="true"/>
      <sz val="12"/>
      <color rgb="FF3366FF"/>
      <name val="Arial"/>
      <family val="2"/>
      <charset val="1"/>
    </font>
    <font>
      <sz val="10"/>
      <name val="Symbol"/>
      <family val="1"/>
      <charset val="2"/>
    </font>
    <font>
      <b val="true"/>
      <i val="true"/>
      <sz val="10"/>
      <name val="Arial"/>
      <family val="2"/>
      <charset val="1"/>
    </font>
    <font>
      <sz val="10"/>
      <name val="Calibri"/>
      <family val="2"/>
      <charset val="1"/>
    </font>
    <font>
      <sz val="10"/>
      <color rgb="FF000000"/>
      <name val="Arial"/>
      <family val="2"/>
      <charset val="1"/>
    </font>
    <font>
      <b val="true"/>
      <u val="single"/>
      <sz val="10"/>
      <color rgb="FFFF0000"/>
      <name val="Arial"/>
      <family val="2"/>
      <charset val="1"/>
    </font>
    <font>
      <b val="true"/>
      <sz val="11"/>
      <color rgb="FFFFFFFF"/>
      <name val="Arial"/>
      <family val="2"/>
      <charset val="1"/>
    </font>
    <font>
      <b val="true"/>
      <sz val="11"/>
      <color rgb="FF000000"/>
      <name val="Calibri"/>
      <family val="2"/>
      <charset val="1"/>
    </font>
    <font>
      <sz val="10"/>
      <color rgb="FFFF0000"/>
      <name val="Arial"/>
      <family val="2"/>
      <charset val="1"/>
    </font>
    <font>
      <sz val="10"/>
      <color rgb="FFC0C0C0"/>
      <name val="Arial"/>
      <family val="2"/>
      <charset val="1"/>
    </font>
    <font>
      <sz val="10"/>
      <color rgb="FF0000FF"/>
      <name val="Arial"/>
      <family val="2"/>
      <charset val="1"/>
    </font>
    <font>
      <b val="true"/>
      <sz val="14"/>
      <color rgb="FF0070C0"/>
      <name val="Arial"/>
      <family val="2"/>
      <charset val="1"/>
    </font>
    <font>
      <vertAlign val="subscript"/>
      <sz val="10"/>
      <name val="Arial"/>
      <family val="2"/>
      <charset val="1"/>
    </font>
    <font>
      <b val="true"/>
      <vertAlign val="subscript"/>
      <sz val="14"/>
      <color rgb="FF0070C0"/>
      <name val="Arial"/>
      <family val="2"/>
      <charset val="1"/>
    </font>
    <font>
      <sz val="10"/>
      <name val="Cambria"/>
      <family val="1"/>
      <charset val="1"/>
    </font>
    <font>
      <vertAlign val="subscript"/>
      <sz val="10"/>
      <color rgb="FF000000"/>
      <name val="Arial"/>
      <family val="2"/>
      <charset val="1"/>
    </font>
    <font>
      <sz val="7"/>
      <name val="Arial"/>
      <family val="2"/>
      <charset val="1"/>
    </font>
    <font>
      <vertAlign val="subscript"/>
      <sz val="7"/>
      <name val="Arial"/>
      <family val="2"/>
      <charset val="1"/>
    </font>
    <font>
      <b val="true"/>
      <vertAlign val="subscript"/>
      <sz val="11"/>
      <color rgb="FF000000"/>
      <name val="Calibri"/>
      <family val="2"/>
      <charset val="1"/>
    </font>
    <font>
      <sz val="12"/>
      <color rgb="FF000000"/>
      <name val="Arial"/>
      <family val="2"/>
      <charset val="1"/>
    </font>
    <font>
      <vertAlign val="subscript"/>
      <sz val="12"/>
      <color rgb="FF000000"/>
      <name val="Arial"/>
      <family val="2"/>
      <charset val="1"/>
    </font>
    <font>
      <b val="true"/>
      <sz val="12"/>
      <color rgb="FF000000"/>
      <name val="Arial"/>
      <family val="2"/>
      <charset val="1"/>
    </font>
    <font>
      <b val="true"/>
      <vertAlign val="subscript"/>
      <sz val="12"/>
      <color rgb="FF000000"/>
      <name val="Arial"/>
      <family val="2"/>
      <charset val="1"/>
    </font>
    <font>
      <sz val="8"/>
      <color rgb="FF000000"/>
      <name val="Tahoma"/>
      <family val="2"/>
      <charset val="1"/>
    </font>
    <font>
      <b val="true"/>
      <sz val="8"/>
      <color rgb="FF000000"/>
      <name val="Tahoma"/>
      <family val="2"/>
      <charset val="1"/>
    </font>
    <font>
      <b val="true"/>
      <sz val="18"/>
      <color rgb="FF0000FF"/>
      <name val="Arial Black"/>
      <family val="2"/>
    </font>
    <font>
      <b val="true"/>
      <sz val="40"/>
      <color rgb="FFFFFFFF"/>
      <name val="Calibri"/>
      <family val="0"/>
    </font>
    <font>
      <sz val="24"/>
      <color rgb="FFFFFFFF"/>
      <name val="Arial"/>
      <family val="2"/>
    </font>
    <font>
      <b val="true"/>
      <sz val="16"/>
      <color rgb="FFFF0000"/>
      <name val="Arial"/>
      <family val="2"/>
    </font>
    <font>
      <b val="true"/>
      <sz val="14"/>
      <color rgb="FFFF0000"/>
      <name val="Arial"/>
      <family val="2"/>
    </font>
    <font>
      <sz val="14"/>
      <color rgb="FF000000"/>
      <name val="Arial Black"/>
      <family val="2"/>
    </font>
    <font>
      <b val="true"/>
      <sz val="14"/>
      <color rgb="FF000000"/>
      <name val="Arial Black"/>
      <family val="2"/>
    </font>
    <font>
      <b val="true"/>
      <sz val="12"/>
      <color rgb="FF000000"/>
      <name val="Arial Black"/>
      <family val="2"/>
    </font>
    <font>
      <sz val="12"/>
      <color rgb="FF000000"/>
      <name val="Arial Black"/>
      <family val="2"/>
    </font>
    <font>
      <sz val="11"/>
      <color rgb="FF000000"/>
      <name val="Arial Black"/>
      <family val="2"/>
    </font>
    <font>
      <b val="true"/>
      <sz val="14"/>
      <color rgb="FF000000"/>
      <name val="Arial"/>
      <family val="0"/>
    </font>
    <font>
      <b val="true"/>
      <sz val="12"/>
      <color rgb="FF0000FF"/>
      <name val="Arial"/>
      <family val="2"/>
      <charset val="1"/>
    </font>
    <font>
      <b val="true"/>
      <sz val="16"/>
      <name val="Arial"/>
      <family val="2"/>
      <charset val="1"/>
    </font>
    <font>
      <b val="true"/>
      <sz val="10"/>
      <color rgb="FFFFFFFF"/>
      <name val="Arial"/>
      <family val="2"/>
      <charset val="1"/>
    </font>
    <font>
      <b val="true"/>
      <vertAlign val="subscript"/>
      <sz val="10"/>
      <name val="Arial"/>
      <family val="2"/>
      <charset val="1"/>
    </font>
    <font>
      <b val="true"/>
      <sz val="10"/>
      <color rgb="FFFF0000"/>
      <name val="Arial"/>
      <family val="2"/>
      <charset val="1"/>
    </font>
    <font>
      <b val="true"/>
      <sz val="14"/>
      <color rgb="FF000000"/>
      <name val="Arial"/>
      <family val="2"/>
    </font>
    <font>
      <b val="true"/>
      <sz val="16"/>
      <color rgb="FF000000"/>
      <name val="Calibri"/>
      <family val="0"/>
    </font>
    <font>
      <b val="true"/>
      <sz val="11"/>
      <color rgb="FF000000"/>
      <name val="Arial Black"/>
      <family val="2"/>
    </font>
  </fonts>
  <fills count="13">
    <fill>
      <patternFill patternType="none"/>
    </fill>
    <fill>
      <patternFill patternType="gray125"/>
    </fill>
    <fill>
      <patternFill patternType="solid">
        <fgColor rgb="FFFFFFFF"/>
        <bgColor rgb="FFFFFFCC"/>
      </patternFill>
    </fill>
    <fill>
      <patternFill patternType="solid">
        <fgColor rgb="FF000000"/>
        <bgColor rgb="FF003300"/>
      </patternFill>
    </fill>
    <fill>
      <patternFill patternType="solid">
        <fgColor rgb="FFC0C0C0"/>
        <bgColor rgb="FFCCCCFF"/>
      </patternFill>
    </fill>
    <fill>
      <patternFill patternType="solid">
        <fgColor rgb="FFFF9900"/>
        <bgColor rgb="FFFFCC00"/>
      </patternFill>
    </fill>
    <fill>
      <patternFill patternType="solid">
        <fgColor rgb="FF99CC00"/>
        <bgColor rgb="FFFFCC00"/>
      </patternFill>
    </fill>
    <fill>
      <patternFill patternType="solid">
        <fgColor rgb="FF969696"/>
        <bgColor rgb="FF878787"/>
      </patternFill>
    </fill>
    <fill>
      <patternFill patternType="solid">
        <fgColor rgb="FFFF6600"/>
        <bgColor rgb="FFFF9900"/>
      </patternFill>
    </fill>
    <fill>
      <patternFill patternType="solid">
        <fgColor rgb="FF808080"/>
        <bgColor rgb="FF878787"/>
      </patternFill>
    </fill>
    <fill>
      <patternFill patternType="solid">
        <fgColor rgb="FFFF0000"/>
        <bgColor rgb="FF993300"/>
      </patternFill>
    </fill>
    <fill>
      <patternFill patternType="solid">
        <fgColor rgb="FFCCFFFF"/>
        <bgColor rgb="FFCCFFFF"/>
      </patternFill>
    </fill>
    <fill>
      <patternFill patternType="solid">
        <fgColor rgb="FFFFFF99"/>
        <bgColor rgb="FFFFFFCC"/>
      </patternFill>
    </fill>
  </fills>
  <borders count="32">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color rgb="FF969696"/>
      </left>
      <right/>
      <top style="medium">
        <color rgb="FF969696"/>
      </top>
      <bottom/>
      <diagonal/>
    </border>
    <border diagonalUp="false" diagonalDown="false">
      <left/>
      <right/>
      <top style="medium">
        <color rgb="FF969696"/>
      </top>
      <bottom/>
      <diagonal/>
    </border>
    <border diagonalUp="false" diagonalDown="false">
      <left/>
      <right style="medium">
        <color rgb="FF969696"/>
      </right>
      <top style="medium">
        <color rgb="FF969696"/>
      </top>
      <bottom/>
      <diagonal/>
    </border>
    <border diagonalUp="false" diagonalDown="false">
      <left style="medium">
        <color rgb="FF969696"/>
      </left>
      <right/>
      <top/>
      <bottom/>
      <diagonal/>
    </border>
    <border diagonalUp="false" diagonalDown="false">
      <left/>
      <right style="medium">
        <color rgb="FF969696"/>
      </right>
      <top/>
      <bottom/>
      <diagonal/>
    </border>
    <border diagonalUp="false" diagonalDown="false">
      <left style="medium">
        <color rgb="FF969696"/>
      </left>
      <right/>
      <top/>
      <bottom style="medium">
        <color rgb="FF969696"/>
      </bottom>
      <diagonal/>
    </border>
    <border diagonalUp="false" diagonalDown="false">
      <left/>
      <right/>
      <top/>
      <bottom style="medium">
        <color rgb="FF969696"/>
      </bottom>
      <diagonal/>
    </border>
    <border diagonalUp="false" diagonalDown="false">
      <left/>
      <right style="medium">
        <color rgb="FF969696"/>
      </right>
      <top/>
      <bottom style="medium">
        <color rgb="FF969696"/>
      </bottom>
      <diagonal/>
    </border>
    <border diagonalUp="false" diagonalDown="false">
      <left style="thin"/>
      <right style="thin"/>
      <top style="thin"/>
      <bottom style="medium"/>
      <diagonal/>
    </border>
    <border diagonalUp="false" diagonalDown="false">
      <left style="medium"/>
      <right style="medium"/>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style="medium"/>
      <right style="medium"/>
      <top/>
      <bottom/>
      <diagonal/>
    </border>
    <border diagonalUp="false" diagonalDown="false">
      <left style="medium"/>
      <right style="medium"/>
      <top style="thin"/>
      <bottom/>
      <diagonal/>
    </border>
    <border diagonalUp="false" diagonalDown="false">
      <left style="medium"/>
      <right style="medium"/>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7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true" indent="0" shrinkToFit="false"/>
      <protection locked="true" hidden="false"/>
    </xf>
    <xf numFmtId="164" fontId="5" fillId="2" borderId="0" xfId="0" applyFont="true" applyBorder="false" applyAlignment="true" applyProtection="false">
      <alignment horizontal="general" vertical="top" textRotation="0" wrapText="tru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5" fontId="0" fillId="2" borderId="0" xfId="0" applyFont="false" applyBorder="false" applyAlignment="false" applyProtection="false">
      <alignment horizontal="general" vertical="bottom" textRotation="0" wrapText="false" indent="0" shrinkToFit="false"/>
      <protection locked="true" hidden="false"/>
    </xf>
    <xf numFmtId="166" fontId="0" fillId="2" borderId="0" xfId="0" applyFont="false" applyBorder="false" applyAlignment="true" applyProtection="false">
      <alignment horizontal="center" vertical="bottom" textRotation="0" wrapText="false" indent="0" shrinkToFit="false"/>
      <protection locked="true" hidden="false"/>
    </xf>
    <xf numFmtId="167" fontId="0" fillId="2" borderId="0" xfId="0" applyFont="false" applyBorder="false" applyAlignment="true" applyProtection="false">
      <alignment horizontal="center"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8" fontId="0" fillId="2" borderId="0" xfId="0" applyFont="false" applyBorder="false" applyAlignment="false" applyProtection="false">
      <alignment horizontal="general" vertical="bottom" textRotation="0" wrapText="false" indent="0" shrinkToFit="false"/>
      <protection locked="true" hidden="false"/>
    </xf>
    <xf numFmtId="166" fontId="0" fillId="2" borderId="0" xfId="0" applyFont="false" applyBorder="false" applyAlignment="false" applyProtection="false">
      <alignment horizontal="general" vertical="bottom" textRotation="0" wrapText="false" indent="0" shrinkToFit="false"/>
      <protection locked="true" hidden="false"/>
    </xf>
    <xf numFmtId="169" fontId="0" fillId="2" borderId="0" xfId="0" applyFont="false" applyBorder="false" applyAlignment="true" applyProtection="false">
      <alignment horizontal="center" vertical="bottom" textRotation="0" wrapText="false" indent="0" shrinkToFit="false"/>
      <protection locked="true" hidden="false"/>
    </xf>
    <xf numFmtId="170" fontId="0" fillId="2" borderId="0" xfId="0" applyFont="fals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71" fontId="0" fillId="2" borderId="0" xfId="0" applyFont="false" applyBorder="false" applyAlignment="true" applyProtection="false">
      <alignment horizontal="center"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7"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center" vertical="bottom" textRotation="0" wrapText="false" indent="0" shrinkToFit="false"/>
      <protection locked="true" hidden="false"/>
    </xf>
    <xf numFmtId="172" fontId="4" fillId="2" borderId="0" xfId="0" applyFont="true" applyBorder="false" applyAlignment="true" applyProtection="false">
      <alignment horizontal="center" vertical="bottom" textRotation="0" wrapText="false" indent="0" shrinkToFit="false"/>
      <protection locked="true" hidden="false"/>
    </xf>
    <xf numFmtId="166" fontId="4" fillId="2" borderId="0" xfId="0" applyFont="true" applyBorder="false" applyAlignment="true" applyProtection="false">
      <alignment horizontal="center" vertical="bottom" textRotation="0" wrapText="false" indent="0" shrinkToFit="false"/>
      <protection locked="true" hidden="false"/>
    </xf>
    <xf numFmtId="173" fontId="0" fillId="2" borderId="0" xfId="0" applyFont="false" applyBorder="false" applyAlignment="true" applyProtection="false">
      <alignment horizontal="center" vertical="bottom" textRotation="0" wrapText="false" indent="0" shrinkToFit="false"/>
      <protection locked="true" hidden="false"/>
    </xf>
    <xf numFmtId="164" fontId="14" fillId="3"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4" borderId="0" xfId="0" applyFont="true" applyBorder="false" applyAlignment="true" applyProtection="false">
      <alignment horizontal="center" vertical="bottom" textRotation="0" wrapText="false" indent="0" shrinkToFit="false"/>
      <protection locked="true" hidden="false"/>
    </xf>
    <xf numFmtId="164" fontId="5" fillId="5" borderId="0" xfId="0" applyFont="true" applyBorder="false" applyAlignment="true" applyProtection="false">
      <alignment horizontal="center" vertical="bottom" textRotation="0" wrapText="false" indent="0" shrinkToFit="false"/>
      <protection locked="true" hidden="false"/>
    </xf>
    <xf numFmtId="164" fontId="5" fillId="6" borderId="0" xfId="0" applyFont="true" applyBorder="false" applyAlignment="true" applyProtection="false">
      <alignment horizontal="center"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16"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72" fontId="0" fillId="4" borderId="0" xfId="0" applyFont="fals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72" fontId="0" fillId="4" borderId="0" xfId="0" applyFont="fals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4" fillId="0" borderId="4"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5" borderId="0" xfId="0" applyFont="false" applyBorder="true" applyAlignment="false" applyProtection="false">
      <alignment horizontal="general" vertical="bottom"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67" fontId="0" fillId="4" borderId="0"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4" fillId="5" borderId="7"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8" fontId="0" fillId="4" borderId="0" xfId="0" applyFont="false" applyBorder="true" applyAlignment="false" applyProtection="false">
      <alignment horizontal="general" vertical="bottom" textRotation="0" wrapText="false" indent="0" shrinkToFit="false"/>
      <protection locked="true" hidden="false"/>
    </xf>
    <xf numFmtId="164" fontId="18" fillId="0" borderId="4" xfId="0" applyFont="true" applyBorder="true" applyAlignment="false" applyProtection="false">
      <alignment horizontal="general" vertical="bottom" textRotation="0" wrapText="false" indent="0" shrinkToFit="false"/>
      <protection locked="true" hidden="false"/>
    </xf>
    <xf numFmtId="175" fontId="0" fillId="4" borderId="0" xfId="0" applyFont="false" applyBorder="true" applyAlignment="false" applyProtection="false">
      <alignment horizontal="general" vertical="bottom" textRotation="0" wrapText="false" indent="0" shrinkToFit="false"/>
      <protection locked="true" hidden="false"/>
    </xf>
    <xf numFmtId="166" fontId="0" fillId="4" borderId="0" xfId="0" applyFont="false" applyBorder="true" applyAlignment="false" applyProtection="false">
      <alignment horizontal="general" vertical="bottom" textRotation="0" wrapText="false" indent="0" shrinkToFit="false"/>
      <protection locked="true" hidden="false"/>
    </xf>
    <xf numFmtId="176" fontId="0" fillId="4" borderId="0" xfId="0" applyFont="false" applyBorder="true" applyAlignment="false" applyProtection="false">
      <alignment horizontal="general" vertical="bottom" textRotation="0" wrapText="false" indent="0" shrinkToFit="false"/>
      <protection locked="true" hidden="false"/>
    </xf>
    <xf numFmtId="172" fontId="19" fillId="0" borderId="0" xfId="0" applyFont="true" applyBorder="true" applyAlignment="true" applyProtection="false">
      <alignment horizontal="center" vertical="bottom" textRotation="0" wrapText="false" indent="0" shrinkToFit="false"/>
      <protection locked="true" hidden="false"/>
    </xf>
    <xf numFmtId="172" fontId="0" fillId="0" borderId="0" xfId="0" applyFont="false" applyBorder="true" applyAlignment="true" applyProtection="false">
      <alignment horizontal="center" vertical="bottom" textRotation="0" wrapText="false" indent="0" shrinkToFit="false"/>
      <protection locked="true" hidden="false"/>
    </xf>
    <xf numFmtId="164" fontId="18" fillId="5" borderId="0"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18" fillId="5" borderId="7"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8" fontId="18" fillId="4" borderId="2" xfId="0" applyFont="true" applyBorder="true" applyAlignment="false" applyProtection="false">
      <alignment horizontal="general" vertical="bottom" textRotation="0" wrapText="false" indent="0" shrinkToFit="false"/>
      <protection locked="true" hidden="false"/>
    </xf>
    <xf numFmtId="168" fontId="18" fillId="4" borderId="0" xfId="0" applyFont="true" applyBorder="true" applyAlignment="false" applyProtection="false">
      <alignment horizontal="general" vertical="bottom" textRotation="0" wrapText="false" indent="0" shrinkToFit="false"/>
      <protection locked="true" hidden="false"/>
    </xf>
    <xf numFmtId="165" fontId="0" fillId="6" borderId="0" xfId="0" applyFont="false" applyBorder="true" applyAlignment="false" applyProtection="false">
      <alignment horizontal="general" vertical="bottom" textRotation="0" wrapText="false" indent="0" shrinkToFit="false"/>
      <protection locked="true" hidden="false"/>
    </xf>
    <xf numFmtId="172" fontId="0" fillId="5" borderId="2" xfId="0" applyFont="fals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7" fontId="0" fillId="0" borderId="0" xfId="0" applyFont="false" applyBorder="true" applyAlignment="false" applyProtection="false">
      <alignment horizontal="general"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4" fillId="0" borderId="7" xfId="0" applyFont="true" applyBorder="true" applyAlignment="false" applyProtection="false">
      <alignment horizontal="general" vertical="bottom" textRotation="0" wrapText="false" indent="0" shrinkToFit="false"/>
      <protection locked="true" hidden="false"/>
    </xf>
    <xf numFmtId="164" fontId="16" fillId="0" borderId="9" xfId="0" applyFont="tru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4" fontId="0" fillId="7" borderId="0" xfId="0" applyFont="false" applyBorder="true" applyAlignment="false" applyProtection="false">
      <alignment horizontal="general" vertical="bottom" textRotation="0" wrapText="fals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20" fillId="0" borderId="12" xfId="0" applyFont="true" applyBorder="true" applyAlignment="false" applyProtection="false">
      <alignment horizontal="general" vertical="bottom" textRotation="0" wrapText="false" indent="0" shrinkToFit="false"/>
      <protection locked="true" hidden="false"/>
    </xf>
    <xf numFmtId="168" fontId="20" fillId="5" borderId="0"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false" applyProtection="false">
      <alignment horizontal="general" vertical="bottom" textRotation="0" wrapText="false" indent="0" shrinkToFit="false"/>
      <protection locked="true" hidden="false"/>
    </xf>
    <xf numFmtId="172" fontId="20" fillId="8" borderId="0" xfId="0" applyFont="true" applyBorder="tru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7" fontId="20" fillId="0" borderId="0" xfId="0" applyFont="true" applyBorder="true" applyAlignment="false" applyProtection="false">
      <alignment horizontal="general" vertical="bottom" textRotation="0" wrapText="false" indent="0" shrinkToFit="false"/>
      <protection locked="true" hidden="false"/>
    </xf>
    <xf numFmtId="164" fontId="20" fillId="0" borderId="12" xfId="0" applyFont="true" applyBorder="true" applyAlignment="false" applyProtection="false">
      <alignment horizontal="general" vertical="bottom" textRotation="0" wrapText="false" indent="0" shrinkToFit="false"/>
      <protection locked="true" hidden="false"/>
    </xf>
    <xf numFmtId="164" fontId="20" fillId="4" borderId="0" xfId="0" applyFont="true" applyBorder="true" applyAlignment="false" applyProtection="false">
      <alignment horizontal="general" vertical="bottom" textRotation="0" wrapText="false" indent="0" shrinkToFit="false"/>
      <protection locked="true" hidden="false"/>
    </xf>
    <xf numFmtId="171" fontId="20" fillId="8" borderId="0" xfId="0" applyFont="true" applyBorder="true" applyAlignment="false" applyProtection="false">
      <alignment horizontal="general" vertical="bottom" textRotation="0" wrapText="false" indent="0" shrinkToFit="false"/>
      <protection locked="true" hidden="false"/>
    </xf>
    <xf numFmtId="164" fontId="20" fillId="0" borderId="14" xfId="0" applyFont="true" applyBorder="true" applyAlignment="false" applyProtection="false">
      <alignment horizontal="general" vertical="bottom" textRotation="0" wrapText="false" indent="0" shrinkToFit="false"/>
      <protection locked="true" hidden="false"/>
    </xf>
    <xf numFmtId="172" fontId="20" fillId="8" borderId="15" xfId="0" applyFont="true" applyBorder="true" applyAlignment="false" applyProtection="false">
      <alignment horizontal="general" vertical="bottom" textRotation="0" wrapText="false" indent="0" shrinkToFit="false"/>
      <protection locked="true" hidden="false"/>
    </xf>
    <xf numFmtId="164" fontId="20" fillId="0" borderId="15" xfId="0" applyFont="true" applyBorder="true" applyAlignment="false" applyProtection="false">
      <alignment horizontal="general" vertical="bottom"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right" vertical="bottom" textRotation="0" wrapText="false" indent="0" shrinkToFit="false"/>
      <protection locked="true" hidden="false"/>
    </xf>
    <xf numFmtId="167"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true" applyProtection="false">
      <alignment horizontal="right" vertical="bottom" textRotation="0" wrapText="false" indent="0" shrinkToFit="false"/>
      <protection locked="true" hidden="false"/>
    </xf>
    <xf numFmtId="168" fontId="19"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true" applyAlignment="true" applyProtection="false">
      <alignment horizontal="right" vertical="bottom" textRotation="0" wrapText="false" indent="0" shrinkToFit="false"/>
      <protection locked="true" hidden="false"/>
    </xf>
    <xf numFmtId="171" fontId="0" fillId="0" borderId="0" xfId="0" applyFont="false" applyBorder="true" applyAlignment="false" applyProtection="false">
      <alignment horizontal="general" vertical="bottom" textRotation="0" wrapText="false" indent="0" shrinkToFit="false"/>
      <protection locked="true" hidden="false"/>
    </xf>
    <xf numFmtId="167" fontId="0" fillId="0" borderId="0" xfId="0" applyFont="false" applyBorder="true" applyAlignment="true" applyProtection="false">
      <alignment horizontal="right" vertical="bottom" textRotation="0" wrapText="false" indent="0" shrinkToFit="false"/>
      <protection locked="true" hidden="false"/>
    </xf>
    <xf numFmtId="177" fontId="0" fillId="0" borderId="0" xfId="0" applyFont="false" applyBorder="true" applyAlignment="true" applyProtection="false">
      <alignment horizontal="right" vertical="bottom" textRotation="0" wrapText="false" indent="0" shrinkToFit="false"/>
      <protection locked="true" hidden="false"/>
    </xf>
    <xf numFmtId="177" fontId="0" fillId="0" borderId="0" xfId="0" applyFont="false" applyBorder="false" applyAlignment="false" applyProtection="false">
      <alignment horizontal="general" vertical="bottom" textRotation="0" wrapText="false" indent="0" shrinkToFit="false"/>
      <protection locked="true" hidden="false"/>
    </xf>
    <xf numFmtId="178" fontId="0" fillId="0" borderId="0" xfId="0" applyFont="false" applyBorder="true" applyAlignment="true" applyProtection="false">
      <alignment horizontal="right" vertical="bottom" textRotation="0" wrapText="false" indent="0" shrinkToFit="false"/>
      <protection locked="true" hidden="false"/>
    </xf>
    <xf numFmtId="178" fontId="0" fillId="0" borderId="0" xfId="0" applyFont="false" applyBorder="false" applyAlignment="false" applyProtection="false">
      <alignment horizontal="general" vertical="bottom" textRotation="0" wrapText="false" indent="0" shrinkToFit="false"/>
      <protection locked="true" hidden="false"/>
    </xf>
    <xf numFmtId="177" fontId="0" fillId="0" borderId="4" xfId="0" applyFont="fals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6" borderId="2" xfId="0" applyFont="fals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8" fontId="0" fillId="8" borderId="0" xfId="0" applyFont="false" applyBorder="true" applyAlignment="false" applyProtection="false">
      <alignment horizontal="general" vertical="bottom" textRotation="0" wrapText="false" indent="0" shrinkToFit="false"/>
      <protection locked="true" hidden="false"/>
    </xf>
    <xf numFmtId="166" fontId="18" fillId="5" borderId="0" xfId="0" applyFont="true" applyBorder="true" applyAlignment="false" applyProtection="false">
      <alignment horizontal="general" vertical="bottom" textRotation="0" wrapText="false" indent="0" shrinkToFit="false"/>
      <protection locked="true" hidden="false"/>
    </xf>
    <xf numFmtId="176" fontId="18" fillId="5" borderId="0" xfId="0" applyFont="true" applyBorder="true" applyAlignment="false" applyProtection="false">
      <alignment horizontal="general" vertical="bottom" textRotation="0" wrapText="false" indent="0" shrinkToFit="false"/>
      <protection locked="true" hidden="false"/>
    </xf>
    <xf numFmtId="168" fontId="18" fillId="5" borderId="0" xfId="0" applyFont="true" applyBorder="true" applyAlignment="false" applyProtection="false">
      <alignment horizontal="general" vertical="bottom" textRotation="0" wrapText="false" indent="0" shrinkToFit="false"/>
      <protection locked="true" hidden="false"/>
    </xf>
    <xf numFmtId="165" fontId="18" fillId="5" borderId="0" xfId="0" applyFont="true" applyBorder="true" applyAlignment="false" applyProtection="false">
      <alignment horizontal="general" vertical="bottom" textRotation="0" wrapText="false" indent="0" shrinkToFit="false"/>
      <protection locked="true" hidden="false"/>
    </xf>
    <xf numFmtId="166" fontId="0" fillId="5" borderId="0" xfId="0" applyFont="false" applyBorder="true" applyAlignment="false" applyProtection="false">
      <alignment horizontal="general" vertical="bottom" textRotation="0" wrapText="false" indent="0" shrinkToFit="false"/>
      <protection locked="true" hidden="false"/>
    </xf>
    <xf numFmtId="165" fontId="0" fillId="5" borderId="0" xfId="0" applyFont="false" applyBorder="true" applyAlignment="false" applyProtection="false">
      <alignment horizontal="general" vertical="bottom" textRotation="0" wrapText="false" indent="0" shrinkToFit="false"/>
      <protection locked="true" hidden="false"/>
    </xf>
    <xf numFmtId="164" fontId="18" fillId="0" borderId="6" xfId="0" applyFont="true" applyBorder="true" applyAlignment="false" applyProtection="false">
      <alignment horizontal="general" vertical="bottom" textRotation="0" wrapText="false" indent="0" shrinkToFit="false"/>
      <protection locked="true" hidden="false"/>
    </xf>
    <xf numFmtId="165" fontId="18" fillId="0" borderId="7"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5" fontId="18" fillId="0" borderId="0" xfId="0" applyFont="true" applyBorder="false" applyAlignment="false" applyProtection="false">
      <alignment horizontal="general" vertical="bottom" textRotation="0" wrapText="false" indent="0" shrinkToFit="false"/>
      <protection locked="true" hidden="false"/>
    </xf>
    <xf numFmtId="171" fontId="4"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72" fontId="0" fillId="0" borderId="0" xfId="0" applyFont="false" applyBorder="true" applyAlignment="true" applyProtection="false">
      <alignment horizontal="left" vertical="bottom" textRotation="0" wrapText="false" indent="0" shrinkToFit="false"/>
      <protection locked="true" hidden="false"/>
    </xf>
    <xf numFmtId="168"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2" borderId="0" xfId="0" applyFont="false" applyBorder="false" applyAlignment="false" applyProtection="true">
      <alignment horizontal="general" vertical="bottom" textRotation="0" wrapText="false" indent="0" shrinkToFit="false"/>
      <protection locked="true" hidden="false"/>
    </xf>
    <xf numFmtId="164" fontId="0" fillId="9" borderId="0" xfId="0" applyFont="false" applyBorder="false" applyAlignment="false" applyProtection="true">
      <alignment horizontal="general" vertical="bottom" textRotation="0" wrapText="false" indent="0" shrinkToFit="false"/>
      <protection locked="true" hidden="false"/>
    </xf>
    <xf numFmtId="164" fontId="0" fillId="3" borderId="0" xfId="0" applyFont="false" applyBorder="false" applyAlignment="false" applyProtection="true">
      <alignment horizontal="general" vertical="bottom" textRotation="0" wrapText="false" indent="0" shrinkToFit="false"/>
      <protection locked="true" hidden="false"/>
    </xf>
    <xf numFmtId="164" fontId="0" fillId="10" borderId="0" xfId="0" applyFont="false" applyBorder="false" applyAlignment="false" applyProtection="true">
      <alignment horizontal="general" vertical="bottom" textRotation="0" wrapText="false" indent="0" shrinkToFit="false"/>
      <protection locked="true" hidden="false"/>
    </xf>
    <xf numFmtId="164" fontId="22" fillId="9" borderId="17" xfId="0" applyFont="true" applyBorder="true" applyAlignment="true" applyProtection="true">
      <alignment horizontal="center" vertical="bottom" textRotation="0" wrapText="false" indent="0" shrinkToFit="false"/>
      <protection locked="true" hidden="false"/>
    </xf>
    <xf numFmtId="164" fontId="23" fillId="9" borderId="0" xfId="0" applyFont="true" applyBorder="false" applyAlignment="false" applyProtection="true">
      <alignment horizontal="general" vertical="bottom" textRotation="0" wrapText="false" indent="0" shrinkToFit="false"/>
      <protection locked="true" hidden="false"/>
    </xf>
    <xf numFmtId="164" fontId="0" fillId="9" borderId="0" xfId="0" applyFont="false" applyBorder="false" applyAlignment="false" applyProtection="true">
      <alignment horizontal="general" vertical="bottom" textRotation="0" wrapText="false" indent="0" shrinkToFit="false"/>
      <protection locked="true" hidden="false"/>
    </xf>
    <xf numFmtId="164" fontId="24" fillId="9" borderId="0" xfId="0" applyFont="true" applyBorder="false" applyAlignment="true" applyProtection="true">
      <alignment horizontal="center" vertical="bottom" textRotation="0" wrapText="false" indent="0" shrinkToFit="false"/>
      <protection locked="true" hidden="false"/>
    </xf>
    <xf numFmtId="164" fontId="25" fillId="9" borderId="0" xfId="0" applyFont="true" applyBorder="false" applyAlignment="true" applyProtection="true">
      <alignment horizontal="right" vertical="bottom" textRotation="0" wrapText="false" indent="0" shrinkToFit="false"/>
      <protection locked="true" hidden="false"/>
    </xf>
    <xf numFmtId="164" fontId="26" fillId="9" borderId="0" xfId="0" applyFont="true" applyBorder="false" applyAlignment="true" applyProtection="true">
      <alignment horizontal="center" vertical="bottom" textRotation="0" wrapText="false" indent="0" shrinkToFit="false"/>
      <protection locked="true" hidden="false"/>
    </xf>
    <xf numFmtId="164" fontId="4" fillId="9" borderId="0" xfId="0" applyFont="true" applyBorder="false" applyAlignment="false" applyProtection="true">
      <alignment horizontal="general" vertical="bottom" textRotation="0" wrapText="false" indent="0" shrinkToFit="false"/>
      <protection locked="true" hidden="false"/>
    </xf>
    <xf numFmtId="164" fontId="23" fillId="2" borderId="0" xfId="0" applyFont="true" applyBorder="false" applyAlignment="true" applyProtection="true">
      <alignment horizontal="center" vertical="bottom" textRotation="0" wrapText="false" indent="0" shrinkToFit="false"/>
      <protection locked="true" hidden="false"/>
    </xf>
    <xf numFmtId="164" fontId="0" fillId="11" borderId="0" xfId="0" applyFont="false" applyBorder="false" applyAlignment="false" applyProtection="true">
      <alignment horizontal="general" vertical="bottom" textRotation="0" wrapText="false" indent="0" shrinkToFit="false"/>
      <protection locked="true" hidden="false"/>
    </xf>
    <xf numFmtId="164" fontId="0" fillId="11" borderId="0" xfId="0" applyFont="false" applyBorder="false" applyAlignment="false" applyProtection="true">
      <alignment horizontal="general" vertical="bottom" textRotation="0" wrapText="false" indent="0" shrinkToFit="false"/>
      <protection locked="true" hidden="false"/>
    </xf>
    <xf numFmtId="164" fontId="27" fillId="2" borderId="1" xfId="0" applyFont="true" applyBorder="true" applyAlignment="false" applyProtection="true">
      <alignment horizontal="general" vertical="bottom" textRotation="0" wrapText="false" indent="0" shrinkToFit="false"/>
      <protection locked="true" hidden="false"/>
    </xf>
    <xf numFmtId="164" fontId="4" fillId="2" borderId="2" xfId="0" applyFont="true" applyBorder="true" applyAlignment="true" applyProtection="true">
      <alignment horizontal="right" vertical="bottom" textRotation="0" wrapText="false" indent="0" shrinkToFit="false"/>
      <protection locked="true" hidden="false"/>
    </xf>
    <xf numFmtId="164" fontId="4" fillId="11" borderId="18" xfId="0" applyFont="true" applyBorder="true" applyAlignment="true" applyProtection="true">
      <alignment horizontal="center" vertical="bottom" textRotation="0" wrapText="false" indent="0" shrinkToFit="false"/>
      <protection locked="false" hidden="false"/>
    </xf>
    <xf numFmtId="164" fontId="27" fillId="2" borderId="4" xfId="0" applyFont="true" applyBorder="true" applyAlignment="false" applyProtection="true">
      <alignment horizontal="general" vertical="bottom" textRotation="0" wrapText="false" indent="0" shrinkToFit="false"/>
      <protection locked="true" hidden="false"/>
    </xf>
    <xf numFmtId="164" fontId="4" fillId="2" borderId="0" xfId="0" applyFont="true" applyBorder="true" applyAlignment="true" applyProtection="true">
      <alignment horizontal="right" vertical="bottom" textRotation="0" wrapText="false" indent="0" shrinkToFit="false"/>
      <protection locked="true" hidden="false"/>
    </xf>
    <xf numFmtId="164" fontId="4" fillId="11" borderId="19" xfId="0" applyFont="true" applyBorder="true" applyAlignment="true" applyProtection="true">
      <alignment horizontal="center" vertical="bottom" textRotation="0" wrapText="false" indent="0" shrinkToFit="false"/>
      <protection locked="false" hidden="false"/>
    </xf>
    <xf numFmtId="164" fontId="0" fillId="2" borderId="4" xfId="0" applyFont="false" applyBorder="true" applyAlignment="false" applyProtection="true">
      <alignment horizontal="general" vertical="bottom" textRotation="0" wrapText="false" indent="0" shrinkToFit="false"/>
      <protection locked="true" hidden="false"/>
    </xf>
    <xf numFmtId="164" fontId="4" fillId="11" borderId="20" xfId="0" applyFont="true" applyBorder="true" applyAlignment="true" applyProtection="true">
      <alignment horizontal="center" vertical="bottom" textRotation="0" wrapText="false" indent="0" shrinkToFit="false"/>
      <protection locked="false" hidden="false"/>
    </xf>
    <xf numFmtId="164" fontId="23" fillId="2" borderId="4" xfId="0" applyFont="true" applyBorder="true" applyAlignment="fals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right" vertical="bottom" textRotation="0" wrapText="false" indent="0" shrinkToFit="false"/>
      <protection locked="true" hidden="false"/>
    </xf>
    <xf numFmtId="164" fontId="0" fillId="11" borderId="20" xfId="0" applyFont="false" applyBorder="true" applyAlignment="true" applyProtection="true">
      <alignment horizontal="center" vertical="bottom" textRotation="0" wrapText="false" indent="0" shrinkToFit="false"/>
      <protection locked="false" hidden="false"/>
    </xf>
    <xf numFmtId="164" fontId="4" fillId="11" borderId="20" xfId="0" applyFont="true" applyBorder="true" applyAlignment="true" applyProtection="true">
      <alignment horizontal="center" vertical="bottom" textRotation="0" wrapText="false" indent="0" shrinkToFit="false"/>
      <protection locked="false" hidden="false"/>
    </xf>
    <xf numFmtId="168" fontId="4" fillId="0" borderId="2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right" vertical="bottom" textRotation="0" wrapText="false" indent="0" shrinkToFit="false"/>
      <protection locked="true" hidden="false"/>
    </xf>
    <xf numFmtId="168" fontId="4" fillId="2" borderId="2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right" vertical="bottom" textRotation="0" wrapText="false" indent="0" shrinkToFit="false"/>
      <protection locked="true" hidden="false"/>
    </xf>
    <xf numFmtId="164" fontId="0" fillId="11" borderId="20" xfId="0" applyFont="false" applyBorder="true" applyAlignment="true" applyProtection="true">
      <alignment horizontal="center" vertical="bottom" textRotation="0" wrapText="false" indent="0" shrinkToFit="false"/>
      <protection locked="true" hidden="false"/>
    </xf>
    <xf numFmtId="164" fontId="5" fillId="2" borderId="0" xfId="0" applyFont="true" applyBorder="true" applyAlignment="true" applyProtection="true">
      <alignment horizontal="right" vertical="bottom" textRotation="0" wrapText="false" indent="0" shrinkToFit="false"/>
      <protection locked="true" hidden="false"/>
    </xf>
    <xf numFmtId="164" fontId="0" fillId="2" borderId="21" xfId="0" applyFont="false" applyBorder="true" applyAlignment="true" applyProtection="true">
      <alignment horizontal="center" vertical="bottom" textRotation="0" wrapText="false" indent="0" shrinkToFit="false"/>
      <protection locked="true" hidden="false"/>
    </xf>
    <xf numFmtId="164" fontId="27" fillId="2" borderId="0" xfId="0" applyFont="true" applyBorder="true" applyAlignment="true" applyProtection="true">
      <alignment horizontal="right" vertical="bottom" textRotation="0" wrapText="false" indent="2" shrinkToFit="false"/>
      <protection locked="true" hidden="false"/>
    </xf>
    <xf numFmtId="164" fontId="4" fillId="2" borderId="0" xfId="0" applyFont="true" applyBorder="false" applyAlignment="true" applyProtection="true">
      <alignment horizontal="right" vertical="bottom" textRotation="0" wrapText="false" indent="0" shrinkToFit="false"/>
      <protection locked="true" hidden="false"/>
    </xf>
    <xf numFmtId="168" fontId="20" fillId="11" borderId="22" xfId="0" applyFont="true" applyBorder="true" applyAlignment="true" applyProtection="true">
      <alignment horizontal="center" vertical="bottom" textRotation="0" wrapText="false" indent="0" shrinkToFit="false"/>
      <protection locked="false" hidden="false"/>
    </xf>
    <xf numFmtId="168" fontId="20" fillId="2" borderId="21" xfId="0" applyFont="true" applyBorder="true" applyAlignment="true" applyProtection="true">
      <alignment horizontal="center" vertical="bottom" textRotation="0" wrapText="false" indent="0" shrinkToFit="false"/>
      <protection locked="true" hidden="false"/>
    </xf>
    <xf numFmtId="164" fontId="27" fillId="2" borderId="0" xfId="0" applyFont="true" applyBorder="true" applyAlignment="true" applyProtection="true">
      <alignment horizontal="right" vertical="bottom" textRotation="0" wrapText="false" indent="7" shrinkToFit="false"/>
      <protection locked="true" hidden="false"/>
    </xf>
    <xf numFmtId="179" fontId="20" fillId="11" borderId="21" xfId="0" applyFont="true" applyBorder="true" applyAlignment="true" applyProtection="true">
      <alignment horizontal="center" vertical="bottom" textRotation="0" wrapText="false" indent="0" shrinkToFit="false"/>
      <protection locked="false" hidden="false"/>
    </xf>
    <xf numFmtId="168" fontId="20" fillId="2" borderId="19" xfId="0" applyFont="true" applyBorder="true" applyAlignment="true" applyProtection="true">
      <alignment horizontal="center" vertical="bottom" textRotation="0" wrapText="false" indent="0" shrinkToFit="false"/>
      <protection locked="true" hidden="false"/>
    </xf>
    <xf numFmtId="164" fontId="0" fillId="11" borderId="0" xfId="0" applyFont="false" applyBorder="false" applyAlignment="false" applyProtection="true">
      <alignment horizontal="general" vertical="bottom" textRotation="0" wrapText="false" indent="0" shrinkToFit="false"/>
      <protection locked="false" hidden="false"/>
    </xf>
    <xf numFmtId="164" fontId="27" fillId="2" borderId="0" xfId="0" applyFont="true" applyBorder="true" applyAlignment="true" applyProtection="true">
      <alignment horizontal="left" vertical="bottom" textRotation="0" wrapText="false" indent="15" shrinkToFit="false"/>
      <protection locked="true" hidden="false"/>
    </xf>
    <xf numFmtId="164" fontId="0" fillId="11" borderId="22" xfId="0" applyFont="false" applyBorder="true" applyAlignment="true" applyProtection="true">
      <alignment horizontal="center" vertical="bottom" textRotation="0" wrapText="false" indent="0" shrinkToFit="false"/>
      <protection locked="false" hidden="false"/>
    </xf>
    <xf numFmtId="164" fontId="27" fillId="2" borderId="0" xfId="0" applyFont="true" applyBorder="true" applyAlignment="true" applyProtection="true">
      <alignment horizontal="right" vertical="bottom" textRotation="0" wrapText="false" indent="15" shrinkToFit="false"/>
      <protection locked="true" hidden="false"/>
    </xf>
    <xf numFmtId="164" fontId="0" fillId="0" borderId="20" xfId="0" applyFont="false" applyBorder="true" applyAlignment="true" applyProtection="true">
      <alignment horizontal="center" vertical="bottom" textRotation="0" wrapText="false" indent="0" shrinkToFit="false"/>
      <protection locked="true" hidden="false"/>
    </xf>
    <xf numFmtId="169" fontId="0" fillId="0" borderId="22" xfId="0" applyFont="false" applyBorder="true" applyAlignment="true" applyProtection="true">
      <alignment horizontal="center" vertical="bottom" textRotation="0" wrapText="false" indent="0" shrinkToFit="false"/>
      <protection locked="true" hidden="false"/>
    </xf>
    <xf numFmtId="169" fontId="0" fillId="11" borderId="23" xfId="0" applyFont="false" applyBorder="true" applyAlignment="true" applyProtection="true">
      <alignment horizontal="center" vertical="bottom" textRotation="0" wrapText="false" indent="0" shrinkToFit="false"/>
      <protection locked="false" hidden="false"/>
    </xf>
    <xf numFmtId="168" fontId="0" fillId="2" borderId="19" xfId="0" applyFont="false" applyBorder="true" applyAlignment="true" applyProtection="true">
      <alignment horizontal="center" vertical="bottom" textRotation="0" wrapText="false" indent="0" shrinkToFit="false"/>
      <protection locked="true" hidden="false"/>
    </xf>
    <xf numFmtId="168" fontId="4" fillId="11" borderId="20" xfId="0" applyFont="true" applyBorder="true" applyAlignment="true" applyProtection="true">
      <alignment horizontal="center" vertical="bottom" textRotation="0" wrapText="false" indent="0" shrinkToFit="false"/>
      <protection locked="false" hidden="false"/>
    </xf>
    <xf numFmtId="164" fontId="0" fillId="2" borderId="6" xfId="0" applyFont="false" applyBorder="true" applyAlignment="false" applyProtection="true">
      <alignment horizontal="general" vertical="bottom" textRotation="0" wrapText="false" indent="0" shrinkToFit="false"/>
      <protection locked="true" hidden="false"/>
    </xf>
    <xf numFmtId="164" fontId="4" fillId="2" borderId="7" xfId="0" applyFont="true" applyBorder="true" applyAlignment="true" applyProtection="true">
      <alignment horizontal="right" vertical="bottom" textRotation="0" wrapText="false" indent="0" shrinkToFit="false"/>
      <protection locked="true" hidden="false"/>
    </xf>
    <xf numFmtId="171" fontId="4" fillId="11" borderId="23" xfId="0" applyFont="true" applyBorder="true" applyAlignment="true" applyProtection="true">
      <alignment horizontal="center" vertical="bottom" textRotation="0" wrapText="false" indent="0" shrinkToFit="false"/>
      <protection locked="false" hidden="false"/>
    </xf>
    <xf numFmtId="164" fontId="4" fillId="2" borderId="0" xfId="0" applyFont="true" applyBorder="false" applyAlignment="false" applyProtection="true">
      <alignment horizontal="general" vertical="bottom" textRotation="0" wrapText="false" indent="0" shrinkToFit="false"/>
      <protection locked="true" hidden="false"/>
    </xf>
    <xf numFmtId="180" fontId="0" fillId="11" borderId="18" xfId="0" applyFont="false" applyBorder="true" applyAlignment="true" applyProtection="true">
      <alignment horizontal="center" vertical="bottom" textRotation="0" wrapText="false" indent="0" shrinkToFit="false"/>
      <protection locked="false" hidden="false"/>
    </xf>
    <xf numFmtId="172" fontId="4" fillId="2" borderId="20" xfId="0" applyFont="true" applyBorder="true" applyAlignment="true" applyProtection="true">
      <alignment horizontal="center" vertical="bottom" textRotation="0" wrapText="false" indent="0" shrinkToFit="false"/>
      <protection locked="true" hidden="false"/>
    </xf>
    <xf numFmtId="169" fontId="4" fillId="2" borderId="20" xfId="0" applyFont="true" applyBorder="true" applyAlignment="true" applyProtection="true">
      <alignment horizontal="center" vertical="bottom" textRotation="0" wrapText="false" indent="0" shrinkToFit="false"/>
      <protection locked="true" hidden="false"/>
    </xf>
    <xf numFmtId="171" fontId="0" fillId="11" borderId="20" xfId="0" applyFont="false" applyBorder="true" applyAlignment="true" applyProtection="true">
      <alignment horizontal="center" vertical="bottom" textRotation="0" wrapText="false" indent="0" shrinkToFit="false"/>
      <protection locked="false" hidden="false"/>
    </xf>
    <xf numFmtId="168" fontId="0" fillId="2" borderId="23" xfId="0" applyFont="false" applyBorder="true" applyAlignment="true" applyProtection="true">
      <alignment horizontal="center" vertical="bottom" textRotation="0" wrapText="false" indent="0" shrinkToFit="false"/>
      <protection locked="true" hidden="false"/>
    </xf>
    <xf numFmtId="181" fontId="0" fillId="11" borderId="0" xfId="0" applyFont="false" applyBorder="false" applyAlignment="false" applyProtection="true">
      <alignment horizontal="general" vertical="bottom" textRotation="0" wrapText="false" indent="0" shrinkToFit="false"/>
      <protection locked="true" hidden="false"/>
    </xf>
    <xf numFmtId="164" fontId="0" fillId="2" borderId="2" xfId="0" applyFont="true" applyBorder="true" applyAlignment="true" applyProtection="true">
      <alignment horizontal="right" vertical="bottom" textRotation="0" wrapText="false" indent="0" shrinkToFit="false"/>
      <protection locked="true" hidden="false"/>
    </xf>
    <xf numFmtId="164" fontId="0" fillId="11" borderId="18" xfId="0" applyFont="false" applyBorder="true" applyAlignment="true" applyProtection="true">
      <alignment horizontal="center" vertical="bottom" textRotation="0" wrapText="false" indent="0" shrinkToFit="false"/>
      <protection locked="false" hidden="false"/>
    </xf>
    <xf numFmtId="167" fontId="0" fillId="0" borderId="20" xfId="0" applyFont="false" applyBorder="true" applyAlignment="true" applyProtection="true">
      <alignment horizontal="center" vertical="bottom" textRotation="0" wrapText="false" indent="0" shrinkToFit="false"/>
      <protection locked="true" hidden="false"/>
    </xf>
    <xf numFmtId="167" fontId="0" fillId="11" borderId="20" xfId="0" applyFont="false" applyBorder="true" applyAlignment="true" applyProtection="true">
      <alignment horizontal="center" vertical="bottom" textRotation="0" wrapText="false" indent="0" shrinkToFit="false"/>
      <protection locked="false" hidden="false"/>
    </xf>
    <xf numFmtId="169" fontId="0" fillId="11" borderId="20" xfId="0" applyFont="false" applyBorder="true" applyAlignment="true" applyProtection="true">
      <alignment horizontal="center" vertical="bottom" textRotation="0" wrapText="false" indent="0" shrinkToFit="false"/>
      <protection locked="false" hidden="false"/>
    </xf>
    <xf numFmtId="164" fontId="0" fillId="2" borderId="0" xfId="0" applyFont="true" applyBorder="true" applyAlignment="true" applyProtection="true">
      <alignment horizontal="right" vertical="bottom" textRotation="0" wrapText="false" indent="0" shrinkToFit="false"/>
      <protection locked="true" hidden="false"/>
    </xf>
    <xf numFmtId="167" fontId="0" fillId="2" borderId="20" xfId="0" applyFont="false" applyBorder="true" applyAlignment="true" applyProtection="true">
      <alignment horizontal="center" vertical="bottom" textRotation="0" wrapText="false" indent="0" shrinkToFit="false"/>
      <protection locked="true" hidden="false"/>
    </xf>
    <xf numFmtId="169" fontId="4" fillId="0" borderId="23" xfId="0" applyFont="true" applyBorder="true" applyAlignment="true" applyProtection="true">
      <alignment horizontal="center" vertical="bottom" textRotation="0" wrapText="false" indent="0" shrinkToFit="false"/>
      <protection locked="true" hidden="false"/>
    </xf>
    <xf numFmtId="168" fontId="0" fillId="2" borderId="0" xfId="0" applyFont="false" applyBorder="true" applyAlignment="true" applyProtection="true">
      <alignment horizontal="center" vertical="bottom" textRotation="0" wrapText="false" indent="0" shrinkToFit="false"/>
      <protection locked="true" hidden="false"/>
    </xf>
    <xf numFmtId="168" fontId="0" fillId="2" borderId="18" xfId="0" applyFont="false" applyBorder="true" applyAlignment="true" applyProtection="true">
      <alignment horizontal="center" vertical="bottom" textRotation="0" wrapText="false" indent="0" shrinkToFit="false"/>
      <protection locked="true" hidden="false"/>
    </xf>
    <xf numFmtId="164" fontId="20" fillId="2" borderId="4" xfId="0" applyFont="true" applyBorder="true" applyAlignment="true" applyProtection="true">
      <alignment horizontal="right" vertical="bottom" textRotation="0" wrapText="false" indent="0" shrinkToFit="false"/>
      <protection locked="true" hidden="false"/>
    </xf>
    <xf numFmtId="166" fontId="0" fillId="11" borderId="20" xfId="0" applyFont="false" applyBorder="true" applyAlignment="true" applyProtection="true">
      <alignment horizontal="center" vertical="bottom" textRotation="0" wrapText="false" indent="0" shrinkToFit="false"/>
      <protection locked="false" hidden="false"/>
    </xf>
    <xf numFmtId="164" fontId="4" fillId="2" borderId="6" xfId="0" applyFont="true" applyBorder="true" applyAlignment="true" applyProtection="true">
      <alignment horizontal="right" vertical="bottom" textRotation="0" wrapText="false" indent="0" shrinkToFit="false"/>
      <protection locked="true" hidden="false"/>
    </xf>
    <xf numFmtId="171" fontId="0" fillId="2" borderId="23" xfId="0" applyFont="false" applyBorder="true" applyAlignment="true" applyProtection="true">
      <alignment horizontal="center" vertical="bottom" textRotation="0" wrapText="false" indent="0" shrinkToFit="false"/>
      <protection locked="true" hidden="false"/>
    </xf>
    <xf numFmtId="166" fontId="0" fillId="2" borderId="0" xfId="0" applyFont="false" applyBorder="true" applyAlignment="true" applyProtection="true">
      <alignment horizontal="center" vertical="bottom" textRotation="0" wrapText="false" indent="0" shrinkToFit="false"/>
      <protection locked="true" hidden="false"/>
    </xf>
    <xf numFmtId="164" fontId="0" fillId="2" borderId="24" xfId="0" applyFont="false" applyBorder="true" applyAlignment="false" applyProtection="true">
      <alignment horizontal="general" vertical="bottom" textRotation="0" wrapText="false" indent="0" shrinkToFit="false"/>
      <protection locked="true" hidden="false"/>
    </xf>
    <xf numFmtId="164" fontId="27" fillId="2" borderId="4" xfId="0" applyFont="true" applyBorder="true" applyAlignment="true" applyProtection="true">
      <alignment horizontal="left" vertical="bottom" textRotation="0" wrapText="false" indent="11" shrinkToFit="false"/>
      <protection locked="true" hidden="false"/>
    </xf>
    <xf numFmtId="182" fontId="4" fillId="2" borderId="0" xfId="0" applyFont="true" applyBorder="true" applyAlignment="true" applyProtection="true">
      <alignment horizontal="right" vertical="bottom" textRotation="0" wrapText="true" indent="0" shrinkToFit="false"/>
      <protection locked="true" hidden="false"/>
    </xf>
    <xf numFmtId="164" fontId="0" fillId="11" borderId="19" xfId="0" applyFont="false" applyBorder="true" applyAlignment="true" applyProtection="true">
      <alignment horizontal="center" vertical="bottom" textRotation="0" wrapText="false" indent="0" shrinkToFit="false"/>
      <protection locked="false" hidden="false"/>
    </xf>
    <xf numFmtId="164" fontId="27" fillId="0" borderId="4" xfId="0" applyFont="true" applyBorder="true" applyAlignment="true" applyProtection="true">
      <alignment horizontal="left" vertical="bottom" textRotation="0" wrapText="false" indent="11" shrinkToFit="false"/>
      <protection locked="true" hidden="false"/>
    </xf>
    <xf numFmtId="164" fontId="4" fillId="2" borderId="0" xfId="0" applyFont="true" applyBorder="true" applyAlignment="false" applyProtection="true">
      <alignment horizontal="general" vertical="bottom" textRotation="0" wrapText="false" indent="0" shrinkToFit="false"/>
      <protection locked="true" hidden="false"/>
    </xf>
    <xf numFmtId="167" fontId="0" fillId="2" borderId="22" xfId="0" applyFont="false" applyBorder="true" applyAlignment="true" applyProtection="true">
      <alignment horizontal="center" vertical="bottom" textRotation="0" wrapText="false" indent="0" shrinkToFit="false"/>
      <protection locked="true" hidden="false"/>
    </xf>
    <xf numFmtId="166" fontId="0" fillId="2" borderId="23" xfId="0" applyFont="false" applyBorder="true" applyAlignment="true" applyProtection="true">
      <alignment horizontal="center" vertical="bottom" textRotation="0" wrapText="false" indent="0" shrinkToFit="false"/>
      <protection locked="true" hidden="false"/>
    </xf>
    <xf numFmtId="166" fontId="0" fillId="2" borderId="18" xfId="0" applyFont="false" applyBorder="true" applyAlignment="true" applyProtection="true">
      <alignment horizontal="center"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true" hidden="false"/>
    </xf>
    <xf numFmtId="167" fontId="0" fillId="11" borderId="23" xfId="0" applyFont="false" applyBorder="true" applyAlignment="true" applyProtection="true">
      <alignment horizontal="center" vertical="bottom" textRotation="0" wrapText="false" indent="0" shrinkToFit="false"/>
      <protection locked="false" hidden="false"/>
    </xf>
    <xf numFmtId="164" fontId="4" fillId="2" borderId="4" xfId="0" applyFont="true" applyBorder="true" applyAlignment="false" applyProtection="true">
      <alignment horizontal="general" vertical="bottom" textRotation="0" wrapText="false" indent="0" shrinkToFit="false"/>
      <protection locked="true" hidden="false"/>
    </xf>
    <xf numFmtId="171" fontId="0" fillId="2" borderId="20" xfId="0" applyFont="false" applyBorder="true" applyAlignment="true" applyProtection="true">
      <alignment horizontal="center" vertical="bottom" textRotation="0" wrapText="false" indent="0" shrinkToFit="false"/>
      <protection locked="true" hidden="false"/>
    </xf>
    <xf numFmtId="164" fontId="4" fillId="2" borderId="6" xfId="0" applyFont="true" applyBorder="true" applyAlignment="false" applyProtection="true">
      <alignment horizontal="general" vertical="bottom" textRotation="0" wrapText="false" indent="0" shrinkToFit="false"/>
      <protection locked="true" hidden="false"/>
    </xf>
    <xf numFmtId="171" fontId="0" fillId="11" borderId="23" xfId="0" applyFont="false" applyBorder="true" applyAlignment="true" applyProtection="true">
      <alignment horizontal="center" vertical="bottom" textRotation="0" wrapText="false" indent="0" shrinkToFit="false"/>
      <protection locked="false" hidden="false"/>
    </xf>
    <xf numFmtId="167" fontId="0" fillId="11" borderId="18" xfId="0" applyFont="false" applyBorder="true" applyAlignment="true" applyProtection="true">
      <alignment horizontal="center" vertical="bottom" textRotation="0" wrapText="false" indent="0" shrinkToFit="false"/>
      <protection locked="false" hidden="false"/>
    </xf>
    <xf numFmtId="168" fontId="0" fillId="11" borderId="20" xfId="0" applyFont="false" applyBorder="true" applyAlignment="true" applyProtection="true">
      <alignment horizontal="center" vertical="bottom" textRotation="0" wrapText="false" indent="0" shrinkToFit="false"/>
      <protection locked="false" hidden="false"/>
    </xf>
    <xf numFmtId="164" fontId="5" fillId="2" borderId="4" xfId="0" applyFont="true" applyBorder="true" applyAlignment="false" applyProtection="true">
      <alignment horizontal="general" vertical="bottom" textRotation="0" wrapText="false" indent="0" shrinkToFit="false"/>
      <protection locked="true" hidden="false"/>
    </xf>
    <xf numFmtId="168" fontId="0" fillId="0" borderId="20" xfId="0" applyFont="false" applyBorder="true" applyAlignment="true" applyProtection="true">
      <alignment horizontal="center" vertical="bottom" textRotation="0" wrapText="false" indent="0" shrinkToFit="false"/>
      <protection locked="true" hidden="false"/>
    </xf>
    <xf numFmtId="164" fontId="5" fillId="2" borderId="6" xfId="0"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5" fillId="2" borderId="0" xfId="0" applyFont="true" applyBorder="false" applyAlignment="false" applyProtection="true">
      <alignment horizontal="general" vertical="bottom" textRotation="0" wrapText="false" indent="0" shrinkToFit="false"/>
      <protection locked="true" hidden="false"/>
    </xf>
    <xf numFmtId="168" fontId="0" fillId="2" borderId="20" xfId="0" applyFont="false" applyBorder="true" applyAlignment="true" applyProtection="true">
      <alignment horizontal="center" vertical="bottom" textRotation="0" wrapText="false" indent="0" shrinkToFit="false"/>
      <protection locked="true" hidden="false"/>
    </xf>
    <xf numFmtId="168" fontId="0" fillId="11" borderId="23" xfId="0" applyFont="false" applyBorder="true" applyAlignment="true" applyProtection="true">
      <alignment horizontal="center" vertical="bottom" textRotation="0" wrapText="false" indent="0" shrinkToFit="false"/>
      <protection locked="false" hidden="false"/>
    </xf>
    <xf numFmtId="164" fontId="0" fillId="2" borderId="2" xfId="0" applyFont="false" applyBorder="true" applyAlignment="false" applyProtection="tru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false"/>
    </xf>
    <xf numFmtId="164" fontId="0" fillId="2" borderId="21" xfId="0" applyFont="false" applyBorder="true" applyAlignment="false" applyProtection="true">
      <alignment horizontal="general" vertical="bottom" textRotation="0" wrapText="false" indent="0" shrinkToFit="false"/>
      <protection locked="true" hidden="false"/>
    </xf>
    <xf numFmtId="164" fontId="23" fillId="2" borderId="0" xfId="0" applyFont="true" applyBorder="true" applyAlignment="true" applyProtection="true">
      <alignment horizontal="left" vertical="bottom" textRotation="0" wrapText="false" indent="0" shrinkToFit="false"/>
      <protection locked="true" hidden="false"/>
    </xf>
    <xf numFmtId="164" fontId="35" fillId="2" borderId="0" xfId="0" applyFont="true" applyBorder="true" applyAlignment="true" applyProtection="true">
      <alignment horizontal="right" vertical="bottom" textRotation="0" wrapText="false" indent="0" shrinkToFit="false"/>
      <protection locked="true" hidden="false"/>
    </xf>
    <xf numFmtId="171" fontId="0" fillId="2" borderId="20" xfId="0" applyFont="true" applyBorder="true" applyAlignment="true" applyProtection="true">
      <alignment horizontal="center" vertical="bottom" textRotation="0" wrapText="false" indent="0" shrinkToFit="false"/>
      <protection locked="true" hidden="false"/>
    </xf>
    <xf numFmtId="164" fontId="37" fillId="2" borderId="0" xfId="0" applyFont="true" applyBorder="true" applyAlignment="true" applyProtection="true">
      <alignment horizontal="right" vertical="bottom" textRotation="0" wrapText="false" indent="0" shrinkToFit="false"/>
      <protection locked="true" hidden="false"/>
    </xf>
    <xf numFmtId="172" fontId="0" fillId="2" borderId="20" xfId="0" applyFont="false" applyBorder="true" applyAlignment="true" applyProtection="true">
      <alignment horizontal="center" vertical="bottom" textRotation="0" wrapText="false" indent="0" shrinkToFit="false"/>
      <protection locked="true" hidden="false"/>
    </xf>
    <xf numFmtId="164" fontId="23" fillId="11" borderId="0" xfId="0" applyFont="true" applyBorder="true" applyAlignment="true" applyProtection="true">
      <alignment horizontal="center" vertical="bottom" textRotation="0" wrapText="false" indent="0" shrinkToFit="false"/>
      <protection locked="true" hidden="false"/>
    </xf>
    <xf numFmtId="164" fontId="23" fillId="2" borderId="0" xfId="0" applyFont="true" applyBorder="true" applyAlignment="false" applyProtection="true">
      <alignment horizontal="general" vertical="bottom" textRotation="0" wrapText="false" indent="0" shrinkToFit="false"/>
      <protection locked="true" hidden="false"/>
    </xf>
    <xf numFmtId="164" fontId="23" fillId="11" borderId="0" xfId="0" applyFont="true" applyBorder="true" applyAlignment="false" applyProtection="true">
      <alignment horizontal="general" vertical="bottom" textRotation="0" wrapText="false" indent="0" shrinkToFit="false"/>
      <protection locked="true" hidden="false"/>
    </xf>
    <xf numFmtId="164" fontId="23" fillId="2" borderId="7" xfId="0" applyFont="true" applyBorder="true" applyAlignment="true" applyProtection="true">
      <alignment horizontal="left" vertical="bottom" textRotation="0" wrapText="false" indent="0" shrinkToFit="false"/>
      <protection locked="true" hidden="false"/>
    </xf>
    <xf numFmtId="164" fontId="4" fillId="2" borderId="0" xfId="20" applyFont="false" applyBorder="false" applyAlignment="false" applyProtection="false">
      <alignment horizontal="general" vertical="bottom" textRotation="0" wrapText="false" indent="0" shrinkToFit="false"/>
      <protection locked="true" hidden="false"/>
    </xf>
    <xf numFmtId="164" fontId="4" fillId="2" borderId="0" xfId="20" applyFont="true" applyBorder="false" applyAlignment="false" applyProtection="false">
      <alignment horizontal="general" vertical="bottom" textRotation="0" wrapText="false" indent="0" shrinkToFit="false"/>
      <protection locked="true" hidden="false"/>
    </xf>
    <xf numFmtId="164" fontId="52" fillId="2" borderId="0" xfId="0" applyFont="true" applyBorder="false" applyAlignment="false" applyProtection="false">
      <alignment horizontal="general" vertical="bottom" textRotation="0" wrapText="false" indent="0" shrinkToFit="false"/>
      <protection locked="true" hidden="false"/>
    </xf>
    <xf numFmtId="164" fontId="53" fillId="2" borderId="0" xfId="20" applyFont="true" applyBorder="false" applyAlignment="true" applyProtection="false">
      <alignment horizontal="general" vertical="center" textRotation="0" wrapText="false" indent="0" shrinkToFit="false"/>
      <protection locked="true" hidden="false"/>
    </xf>
    <xf numFmtId="164" fontId="54" fillId="3" borderId="25" xfId="20" applyFont="true" applyBorder="true" applyAlignment="true" applyProtection="false">
      <alignment horizontal="center" vertical="bottom" textRotation="0" wrapText="false" indent="0" shrinkToFit="false"/>
      <protection locked="true" hidden="false"/>
    </xf>
    <xf numFmtId="164" fontId="54" fillId="3" borderId="26" xfId="20" applyFont="true" applyBorder="true" applyAlignment="true" applyProtection="false">
      <alignment horizontal="center" vertical="bottom" textRotation="0" wrapText="false" indent="0" shrinkToFit="false"/>
      <protection locked="true" hidden="false"/>
    </xf>
    <xf numFmtId="164" fontId="54" fillId="3" borderId="26" xfId="20" applyFont="true" applyBorder="true" applyAlignment="true" applyProtection="false">
      <alignment horizontal="left" vertical="bottom" textRotation="0" wrapText="false" indent="0" shrinkToFit="false"/>
      <protection locked="true" hidden="false"/>
    </xf>
    <xf numFmtId="164" fontId="4" fillId="2" borderId="27" xfId="20" applyFont="false" applyBorder="true" applyAlignment="true" applyProtection="false">
      <alignment horizontal="center" vertical="center" textRotation="0" wrapText="false" indent="0" shrinkToFit="false"/>
      <protection locked="true" hidden="false"/>
    </xf>
    <xf numFmtId="164" fontId="4" fillId="2" borderId="28" xfId="20" applyFont="true" applyBorder="true" applyAlignment="true" applyProtection="false">
      <alignment horizontal="general" vertical="center" textRotation="0" wrapText="true" indent="0" shrinkToFit="false"/>
      <protection locked="true" hidden="false"/>
    </xf>
    <xf numFmtId="183" fontId="4" fillId="2" borderId="28" xfId="20" applyFont="false" applyBorder="true" applyAlignment="true" applyProtection="false">
      <alignment horizontal="center" vertical="center" textRotation="0" wrapText="false" indent="0" shrinkToFit="false"/>
      <protection locked="true" hidden="false"/>
    </xf>
    <xf numFmtId="184" fontId="4" fillId="2" borderId="29" xfId="20" applyFont="false" applyBorder="true" applyAlignment="true" applyProtection="false">
      <alignment horizontal="left" vertical="center" textRotation="0" wrapText="false" indent="0" shrinkToFit="false"/>
      <protection locked="true" hidden="false"/>
    </xf>
    <xf numFmtId="164" fontId="4" fillId="2" borderId="30" xfId="20" applyFont="false" applyBorder="true" applyAlignment="true" applyProtection="false">
      <alignment horizontal="left" vertical="center" textRotation="0" wrapText="false" indent="0" shrinkToFit="false"/>
      <protection locked="true" hidden="false"/>
    </xf>
    <xf numFmtId="182" fontId="4" fillId="2" borderId="28" xfId="20" applyFont="true" applyBorder="true" applyAlignment="true" applyProtection="false">
      <alignment horizontal="left" vertical="center" textRotation="0" wrapText="false" indent="0" shrinkToFit="false"/>
      <protection locked="true" hidden="false"/>
    </xf>
    <xf numFmtId="164" fontId="4" fillId="2" borderId="28" xfId="20" applyFont="true" applyBorder="true" applyAlignment="true" applyProtection="false">
      <alignment horizontal="left" vertical="center" textRotation="0" wrapText="false" indent="0" shrinkToFit="false"/>
      <protection locked="true" hidden="false"/>
    </xf>
    <xf numFmtId="172" fontId="4" fillId="12" borderId="27" xfId="20" applyFont="false" applyBorder="true" applyAlignment="true" applyProtection="false">
      <alignment horizontal="center" vertical="center" textRotation="0" wrapText="false" indent="0" shrinkToFit="false"/>
      <protection locked="true" hidden="false"/>
    </xf>
    <xf numFmtId="164" fontId="4" fillId="12" borderId="28" xfId="20" applyFont="true" applyBorder="true" applyAlignment="true" applyProtection="false">
      <alignment horizontal="general" vertical="center" textRotation="0" wrapText="true" indent="0" shrinkToFit="false"/>
      <protection locked="true" hidden="false"/>
    </xf>
    <xf numFmtId="183" fontId="4" fillId="12" borderId="28" xfId="20" applyFont="false" applyBorder="true" applyAlignment="true" applyProtection="false">
      <alignment horizontal="center" vertical="center" textRotation="0" wrapText="false" indent="0" shrinkToFit="false"/>
      <protection locked="true" hidden="false"/>
    </xf>
    <xf numFmtId="185" fontId="4" fillId="12" borderId="29" xfId="20" applyFont="false" applyBorder="true" applyAlignment="true" applyProtection="false">
      <alignment horizontal="left" vertical="center" textRotation="0" wrapText="false" indent="0" shrinkToFit="false"/>
      <protection locked="true" hidden="false"/>
    </xf>
    <xf numFmtId="164" fontId="4" fillId="12" borderId="30" xfId="20" applyFont="false" applyBorder="true" applyAlignment="true" applyProtection="false">
      <alignment horizontal="left" vertical="center" textRotation="0" wrapText="false" indent="0" shrinkToFit="false"/>
      <protection locked="true" hidden="false"/>
    </xf>
    <xf numFmtId="164" fontId="4" fillId="12" borderId="28" xfId="20" applyFont="true" applyBorder="true" applyAlignment="true" applyProtection="false">
      <alignment horizontal="left" vertical="center" textRotation="0" wrapText="false" indent="0" shrinkToFit="false"/>
      <protection locked="true" hidden="false"/>
    </xf>
    <xf numFmtId="186" fontId="4" fillId="12" borderId="28" xfId="20" applyFont="false" applyBorder="true" applyAlignment="true" applyProtection="false">
      <alignment horizontal="center" vertical="center" textRotation="0" wrapText="false" indent="0" shrinkToFit="false"/>
      <protection locked="true" hidden="false"/>
    </xf>
    <xf numFmtId="167" fontId="4" fillId="12" borderId="27" xfId="20" applyFont="false" applyBorder="true" applyAlignment="true" applyProtection="false">
      <alignment horizontal="center" vertical="center" textRotation="0" wrapText="false" indent="0" shrinkToFit="false"/>
      <protection locked="true" hidden="false"/>
    </xf>
    <xf numFmtId="187" fontId="4" fillId="12" borderId="29" xfId="20" applyFont="false" applyBorder="true" applyAlignment="true" applyProtection="false">
      <alignment horizontal="left" vertical="center" textRotation="0" wrapText="false" indent="0" shrinkToFit="false"/>
      <protection locked="true" hidden="false"/>
    </xf>
    <xf numFmtId="186" fontId="4" fillId="2" borderId="28" xfId="20" applyFont="false" applyBorder="true" applyAlignment="true" applyProtection="false">
      <alignment horizontal="center" vertical="center" textRotation="0" wrapText="false" indent="0" shrinkToFit="false"/>
      <protection locked="true" hidden="false"/>
    </xf>
    <xf numFmtId="185" fontId="4" fillId="2" borderId="29" xfId="20" applyFont="false" applyBorder="true" applyAlignment="true" applyProtection="false">
      <alignment horizontal="left" vertical="center" textRotation="0" wrapText="false" indent="0" shrinkToFit="false"/>
      <protection locked="true" hidden="false"/>
    </xf>
    <xf numFmtId="184" fontId="4" fillId="12" borderId="29" xfId="20" applyFont="false" applyBorder="true" applyAlignment="true" applyProtection="false">
      <alignment horizontal="left" vertical="center" textRotation="0" wrapText="false" indent="0" shrinkToFit="false"/>
      <protection locked="true" hidden="false"/>
    </xf>
    <xf numFmtId="188" fontId="4" fillId="2" borderId="29" xfId="20" applyFont="false" applyBorder="true" applyAlignment="true" applyProtection="false">
      <alignment horizontal="left" vertical="center" textRotation="0" wrapText="false" indent="0" shrinkToFit="false"/>
      <protection locked="true" hidden="false"/>
    </xf>
    <xf numFmtId="189" fontId="4" fillId="2" borderId="28" xfId="20" applyFont="false" applyBorder="true" applyAlignment="true" applyProtection="false">
      <alignment horizontal="center" vertical="center" textRotation="0" wrapText="false" indent="0" shrinkToFit="false"/>
      <protection locked="true" hidden="false"/>
    </xf>
    <xf numFmtId="190" fontId="4" fillId="2" borderId="29" xfId="20" applyFont="false" applyBorder="true" applyAlignment="true" applyProtection="false">
      <alignment horizontal="left" vertical="center" textRotation="0" wrapText="false" indent="0" shrinkToFit="false"/>
      <protection locked="true" hidden="false"/>
    </xf>
    <xf numFmtId="191" fontId="4" fillId="12" borderId="28" xfId="20" applyFont="false" applyBorder="true" applyAlignment="true" applyProtection="false">
      <alignment horizontal="left" vertical="center" textRotation="0" wrapText="false" indent="0" shrinkToFit="false"/>
      <protection locked="true" hidden="false"/>
    </xf>
    <xf numFmtId="164" fontId="4" fillId="2" borderId="28" xfId="20" applyFont="true" applyBorder="true" applyAlignment="true" applyProtection="false">
      <alignment horizontal="center" vertical="center" textRotation="0" wrapText="false" indent="0" shrinkToFit="false"/>
      <protection locked="true" hidden="false"/>
    </xf>
    <xf numFmtId="192" fontId="4" fillId="2" borderId="28" xfId="20" applyFont="true" applyBorder="true" applyAlignment="true" applyProtection="false">
      <alignment horizontal="left" vertical="center" textRotation="0" wrapText="false" indent="0" shrinkToFit="false"/>
      <protection locked="true" hidden="false"/>
    </xf>
    <xf numFmtId="193" fontId="4" fillId="2" borderId="28" xfId="20" applyFont="false" applyBorder="true" applyAlignment="true" applyProtection="false">
      <alignment horizontal="center" vertical="center" textRotation="0" wrapText="false" indent="0" shrinkToFit="false"/>
      <protection locked="true" hidden="false"/>
    </xf>
    <xf numFmtId="194" fontId="4" fillId="12" borderId="28" xfId="20" applyFont="false" applyBorder="true" applyAlignment="true" applyProtection="false">
      <alignment horizontal="left" vertical="center" textRotation="0" wrapText="false" indent="0" shrinkToFit="false"/>
      <protection locked="true" hidden="false"/>
    </xf>
    <xf numFmtId="193" fontId="4" fillId="12" borderId="28" xfId="20" applyFont="false" applyBorder="true" applyAlignment="true" applyProtection="false">
      <alignment horizontal="center" vertical="center" textRotation="0" wrapText="false" indent="0" shrinkToFit="false"/>
      <protection locked="true" hidden="false"/>
    </xf>
    <xf numFmtId="194" fontId="4" fillId="2" borderId="28" xfId="20" applyFont="fals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center" vertical="top" textRotation="0" wrapText="true" indent="0" shrinkToFit="false"/>
      <protection locked="true" hidden="false"/>
    </xf>
    <xf numFmtId="164" fontId="5" fillId="2" borderId="27" xfId="20" applyFont="true" applyBorder="true" applyAlignment="true" applyProtection="false">
      <alignment horizontal="center" vertical="center" textRotation="0" wrapText="false" indent="0" shrinkToFit="false"/>
      <protection locked="true" hidden="false"/>
    </xf>
    <xf numFmtId="164" fontId="5" fillId="2" borderId="28" xfId="20" applyFont="true" applyBorder="true" applyAlignment="true" applyProtection="false">
      <alignment horizontal="general" vertical="center" textRotation="0" wrapText="true" indent="0" shrinkToFit="false"/>
      <protection locked="true" hidden="false"/>
    </xf>
    <xf numFmtId="164" fontId="56" fillId="2" borderId="28" xfId="20" applyFont="true" applyBorder="true" applyAlignment="true" applyProtection="false">
      <alignment horizontal="center" vertical="center" textRotation="0" wrapText="false" indent="0" shrinkToFit="false"/>
      <protection locked="true" hidden="false"/>
    </xf>
    <xf numFmtId="164" fontId="5" fillId="2" borderId="28" xfId="20" applyFont="true" applyBorder="true" applyAlignment="true" applyProtection="false">
      <alignment horizontal="left" vertical="center" textRotation="0" wrapText="false" indent="0" shrinkToFit="false"/>
      <protection locked="true" hidden="false"/>
    </xf>
    <xf numFmtId="164" fontId="6" fillId="2" borderId="0" xfId="20" applyFont="tru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1">
    <dxf>
      <font>
        <strike val="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78787"/>
      <rgbColor rgb="FFBE4B48"/>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A7EBB"/>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externalLink" Target="externalLinks/externalLink1.xml"/><Relationship Id="rId8" Type="http://schemas.openxmlformats.org/officeDocument/2006/relationships/externalLink" Target="externalLinks/externalLink2.xml"/><Relationship Id="rId9"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200" spc="-1" strike="noStrike">
                <a:solidFill>
                  <a:srgbClr val="000000"/>
                </a:solidFill>
                <a:latin typeface="Arial"/>
                <a:ea typeface="Arial"/>
              </a:defRPr>
            </a:pPr>
            <a:r>
              <a:rPr b="1" sz="1200" spc="-1" strike="noStrike">
                <a:solidFill>
                  <a:srgbClr val="000000"/>
                </a:solidFill>
                <a:latin typeface="Arial"/>
                <a:ea typeface="Arial"/>
              </a:rPr>
              <a:t>Modular Gain/Phase</a:t>
            </a:r>
          </a:p>
        </c:rich>
      </c:tx>
      <c:layout>
        <c:manualLayout>
          <c:xMode val="edge"/>
          <c:yMode val="edge"/>
          <c:x val="0.372158564171024"/>
          <c:y val="0.0343358609525432"/>
        </c:manualLayout>
      </c:layout>
      <c:overlay val="0"/>
      <c:spPr>
        <a:noFill/>
        <a:ln w="25560">
          <a:noFill/>
        </a:ln>
      </c:spPr>
    </c:title>
    <c:autoTitleDeleted val="0"/>
    <c:plotArea>
      <c:layout>
        <c:manualLayout>
          <c:layoutTarget val="inner"/>
          <c:xMode val="edge"/>
          <c:yMode val="edge"/>
          <c:x val="0.115696962954722"/>
          <c:y val="0.184118599301355"/>
          <c:w val="0.727407572217896"/>
          <c:h val="0.641731277157706"/>
        </c:manualLayout>
      </c:layout>
      <c:scatterChart>
        <c:scatterStyle val="line"/>
        <c:varyColors val="0"/>
        <c:ser>
          <c:idx val="0"/>
          <c:order val="0"/>
          <c:tx>
            <c:strRef>
              <c:f>"Gain"</c:f>
              <c:strCache>
                <c:ptCount val="1"/>
                <c:pt idx="0">
                  <c:v>Gain</c:v>
                </c:pt>
              </c:strCache>
            </c:strRef>
          </c:tx>
          <c:spPr>
            <a:solidFill>
              <a:srgbClr val="be4b48"/>
            </a:solidFill>
            <a:ln w="28440">
              <a:solidFill>
                <a:srgbClr val="be4b48"/>
              </a:solidFill>
              <a:round/>
            </a:ln>
          </c:spPr>
          <c:marker>
            <c:symbol val="none"/>
          </c:marker>
          <c:dLbls>
            <c:numFmt formatCode="0.0" sourceLinked="1"/>
            <c:txPr>
              <a:bodyPr/>
              <a:lstStyle/>
              <a:p>
                <a:pPr>
                  <a:defRPr b="0" sz="925"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VOUT1'!$E$2:$E$24</c:f>
              <c:numCache>
                <c:formatCode>General</c:formatCode>
                <c:ptCount val="23"/>
                <c:pt idx="0">
                  <c:v>10.630842726421</c:v>
                </c:pt>
                <c:pt idx="1">
                  <c:v>10.6215497324354</c:v>
                </c:pt>
                <c:pt idx="2">
                  <c:v>10.5937370346944</c:v>
                </c:pt>
                <c:pt idx="3">
                  <c:v>10.5476019936791</c:v>
                </c:pt>
                <c:pt idx="4">
                  <c:v>10.4561438547601</c:v>
                </c:pt>
                <c:pt idx="5">
                  <c:v>10.1880532823656</c:v>
                </c:pt>
                <c:pt idx="6">
                  <c:v>9.76087450369347</c:v>
                </c:pt>
                <c:pt idx="7">
                  <c:v>8.9716875074344</c:v>
                </c:pt>
                <c:pt idx="8">
                  <c:v>7.00304742939721</c:v>
                </c:pt>
                <c:pt idx="9">
                  <c:v>4.57546035188815</c:v>
                </c:pt>
                <c:pt idx="10">
                  <c:v>1.36072607698143</c:v>
                </c:pt>
                <c:pt idx="11">
                  <c:v>-3.52304286973406</c:v>
                </c:pt>
                <c:pt idx="12">
                  <c:v>-7.04451981483051</c:v>
                </c:pt>
                <c:pt idx="13">
                  <c:v>-9.92312449966621</c:v>
                </c:pt>
                <c:pt idx="14">
                  <c:v>-12.4687329045122</c:v>
                </c:pt>
                <c:pt idx="15">
                  <c:v>-13.5963096683668</c:v>
                </c:pt>
                <c:pt idx="16">
                  <c:v>-14.3122843921326</c:v>
                </c:pt>
                <c:pt idx="17">
                  <c:v>-15.0466049091576</c:v>
                </c:pt>
                <c:pt idx="18">
                  <c:v>-15.7376540156184</c:v>
                </c:pt>
                <c:pt idx="19">
                  <c:v>-16.8262399532018</c:v>
                </c:pt>
                <c:pt idx="20">
                  <c:v>-17.308867230856</c:v>
                </c:pt>
                <c:pt idx="21">
                  <c:v>-19.3635334694115</c:v>
                </c:pt>
                <c:pt idx="22">
                  <c:v>-22.4009290283062</c:v>
                </c:pt>
              </c:numCache>
            </c:numRef>
          </c:yVal>
          <c:smooth val="0"/>
        </c:ser>
        <c:axId val="8135216"/>
        <c:axId val="63616243"/>
      </c:scatterChart>
      <c:scatterChart>
        <c:scatterStyle val="line"/>
        <c:varyColors val="0"/>
        <c:ser>
          <c:idx val="1"/>
          <c:order val="1"/>
          <c:tx>
            <c:strRef>
              <c:f>"Phase"</c:f>
              <c:strCache>
                <c:ptCount val="1"/>
                <c:pt idx="0">
                  <c:v>Phase</c:v>
                </c:pt>
              </c:strCache>
            </c:strRef>
          </c:tx>
          <c:spPr>
            <a:solidFill>
              <a:srgbClr val="4a7ebb"/>
            </a:solidFill>
            <a:ln w="28440">
              <a:solidFill>
                <a:srgbClr val="4a7ebb"/>
              </a:solidFill>
              <a:round/>
            </a:ln>
          </c:spPr>
          <c:marker>
            <c:symbol val="none"/>
          </c:marker>
          <c:dLbls>
            <c:numFmt formatCode="0.0" sourceLinked="1"/>
            <c:txPr>
              <a:bodyPr/>
              <a:lstStyle/>
              <a:p>
                <a:pPr>
                  <a:defRPr b="0" sz="925"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VOUT1'!$F$2:$F$24</c:f>
              <c:numCache>
                <c:formatCode>General</c:formatCode>
                <c:ptCount val="23"/>
                <c:pt idx="0">
                  <c:v>-0.0614559259030981</c:v>
                </c:pt>
                <c:pt idx="1">
                  <c:v>-0.12291168498489</c:v>
                </c:pt>
                <c:pt idx="2">
                  <c:v>-0.307276293143369</c:v>
                </c:pt>
                <c:pt idx="3">
                  <c:v>-0.614531735552259</c:v>
                </c:pt>
                <c:pt idx="4">
                  <c:v>-1.22889671343168</c:v>
                </c:pt>
                <c:pt idx="5">
                  <c:v>-3.06932891081034</c:v>
                </c:pt>
                <c:pt idx="6">
                  <c:v>-6.11800410382238</c:v>
                </c:pt>
                <c:pt idx="7">
                  <c:v>-12.0753782252389</c:v>
                </c:pt>
                <c:pt idx="8">
                  <c:v>-27.7991164200377</c:v>
                </c:pt>
                <c:pt idx="9">
                  <c:v>-45.0987507649317</c:v>
                </c:pt>
                <c:pt idx="10">
                  <c:v>-59.2622409245879</c:v>
                </c:pt>
                <c:pt idx="11">
                  <c:v>-63.0910192924659</c:v>
                </c:pt>
                <c:pt idx="12">
                  <c:v>-53.7165434140497</c:v>
                </c:pt>
                <c:pt idx="13">
                  <c:v>-37.1748673697343</c:v>
                </c:pt>
                <c:pt idx="14">
                  <c:v>-18.2206823555382</c:v>
                </c:pt>
                <c:pt idx="15">
                  <c:v>-11.0445173218714</c:v>
                </c:pt>
                <c:pt idx="16">
                  <c:v>-8.95449555078677</c:v>
                </c:pt>
                <c:pt idx="17">
                  <c:v>-13.0379507689464</c:v>
                </c:pt>
                <c:pt idx="18">
                  <c:v>-22.9172568520351</c:v>
                </c:pt>
                <c:pt idx="19">
                  <c:v>-41.2429176950247</c:v>
                </c:pt>
                <c:pt idx="20">
                  <c:v>-48.988212203463</c:v>
                </c:pt>
                <c:pt idx="21">
                  <c:v>-76.2693935668453</c:v>
                </c:pt>
                <c:pt idx="22">
                  <c:v>-104.744316410747</c:v>
                </c:pt>
              </c:numCache>
            </c:numRef>
          </c:yVal>
          <c:smooth val="0"/>
        </c:ser>
        <c:axId val="63881759"/>
        <c:axId val="15847333"/>
      </c:scatterChart>
      <c:valAx>
        <c:axId val="8135216"/>
        <c:scaling>
          <c:logBase val="10"/>
          <c:orientation val="minMax"/>
          <c:max val="1000000"/>
          <c:min val="100"/>
        </c:scaling>
        <c:delete val="0"/>
        <c:axPos val="b"/>
        <c:majorGridlines>
          <c:spPr>
            <a:ln w="3240">
              <a:solidFill>
                <a:srgbClr val="000000"/>
              </a:solidFill>
              <a:round/>
            </a:ln>
          </c:spPr>
        </c:majorGridlines>
        <c:minorGridlines>
          <c:spPr>
            <a:ln w="3240">
              <a:solidFill>
                <a:srgbClr val="000000"/>
              </a:solidFill>
              <a:round/>
            </a:ln>
          </c:spPr>
        </c:minorGridlines>
        <c:title>
          <c:tx>
            <c:rich>
              <a:bodyPr rot="0"/>
              <a:lstStyle/>
              <a:p>
                <a:pPr>
                  <a:defRPr b="1" sz="1100" spc="-1" strike="noStrike">
                    <a:solidFill>
                      <a:srgbClr val="000000"/>
                    </a:solidFill>
                    <a:latin typeface="Arial"/>
                    <a:ea typeface="Arial"/>
                  </a:defRPr>
                </a:pPr>
                <a:r>
                  <a:rPr b="1" sz="1100" spc="-1" strike="noStrike">
                    <a:solidFill>
                      <a:srgbClr val="000000"/>
                    </a:solidFill>
                    <a:latin typeface="Arial"/>
                    <a:ea typeface="Arial"/>
                  </a:rPr>
                  <a:t>Frequency(Hz)</a:t>
                </a:r>
              </a:p>
            </c:rich>
          </c:tx>
          <c:layout>
            <c:manualLayout>
              <c:xMode val="edge"/>
              <c:yMode val="edge"/>
              <c:x val="0.392850521007157"/>
              <c:y val="0.894265996421573"/>
            </c:manualLayout>
          </c:layout>
          <c:overlay val="0"/>
          <c:spPr>
            <a:noFill/>
            <a:ln w="25560">
              <a:noFill/>
            </a:ln>
          </c:spPr>
        </c:title>
        <c:numFmt formatCode="#,##0.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63616243"/>
        <c:crossesAt val="-60"/>
        <c:crossBetween val="midCat"/>
        <c:majorUnit val="1"/>
        <c:minorUnit val="9"/>
      </c:valAx>
      <c:valAx>
        <c:axId val="63616243"/>
        <c:scaling>
          <c:orientation val="minMax"/>
          <c:max val="40"/>
          <c:min val="-40"/>
        </c:scaling>
        <c:delete val="0"/>
        <c:axPos val="l"/>
        <c:majorGridlines>
          <c:spPr>
            <a:ln w="3240">
              <a:solidFill>
                <a:srgbClr val="000000"/>
              </a:solidFill>
              <a:round/>
            </a:ln>
          </c:spPr>
        </c:majorGridlines>
        <c:title>
          <c:tx>
            <c:rich>
              <a:bodyPr rot="-5400000"/>
              <a:lstStyle/>
              <a:p>
                <a:pPr>
                  <a:defRPr b="1" sz="1100" spc="-1" strike="noStrike">
                    <a:solidFill>
                      <a:srgbClr val="0000ff"/>
                    </a:solidFill>
                    <a:latin typeface="Arial"/>
                    <a:ea typeface="Arial"/>
                  </a:defRPr>
                </a:pPr>
                <a:r>
                  <a:rPr b="1" sz="1100" spc="-1" strike="noStrike">
                    <a:solidFill>
                      <a:srgbClr val="0000ff"/>
                    </a:solidFill>
                    <a:latin typeface="Arial"/>
                    <a:ea typeface="Arial"/>
                  </a:rPr>
                  <a:t>Gain (dB)</a:t>
                </a:r>
              </a:p>
            </c:rich>
          </c:tx>
          <c:layout>
            <c:manualLayout>
              <c:xMode val="edge"/>
              <c:yMode val="edge"/>
              <c:x val="0.0246968517076427"/>
              <c:y val="0.43264888813155"/>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8135216"/>
        <c:crossesAt val="1"/>
        <c:crossBetween val="midCat"/>
      </c:valAx>
      <c:valAx>
        <c:axId val="63881759"/>
        <c:scaling>
          <c:logBase val="10"/>
          <c:orientation val="minMax"/>
        </c:scaling>
        <c:delete val="1"/>
        <c:axPos val="t"/>
        <c:numFmt formatCode="General" sourceLinked="0"/>
        <c:majorTickMark val="out"/>
        <c:minorTickMark val="none"/>
        <c:tickLblPos val="nextTo"/>
        <c:spPr>
          <a:ln w="9360">
            <a:solidFill>
              <a:srgbClr val="878787"/>
            </a:solidFill>
            <a:round/>
          </a:ln>
        </c:spPr>
        <c:txPr>
          <a:bodyPr/>
          <a:lstStyle/>
          <a:p>
            <a:pPr>
              <a:defRPr b="0" sz="925" spc="-1" strike="noStrike">
                <a:solidFill>
                  <a:srgbClr val="000000"/>
                </a:solidFill>
                <a:latin typeface="Arial"/>
                <a:ea typeface="Arial"/>
              </a:defRPr>
            </a:pPr>
          </a:p>
        </c:txPr>
        <c:crossAx val="15847333"/>
        <c:crosses val="autoZero"/>
        <c:crossBetween val="midCat"/>
      </c:valAx>
      <c:valAx>
        <c:axId val="15847333"/>
        <c:scaling>
          <c:orientation val="minMax"/>
          <c:max val="180"/>
          <c:min val="-180"/>
        </c:scaling>
        <c:delete val="0"/>
        <c:axPos val="r"/>
        <c:numFmt formatCode="0.0" sourceLinked="0"/>
        <c:majorTickMark val="out"/>
        <c:minorTickMark val="none"/>
        <c:tickLblPos val="nextTo"/>
        <c:spPr>
          <a:ln w="9360">
            <a:solidFill>
              <a:srgbClr val="878787"/>
            </a:solidFill>
            <a:round/>
          </a:ln>
        </c:spPr>
        <c:txPr>
          <a:bodyPr/>
          <a:lstStyle/>
          <a:p>
            <a:pPr>
              <a:defRPr b="0" sz="925" spc="-1" strike="noStrike">
                <a:solidFill>
                  <a:srgbClr val="000000"/>
                </a:solidFill>
                <a:latin typeface="Arial"/>
                <a:ea typeface="Arial"/>
              </a:defRPr>
            </a:pPr>
          </a:p>
        </c:txPr>
        <c:crossAx val="63881759"/>
        <c:crosses val="max"/>
        <c:crossBetween val="midCat"/>
      </c:valAx>
      <c:spPr>
        <a:solidFill>
          <a:srgbClr val="ffffff"/>
        </a:solidFill>
        <a:ln w="3240">
          <a:solidFill>
            <a:srgbClr val="000000"/>
          </a:solidFill>
          <a:round/>
        </a:ln>
      </c:spPr>
    </c:plotArea>
    <c:plotVisOnly val="1"/>
    <c:dispBlanksAs val="gap"/>
  </c:chart>
  <c:spPr>
    <a:solidFill>
      <a:srgbClr val="ffffff"/>
    </a:solidFill>
    <a:ln w="3240">
      <a:solidFill>
        <a:srgbClr val="000000"/>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200" spc="-1" strike="noStrike">
                <a:solidFill>
                  <a:srgbClr val="000000"/>
                </a:solidFill>
                <a:latin typeface="Arial"/>
                <a:ea typeface="Arial"/>
              </a:defRPr>
            </a:pPr>
            <a:r>
              <a:rPr b="1" sz="1200" spc="-1" strike="noStrike">
                <a:solidFill>
                  <a:srgbClr val="000000"/>
                </a:solidFill>
                <a:latin typeface="Arial"/>
                <a:ea typeface="Arial"/>
              </a:rPr>
              <a:t>Error Amplifier Gain/Phase</a:t>
            </a:r>
          </a:p>
        </c:rich>
      </c:tx>
      <c:layout>
        <c:manualLayout>
          <c:xMode val="edge"/>
          <c:yMode val="edge"/>
          <c:x val="0.323893597906332"/>
          <c:y val="0.0343112026076514"/>
        </c:manualLayout>
      </c:layout>
      <c:overlay val="0"/>
      <c:spPr>
        <a:noFill/>
        <a:ln w="25560">
          <a:noFill/>
        </a:ln>
      </c:spPr>
    </c:title>
    <c:autoTitleDeleted val="0"/>
    <c:plotArea>
      <c:layout>
        <c:manualLayout>
          <c:layoutTarget val="inner"/>
          <c:xMode val="edge"/>
          <c:yMode val="edge"/>
          <c:x val="0.122026483340495"/>
          <c:y val="0.184680048035684"/>
          <c:w val="0.756767313776806"/>
          <c:h val="0.646423057128152"/>
        </c:manualLayout>
      </c:layout>
      <c:scatterChart>
        <c:scatterStyle val="line"/>
        <c:varyColors val="0"/>
        <c:ser>
          <c:idx val="0"/>
          <c:order val="0"/>
          <c:tx>
            <c:strRef>
              <c:f>"Frequency"</c:f>
              <c:strCache>
                <c:ptCount val="1"/>
                <c:pt idx="0">
                  <c:v>Frequency</c:v>
                </c:pt>
              </c:strCache>
            </c:strRef>
          </c:tx>
          <c:spPr>
            <a:solidFill>
              <a:srgbClr val="4a7ebb"/>
            </a:solidFill>
            <a:ln w="28440">
              <a:solidFill>
                <a:srgbClr val="4a7ebb"/>
              </a:solidFill>
              <a:round/>
            </a:ln>
          </c:spPr>
          <c:marker>
            <c:symbol val="none"/>
          </c:marker>
          <c:dLbls>
            <c:numFmt formatCode="0.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VOUT1'!$I$2:$I$24</c:f>
              <c:numCache>
                <c:formatCode>General</c:formatCode>
                <c:ptCount val="23"/>
                <c:pt idx="0">
                  <c:v>77.166451899432</c:v>
                </c:pt>
                <c:pt idx="1">
                  <c:v>71.2102470747239</c:v>
                </c:pt>
                <c:pt idx="2">
                  <c:v>63.4418163223254</c:v>
                </c:pt>
                <c:pt idx="3">
                  <c:v>73.1681997939254</c:v>
                </c:pt>
                <c:pt idx="4">
                  <c:v>67.2494187484985</c:v>
                </c:pt>
                <c:pt idx="5">
                  <c:v>59.5891039319013</c:v>
                </c:pt>
                <c:pt idx="6">
                  <c:v>54.0442584763089</c:v>
                </c:pt>
                <c:pt idx="7">
                  <c:v>48.9034753026637</c:v>
                </c:pt>
                <c:pt idx="8">
                  <c:v>43.1496956122924</c:v>
                </c:pt>
                <c:pt idx="9">
                  <c:v>39.886737944541</c:v>
                </c:pt>
                <c:pt idx="10">
                  <c:v>37.6393383963516</c:v>
                </c:pt>
                <c:pt idx="11">
                  <c:v>35.9454425160361</c:v>
                </c:pt>
                <c:pt idx="12">
                  <c:v>35.2984871191025</c:v>
                </c:pt>
                <c:pt idx="13">
                  <c:v>34.9559932294489</c:v>
                </c:pt>
                <c:pt idx="14">
                  <c:v>34.7438212330847</c:v>
                </c:pt>
                <c:pt idx="15">
                  <c:v>34.6719296652635</c:v>
                </c:pt>
                <c:pt idx="16">
                  <c:v>34.6357595053991</c:v>
                </c:pt>
                <c:pt idx="17">
                  <c:v>34.6139848897386</c:v>
                </c:pt>
                <c:pt idx="18">
                  <c:v>34.6067145372274</c:v>
                </c:pt>
                <c:pt idx="19">
                  <c:v>34.6030770776332</c:v>
                </c:pt>
                <c:pt idx="20">
                  <c:v>34.602349402884</c:v>
                </c:pt>
                <c:pt idx="21">
                  <c:v>34.6008938704737</c:v>
                </c:pt>
                <c:pt idx="22">
                  <c:v>34.7636410070354</c:v>
                </c:pt>
              </c:numCache>
            </c:numRef>
          </c:yVal>
          <c:smooth val="0"/>
        </c:ser>
        <c:axId val="67157281"/>
        <c:axId val="2411590"/>
      </c:scatterChart>
      <c:scatterChart>
        <c:scatterStyle val="line"/>
        <c:varyColors val="0"/>
        <c:ser>
          <c:idx val="1"/>
          <c:order val="1"/>
          <c:tx>
            <c:strRef>
              <c:f>"Phanse"</c:f>
              <c:strCache>
                <c:ptCount val="1"/>
                <c:pt idx="0">
                  <c:v>Phanse</c:v>
                </c:pt>
              </c:strCache>
            </c:strRef>
          </c:tx>
          <c:spPr>
            <a:solidFill>
              <a:srgbClr val="be4b48"/>
            </a:solidFill>
            <a:ln w="28440">
              <a:solidFill>
                <a:srgbClr val="be4b48"/>
              </a:solidFill>
              <a:round/>
            </a:ln>
          </c:spPr>
          <c:marker>
            <c:symbol val="none"/>
          </c:marker>
          <c:dLbls>
            <c:numFmt formatCode="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VOUT1'!$L$2:$L$24</c:f>
              <c:numCache>
                <c:formatCode>General</c:formatCode>
                <c:ptCount val="23"/>
                <c:pt idx="0">
                  <c:v>-0.359992057531198</c:v>
                </c:pt>
                <c:pt idx="1">
                  <c:v>-0.719936466661464</c:v>
                </c:pt>
                <c:pt idx="2">
                  <c:v>-1.79900799221406</c:v>
                </c:pt>
                <c:pt idx="3">
                  <c:v>-3.59208387934531</c:v>
                </c:pt>
                <c:pt idx="4">
                  <c:v>-7.13729978692745</c:v>
                </c:pt>
                <c:pt idx="5">
                  <c:v>-17.0831459609813</c:v>
                </c:pt>
                <c:pt idx="6">
                  <c:v>-29.9823349310265</c:v>
                </c:pt>
                <c:pt idx="7">
                  <c:v>-42.814877382338</c:v>
                </c:pt>
                <c:pt idx="8">
                  <c:v>-44.219555601166</c:v>
                </c:pt>
                <c:pt idx="9">
                  <c:v>-32.3606293934568</c:v>
                </c:pt>
                <c:pt idx="10">
                  <c:v>-18.9175719946908</c:v>
                </c:pt>
                <c:pt idx="11">
                  <c:v>-7.98631222054758</c:v>
                </c:pt>
                <c:pt idx="12">
                  <c:v>-4.02606695817755</c:v>
                </c:pt>
                <c:pt idx="13">
                  <c:v>-2.01721227279741</c:v>
                </c:pt>
                <c:pt idx="14">
                  <c:v>-0.807354832809779</c:v>
                </c:pt>
                <c:pt idx="15">
                  <c:v>-0.403711016458189</c:v>
                </c:pt>
                <c:pt idx="16">
                  <c:v>-0.20185970890212</c:v>
                </c:pt>
                <c:pt idx="17">
                  <c:v>-0.0807443540553265</c:v>
                </c:pt>
                <c:pt idx="18">
                  <c:v>-0.0403722106347573</c:v>
                </c:pt>
                <c:pt idx="19">
                  <c:v>-0.0201861095182636</c:v>
                </c:pt>
                <c:pt idx="20">
                  <c:v>-0.0161488880179235</c:v>
                </c:pt>
                <c:pt idx="21">
                  <c:v>-0.00807444427780979</c:v>
                </c:pt>
                <c:pt idx="22">
                  <c:v>-0.00403722217251357</c:v>
                </c:pt>
              </c:numCache>
            </c:numRef>
          </c:yVal>
          <c:smooth val="0"/>
        </c:ser>
        <c:axId val="99144466"/>
        <c:axId val="12703029"/>
      </c:scatterChart>
      <c:valAx>
        <c:axId val="67157281"/>
        <c:scaling>
          <c:logBase val="10"/>
          <c:orientation val="minMax"/>
          <c:max val="1000000"/>
          <c:min val="100"/>
        </c:scaling>
        <c:delete val="0"/>
        <c:axPos val="b"/>
        <c:majorGridlines>
          <c:spPr>
            <a:ln w="3240">
              <a:solidFill>
                <a:srgbClr val="000000"/>
              </a:solidFill>
              <a:round/>
            </a:ln>
          </c:spPr>
        </c:majorGridlines>
        <c:minorGridlines>
          <c:spPr>
            <a:ln w="3240">
              <a:solidFill>
                <a:srgbClr val="000000"/>
              </a:solidFill>
              <a:round/>
            </a:ln>
          </c:spPr>
        </c:minorGridlines>
        <c:title>
          <c:tx>
            <c:rich>
              <a:bodyPr rot="0"/>
              <a:lstStyle/>
              <a:p>
                <a:pPr>
                  <a:defRPr b="1" sz="1100" spc="-1" strike="noStrike">
                    <a:solidFill>
                      <a:srgbClr val="000000"/>
                    </a:solidFill>
                    <a:latin typeface="Arial"/>
                    <a:ea typeface="Arial"/>
                  </a:defRPr>
                </a:pPr>
                <a:r>
                  <a:rPr b="1" sz="1100" spc="-1" strike="noStrike">
                    <a:solidFill>
                      <a:srgbClr val="000000"/>
                    </a:solidFill>
                    <a:latin typeface="Arial"/>
                    <a:ea typeface="Arial"/>
                  </a:rPr>
                  <a:t>Frequency(Hz)</a:t>
                </a:r>
              </a:p>
            </c:rich>
          </c:tx>
          <c:layout>
            <c:manualLayout>
              <c:xMode val="edge"/>
              <c:yMode val="edge"/>
              <c:x val="0.427092691691731"/>
              <c:y val="0.896980614170527"/>
            </c:manualLayout>
          </c:layout>
          <c:overlay val="0"/>
          <c:spPr>
            <a:noFill/>
            <a:ln w="25560">
              <a:noFill/>
            </a:ln>
          </c:spPr>
        </c:title>
        <c:numFmt formatCode="#,##0.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2411590"/>
        <c:crossesAt val="-120"/>
        <c:crossBetween val="midCat"/>
        <c:majorUnit val="1"/>
        <c:minorUnit val="9"/>
      </c:valAx>
      <c:valAx>
        <c:axId val="2411590"/>
        <c:scaling>
          <c:orientation val="minMax"/>
          <c:max val="80"/>
          <c:min val="-80"/>
        </c:scaling>
        <c:delete val="0"/>
        <c:axPos val="l"/>
        <c:majorGridlines>
          <c:spPr>
            <a:ln w="3240">
              <a:solidFill>
                <a:srgbClr val="000000"/>
              </a:solidFill>
              <a:round/>
            </a:ln>
          </c:spPr>
        </c:majorGridlines>
        <c:title>
          <c:tx>
            <c:rich>
              <a:bodyPr rot="-5400000"/>
              <a:lstStyle/>
              <a:p>
                <a:pPr>
                  <a:defRPr b="1" sz="1100" spc="-1" strike="noStrike">
                    <a:solidFill>
                      <a:srgbClr val="0000ff"/>
                    </a:solidFill>
                    <a:latin typeface="Arial"/>
                    <a:ea typeface="Arial"/>
                  </a:defRPr>
                </a:pPr>
                <a:r>
                  <a:rPr b="1" sz="1100" spc="-1" strike="noStrike">
                    <a:solidFill>
                      <a:srgbClr val="0000ff"/>
                    </a:solidFill>
                    <a:latin typeface="Arial"/>
                    <a:ea typeface="Arial"/>
                  </a:rPr>
                  <a:t>Gain (dB)</a:t>
                </a:r>
              </a:p>
            </c:rich>
          </c:tx>
          <c:layout>
            <c:manualLayout>
              <c:xMode val="edge"/>
              <c:yMode val="edge"/>
              <c:x val="0.0263661575719698"/>
              <c:y val="0.431377594784697"/>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67157281"/>
        <c:crossesAt val="1"/>
        <c:crossBetween val="midCat"/>
        <c:majorUnit val="20"/>
        <c:minorUnit val="6.66666666666667"/>
      </c:valAx>
      <c:valAx>
        <c:axId val="99144466"/>
        <c:scaling>
          <c:logBase val="10"/>
          <c:orientation val="minMax"/>
        </c:scaling>
        <c:delete val="1"/>
        <c:axPos val="t"/>
        <c:numFmt formatCode="General"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12703029"/>
        <c:crosses val="autoZero"/>
        <c:crossBetween val="midCat"/>
      </c:valAx>
      <c:valAx>
        <c:axId val="12703029"/>
        <c:scaling>
          <c:orientation val="minMax"/>
          <c:max val="180"/>
          <c:min val="-180"/>
        </c:scaling>
        <c:delete val="0"/>
        <c:axPos val="r"/>
        <c:numFmt formatCode="0"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99144466"/>
        <c:crosses val="max"/>
        <c:crossBetween val="midCat"/>
        <c:majorUnit val="45"/>
      </c:valAx>
      <c:spPr>
        <a:solidFill>
          <a:srgbClr val="ffffff"/>
        </a:solidFill>
        <a:ln w="3240">
          <a:solidFill>
            <a:srgbClr val="000000"/>
          </a:solidFill>
          <a:round/>
        </a:ln>
      </c:spPr>
    </c:plotArea>
    <c:plotVisOnly val="1"/>
    <c:dispBlanksAs val="gap"/>
  </c:chart>
  <c:spPr>
    <a:solidFill>
      <a:srgbClr val="ffffff"/>
    </a:solidFill>
    <a:ln w="3240">
      <a:solidFill>
        <a:srgbClr val="000000"/>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200" spc="-1" strike="noStrike">
                <a:solidFill>
                  <a:srgbClr val="000000"/>
                </a:solidFill>
                <a:latin typeface="Arial"/>
                <a:ea typeface="Arial"/>
              </a:defRPr>
            </a:pPr>
            <a:r>
              <a:rPr b="1" sz="1200" spc="-1" strike="noStrike">
                <a:solidFill>
                  <a:srgbClr val="000000"/>
                </a:solidFill>
                <a:latin typeface="Arial"/>
                <a:ea typeface="Arial"/>
              </a:rPr>
              <a:t>VOUT1 Loop Gain and Phase</a:t>
            </a:r>
          </a:p>
        </c:rich>
      </c:tx>
      <c:layout>
        <c:manualLayout>
          <c:xMode val="edge"/>
          <c:yMode val="edge"/>
          <c:x val="0.367931981490538"/>
          <c:y val="0.0394861626002242"/>
        </c:manualLayout>
      </c:layout>
      <c:overlay val="0"/>
      <c:spPr>
        <a:noFill/>
        <a:ln w="25560">
          <a:noFill/>
        </a:ln>
      </c:spPr>
    </c:title>
    <c:autoTitleDeleted val="0"/>
    <c:plotArea>
      <c:layout>
        <c:manualLayout>
          <c:layoutTarget val="inner"/>
          <c:xMode val="edge"/>
          <c:yMode val="edge"/>
          <c:x val="0.0783642451375042"/>
          <c:y val="0.187343736529011"/>
          <c:w val="0.753846732628569"/>
          <c:h val="0.635830675058195"/>
        </c:manualLayout>
      </c:layout>
      <c:scatterChart>
        <c:scatterStyle val="line"/>
        <c:varyColors val="0"/>
        <c:ser>
          <c:idx val="0"/>
          <c:order val="0"/>
          <c:tx>
            <c:strRef>
              <c:f>"Loop Gain"</c:f>
              <c:strCache>
                <c:ptCount val="1"/>
                <c:pt idx="0">
                  <c:v>Loop Gain</c:v>
                </c:pt>
              </c:strCache>
            </c:strRef>
          </c:tx>
          <c:spPr>
            <a:solidFill>
              <a:srgbClr val="be4b48"/>
            </a:solidFill>
            <a:ln w="28440">
              <a:solidFill>
                <a:srgbClr val="be4b48"/>
              </a:solidFill>
              <a:round/>
            </a:ln>
          </c:spPr>
          <c:marker>
            <c:symbol val="none"/>
          </c:marker>
          <c:dLbls>
            <c:numFmt formatCode="0.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VOUT1'!$M$2:$M$24</c:f>
              <c:numCache>
                <c:formatCode>General</c:formatCode>
                <c:ptCount val="23"/>
                <c:pt idx="0">
                  <c:v>87.797294625853</c:v>
                </c:pt>
                <c:pt idx="1">
                  <c:v>81.8317968071593</c:v>
                </c:pt>
                <c:pt idx="2">
                  <c:v>74.0355533570198</c:v>
                </c:pt>
                <c:pt idx="3">
                  <c:v>83.7158017876045</c:v>
                </c:pt>
                <c:pt idx="4">
                  <c:v>77.7055626032587</c:v>
                </c:pt>
                <c:pt idx="5">
                  <c:v>69.7771572142669</c:v>
                </c:pt>
                <c:pt idx="6">
                  <c:v>63.8051329800023</c:v>
                </c:pt>
                <c:pt idx="7">
                  <c:v>57.8751628100981</c:v>
                </c:pt>
                <c:pt idx="8">
                  <c:v>50.1527430416896</c:v>
                </c:pt>
                <c:pt idx="9">
                  <c:v>44.4621982964292</c:v>
                </c:pt>
                <c:pt idx="10">
                  <c:v>39.000064473333</c:v>
                </c:pt>
                <c:pt idx="11">
                  <c:v>32.4223996463021</c:v>
                </c:pt>
                <c:pt idx="12">
                  <c:v>28.253967304272</c:v>
                </c:pt>
                <c:pt idx="13">
                  <c:v>25.0328687297827</c:v>
                </c:pt>
                <c:pt idx="14">
                  <c:v>22.2750883285725</c:v>
                </c:pt>
                <c:pt idx="15">
                  <c:v>21.0756199968967</c:v>
                </c:pt>
                <c:pt idx="16">
                  <c:v>20.3234751132665</c:v>
                </c:pt>
                <c:pt idx="17">
                  <c:v>19.567379980581</c:v>
                </c:pt>
                <c:pt idx="18">
                  <c:v>18.869060521609</c:v>
                </c:pt>
                <c:pt idx="19">
                  <c:v>17.7768371244314</c:v>
                </c:pt>
                <c:pt idx="20">
                  <c:v>17.2934821720281</c:v>
                </c:pt>
                <c:pt idx="21">
                  <c:v>15.2373604010623</c:v>
                </c:pt>
                <c:pt idx="22">
                  <c:v>12.3627119787292</c:v>
                </c:pt>
              </c:numCache>
            </c:numRef>
          </c:yVal>
          <c:smooth val="0"/>
        </c:ser>
        <c:axId val="10252790"/>
        <c:axId val="25418587"/>
      </c:scatterChart>
      <c:scatterChart>
        <c:scatterStyle val="line"/>
        <c:varyColors val="0"/>
        <c:ser>
          <c:idx val="1"/>
          <c:order val="1"/>
          <c:tx>
            <c:strRef>
              <c:f>"Loop Phase"</c:f>
              <c:strCache>
                <c:ptCount val="1"/>
                <c:pt idx="0">
                  <c:v>Loop Phase</c:v>
                </c:pt>
              </c:strCache>
            </c:strRef>
          </c:tx>
          <c:spPr>
            <a:solidFill>
              <a:srgbClr val="4a7ebb"/>
            </a:solidFill>
            <a:ln w="28440">
              <a:solidFill>
                <a:srgbClr val="4a7ebb"/>
              </a:solidFill>
              <a:round/>
            </a:ln>
          </c:spPr>
          <c:marker>
            <c:symbol val="none"/>
          </c:marker>
          <c:dLbls>
            <c:numFmt formatCode="0.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VOUT1'!$N$2:$N$24</c:f>
              <c:numCache>
                <c:formatCode>General</c:formatCode>
                <c:ptCount val="23"/>
                <c:pt idx="0">
                  <c:v>-0.421447983434296</c:v>
                </c:pt>
                <c:pt idx="1">
                  <c:v>-0.842848151646354</c:v>
                </c:pt>
                <c:pt idx="2">
                  <c:v>-2.10628428535743</c:v>
                </c:pt>
                <c:pt idx="3">
                  <c:v>-4.20661561489757</c:v>
                </c:pt>
                <c:pt idx="4">
                  <c:v>-8.36619650035913</c:v>
                </c:pt>
                <c:pt idx="5">
                  <c:v>-20.1524748717916</c:v>
                </c:pt>
                <c:pt idx="6">
                  <c:v>-36.1003390348489</c:v>
                </c:pt>
                <c:pt idx="7">
                  <c:v>-54.890255607577</c:v>
                </c:pt>
                <c:pt idx="8">
                  <c:v>-72.0186720212038</c:v>
                </c:pt>
                <c:pt idx="9">
                  <c:v>-77.4593801583885</c:v>
                </c:pt>
                <c:pt idx="10">
                  <c:v>-78.1798129192787</c:v>
                </c:pt>
                <c:pt idx="11">
                  <c:v>-71.0773315130134</c:v>
                </c:pt>
                <c:pt idx="12">
                  <c:v>-57.7426103722273</c:v>
                </c:pt>
                <c:pt idx="13">
                  <c:v>-39.1920796425317</c:v>
                </c:pt>
                <c:pt idx="14">
                  <c:v>-19.028037188348</c:v>
                </c:pt>
                <c:pt idx="15">
                  <c:v>-11.4482283383295</c:v>
                </c:pt>
                <c:pt idx="16">
                  <c:v>-9.15635525968889</c:v>
                </c:pt>
                <c:pt idx="17">
                  <c:v>-13.1186951230017</c:v>
                </c:pt>
                <c:pt idx="18">
                  <c:v>-22.9576290626698</c:v>
                </c:pt>
                <c:pt idx="19">
                  <c:v>-41.263103804543</c:v>
                </c:pt>
                <c:pt idx="20">
                  <c:v>-49.0043610914809</c:v>
                </c:pt>
                <c:pt idx="21">
                  <c:v>-76.2774680111231</c:v>
                </c:pt>
                <c:pt idx="22">
                  <c:v>-104.74835363292</c:v>
                </c:pt>
              </c:numCache>
            </c:numRef>
          </c:yVal>
          <c:smooth val="0"/>
        </c:ser>
        <c:axId val="87208961"/>
        <c:axId val="84678885"/>
      </c:scatterChart>
      <c:valAx>
        <c:axId val="10252790"/>
        <c:scaling>
          <c:logBase val="10"/>
          <c:orientation val="minMax"/>
          <c:max val="1000000"/>
          <c:min val="100"/>
        </c:scaling>
        <c:delete val="0"/>
        <c:axPos val="b"/>
        <c:majorGridlines>
          <c:spPr>
            <a:ln w="3240">
              <a:solidFill>
                <a:srgbClr val="000000"/>
              </a:solidFill>
              <a:round/>
            </a:ln>
          </c:spPr>
        </c:majorGridlines>
        <c:minorGridlines>
          <c:spPr>
            <a:ln w="3240">
              <a:solidFill>
                <a:srgbClr val="000000"/>
              </a:solidFill>
              <a:round/>
            </a:ln>
          </c:spPr>
        </c:minorGridlines>
        <c:title>
          <c:tx>
            <c:rich>
              <a:bodyPr rot="0"/>
              <a:lstStyle/>
              <a:p>
                <a:pPr>
                  <a:defRPr b="1" sz="1100" spc="-1" strike="noStrike">
                    <a:solidFill>
                      <a:srgbClr val="000000"/>
                    </a:solidFill>
                    <a:latin typeface="Arial"/>
                    <a:ea typeface="Arial"/>
                  </a:defRPr>
                </a:pPr>
                <a:r>
                  <a:rPr b="1" sz="1100" spc="-1" strike="noStrike">
                    <a:solidFill>
                      <a:srgbClr val="000000"/>
                    </a:solidFill>
                    <a:latin typeface="Arial"/>
                    <a:ea typeface="Arial"/>
                  </a:rPr>
                  <a:t>Frequency(Hz)</a:t>
                </a:r>
              </a:p>
            </c:rich>
          </c:tx>
          <c:layout>
            <c:manualLayout>
              <c:xMode val="edge"/>
              <c:yMode val="edge"/>
              <c:x val="0.403822279071517"/>
              <c:y val="0.902319165445297"/>
            </c:manualLayout>
          </c:layout>
          <c:overlay val="0"/>
          <c:spPr>
            <a:noFill/>
            <a:ln w="25560">
              <a:noFill/>
            </a:ln>
          </c:spPr>
        </c:title>
        <c:numFmt formatCode="#,##0.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25418587"/>
        <c:crossesAt val="-100"/>
        <c:crossBetween val="midCat"/>
        <c:majorUnit val="1"/>
        <c:minorUnit val="9"/>
      </c:valAx>
      <c:valAx>
        <c:axId val="25418587"/>
        <c:scaling>
          <c:orientation val="minMax"/>
          <c:max val="80"/>
          <c:min val="-80"/>
        </c:scaling>
        <c:delete val="0"/>
        <c:axPos val="l"/>
        <c:majorGridlines>
          <c:spPr>
            <a:ln w="3240">
              <a:solidFill>
                <a:srgbClr val="000000"/>
              </a:solidFill>
              <a:round/>
            </a:ln>
          </c:spPr>
        </c:majorGridlines>
        <c:title>
          <c:tx>
            <c:rich>
              <a:bodyPr rot="-5400000"/>
              <a:lstStyle/>
              <a:p>
                <a:pPr>
                  <a:defRPr b="1" sz="1100" spc="-1" strike="noStrike">
                    <a:solidFill>
                      <a:srgbClr val="0000ff"/>
                    </a:solidFill>
                    <a:latin typeface="Arial"/>
                    <a:ea typeface="Arial"/>
                  </a:defRPr>
                </a:pPr>
                <a:r>
                  <a:rPr b="1" sz="1100" spc="-1" strike="noStrike">
                    <a:solidFill>
                      <a:srgbClr val="0000ff"/>
                    </a:solidFill>
                    <a:latin typeface="Arial"/>
                    <a:ea typeface="Arial"/>
                  </a:rPr>
                  <a:t>Gain (dB)</a:t>
                </a:r>
              </a:p>
            </c:rich>
          </c:tx>
          <c:layout>
            <c:manualLayout>
              <c:xMode val="edge"/>
              <c:yMode val="edge"/>
              <c:x val="0.0116248448139649"/>
              <c:y val="0.414173635658246"/>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10252790"/>
        <c:crossesAt val="1"/>
        <c:crossBetween val="midCat"/>
        <c:majorUnit val="20"/>
      </c:valAx>
      <c:valAx>
        <c:axId val="87208961"/>
        <c:scaling>
          <c:logBase val="10"/>
          <c:orientation val="minMax"/>
        </c:scaling>
        <c:delete val="1"/>
        <c:axPos val="t"/>
        <c:numFmt formatCode="General"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84678885"/>
        <c:crosses val="autoZero"/>
        <c:crossBetween val="midCat"/>
      </c:valAx>
      <c:valAx>
        <c:axId val="84678885"/>
        <c:scaling>
          <c:orientation val="minMax"/>
          <c:max val="180"/>
          <c:min val="-180"/>
        </c:scaling>
        <c:delete val="0"/>
        <c:axPos val="r"/>
        <c:numFmt formatCode="0.0"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87208961"/>
        <c:crosses val="max"/>
        <c:crossBetween val="midCat"/>
        <c:majorUnit val="45"/>
      </c:valAx>
      <c:spPr>
        <a:solidFill>
          <a:srgbClr val="ffffff"/>
        </a:solidFill>
        <a:ln w="3240">
          <a:solidFill>
            <a:srgbClr val="000000"/>
          </a:solidFill>
          <a:round/>
        </a:ln>
      </c:spPr>
    </c:plotArea>
    <c:plotVisOnly val="1"/>
    <c:dispBlanksAs val="gap"/>
  </c:chart>
  <c:spPr>
    <a:solidFill>
      <a:srgbClr val="ffffff"/>
    </a:solidFill>
    <a:ln w="3240">
      <a:solidFill>
        <a:srgbClr val="000000"/>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200" spc="-1" strike="noStrike">
                <a:solidFill>
                  <a:srgbClr val="000000"/>
                </a:solidFill>
                <a:latin typeface="Arial"/>
                <a:ea typeface="Arial"/>
              </a:defRPr>
            </a:pPr>
            <a:r>
              <a:rPr b="1" sz="1200" spc="-1" strike="noStrike">
                <a:solidFill>
                  <a:srgbClr val="000000"/>
                </a:solidFill>
                <a:latin typeface="Arial"/>
                <a:ea typeface="Arial"/>
              </a:rPr>
              <a:t>VOUT1 Loop Gain and Phase</a:t>
            </a:r>
          </a:p>
        </c:rich>
      </c:tx>
      <c:layout>
        <c:manualLayout>
          <c:xMode val="edge"/>
          <c:yMode val="edge"/>
          <c:x val="0.367942228043471"/>
          <c:y val="0.0394929953302201"/>
        </c:manualLayout>
      </c:layout>
      <c:overlay val="0"/>
      <c:spPr>
        <a:noFill/>
        <a:ln w="25560">
          <a:noFill/>
        </a:ln>
      </c:spPr>
    </c:title>
    <c:autoTitleDeleted val="0"/>
    <c:plotArea>
      <c:layout>
        <c:manualLayout>
          <c:layoutTarget val="inner"/>
          <c:xMode val="edge"/>
          <c:yMode val="edge"/>
          <c:x val="0.0783744557329463"/>
          <c:y val="0.187324883255504"/>
          <c:w val="0.753831994052887"/>
          <c:h val="0.635823882588392"/>
        </c:manualLayout>
      </c:layout>
      <c:scatterChart>
        <c:scatterStyle val="line"/>
        <c:varyColors val="0"/>
        <c:ser>
          <c:idx val="0"/>
          <c:order val="0"/>
          <c:tx>
            <c:strRef>
              <c:f>"Loop Gain"</c:f>
              <c:strCache>
                <c:ptCount val="1"/>
                <c:pt idx="0">
                  <c:v>Loop Gain</c:v>
                </c:pt>
              </c:strCache>
            </c:strRef>
          </c:tx>
          <c:spPr>
            <a:solidFill>
              <a:srgbClr val="be4b48"/>
            </a:solidFill>
            <a:ln w="28440">
              <a:solidFill>
                <a:srgbClr val="be4b48"/>
              </a:solidFill>
              <a:round/>
            </a:ln>
          </c:spPr>
          <c:marker>
            <c:symbol val="none"/>
          </c:marker>
          <c:dLbls>
            <c:numFmt formatCode="0.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VOUT1'!$M$2:$M$24</c:f>
              <c:numCache>
                <c:formatCode>General</c:formatCode>
                <c:ptCount val="23"/>
                <c:pt idx="0">
                  <c:v>87.797294625853</c:v>
                </c:pt>
                <c:pt idx="1">
                  <c:v>81.8317968071593</c:v>
                </c:pt>
                <c:pt idx="2">
                  <c:v>74.0355533570198</c:v>
                </c:pt>
                <c:pt idx="3">
                  <c:v>83.7158017876045</c:v>
                </c:pt>
                <c:pt idx="4">
                  <c:v>77.7055626032587</c:v>
                </c:pt>
                <c:pt idx="5">
                  <c:v>69.7771572142669</c:v>
                </c:pt>
                <c:pt idx="6">
                  <c:v>63.8051329800023</c:v>
                </c:pt>
                <c:pt idx="7">
                  <c:v>57.8751628100981</c:v>
                </c:pt>
                <c:pt idx="8">
                  <c:v>50.1527430416896</c:v>
                </c:pt>
                <c:pt idx="9">
                  <c:v>44.4621982964292</c:v>
                </c:pt>
                <c:pt idx="10">
                  <c:v>39.000064473333</c:v>
                </c:pt>
                <c:pt idx="11">
                  <c:v>32.4223996463021</c:v>
                </c:pt>
                <c:pt idx="12">
                  <c:v>28.253967304272</c:v>
                </c:pt>
                <c:pt idx="13">
                  <c:v>25.0328687297827</c:v>
                </c:pt>
                <c:pt idx="14">
                  <c:v>22.2750883285725</c:v>
                </c:pt>
                <c:pt idx="15">
                  <c:v>21.0756199968967</c:v>
                </c:pt>
                <c:pt idx="16">
                  <c:v>20.3234751132665</c:v>
                </c:pt>
                <c:pt idx="17">
                  <c:v>19.567379980581</c:v>
                </c:pt>
                <c:pt idx="18">
                  <c:v>18.869060521609</c:v>
                </c:pt>
                <c:pt idx="19">
                  <c:v>17.7768371244314</c:v>
                </c:pt>
                <c:pt idx="20">
                  <c:v>17.2934821720281</c:v>
                </c:pt>
                <c:pt idx="21">
                  <c:v>15.2373604010623</c:v>
                </c:pt>
                <c:pt idx="22">
                  <c:v>12.3627119787292</c:v>
                </c:pt>
              </c:numCache>
            </c:numRef>
          </c:yVal>
          <c:smooth val="0"/>
        </c:ser>
        <c:axId val="55239733"/>
        <c:axId val="37605187"/>
      </c:scatterChart>
      <c:scatterChart>
        <c:scatterStyle val="line"/>
        <c:varyColors val="0"/>
        <c:ser>
          <c:idx val="1"/>
          <c:order val="1"/>
          <c:tx>
            <c:strRef>
              <c:f>"Loop Phase"</c:f>
              <c:strCache>
                <c:ptCount val="1"/>
                <c:pt idx="0">
                  <c:v>Loop Phase</c:v>
                </c:pt>
              </c:strCache>
            </c:strRef>
          </c:tx>
          <c:spPr>
            <a:solidFill>
              <a:srgbClr val="4a7ebb"/>
            </a:solidFill>
            <a:ln w="28440">
              <a:solidFill>
                <a:srgbClr val="4a7ebb"/>
              </a:solidFill>
              <a:round/>
            </a:ln>
          </c:spPr>
          <c:marker>
            <c:symbol val="none"/>
          </c:marker>
          <c:dLbls>
            <c:numFmt formatCode="0.0" sourceLinked="1"/>
            <c:txPr>
              <a:bodyPr/>
              <a:lstStyle/>
              <a:p>
                <a:pPr>
                  <a:defRPr b="0" sz="850" spc="-1" strike="noStrike">
                    <a:solidFill>
                      <a:srgbClr val="000000"/>
                    </a:solidFill>
                    <a:latin typeface="Arial"/>
                    <a:ea typeface="Arial"/>
                  </a:defRPr>
                </a:pPr>
              </a:p>
            </c:txPr>
            <c:dLblPos val="r"/>
            <c:showLegendKey val="0"/>
            <c:showVal val="0"/>
            <c:showCatName val="0"/>
            <c:showSerName val="0"/>
            <c:showPercent val="0"/>
            <c:showLeaderLines val="0"/>
          </c:dLbls>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VOUT1'!$N$2:$N$24</c:f>
              <c:numCache>
                <c:formatCode>General</c:formatCode>
                <c:ptCount val="23"/>
                <c:pt idx="0">
                  <c:v>-0.421447983434296</c:v>
                </c:pt>
                <c:pt idx="1">
                  <c:v>-0.842848151646354</c:v>
                </c:pt>
                <c:pt idx="2">
                  <c:v>-2.10628428535743</c:v>
                </c:pt>
                <c:pt idx="3">
                  <c:v>-4.20661561489757</c:v>
                </c:pt>
                <c:pt idx="4">
                  <c:v>-8.36619650035913</c:v>
                </c:pt>
                <c:pt idx="5">
                  <c:v>-20.1524748717916</c:v>
                </c:pt>
                <c:pt idx="6">
                  <c:v>-36.1003390348489</c:v>
                </c:pt>
                <c:pt idx="7">
                  <c:v>-54.890255607577</c:v>
                </c:pt>
                <c:pt idx="8">
                  <c:v>-72.0186720212038</c:v>
                </c:pt>
                <c:pt idx="9">
                  <c:v>-77.4593801583885</c:v>
                </c:pt>
                <c:pt idx="10">
                  <c:v>-78.1798129192787</c:v>
                </c:pt>
                <c:pt idx="11">
                  <c:v>-71.0773315130134</c:v>
                </c:pt>
                <c:pt idx="12">
                  <c:v>-57.7426103722273</c:v>
                </c:pt>
                <c:pt idx="13">
                  <c:v>-39.1920796425317</c:v>
                </c:pt>
                <c:pt idx="14">
                  <c:v>-19.028037188348</c:v>
                </c:pt>
                <c:pt idx="15">
                  <c:v>-11.4482283383295</c:v>
                </c:pt>
                <c:pt idx="16">
                  <c:v>-9.15635525968889</c:v>
                </c:pt>
                <c:pt idx="17">
                  <c:v>-13.1186951230017</c:v>
                </c:pt>
                <c:pt idx="18">
                  <c:v>-22.9576290626698</c:v>
                </c:pt>
                <c:pt idx="19">
                  <c:v>-41.263103804543</c:v>
                </c:pt>
                <c:pt idx="20">
                  <c:v>-49.0043610914809</c:v>
                </c:pt>
                <c:pt idx="21">
                  <c:v>-76.2774680111231</c:v>
                </c:pt>
                <c:pt idx="22">
                  <c:v>-104.74835363292</c:v>
                </c:pt>
              </c:numCache>
            </c:numRef>
          </c:yVal>
          <c:smooth val="0"/>
        </c:ser>
        <c:axId val="23191431"/>
        <c:axId val="36661605"/>
      </c:scatterChart>
      <c:valAx>
        <c:axId val="55239733"/>
        <c:scaling>
          <c:logBase val="10"/>
          <c:orientation val="minMax"/>
          <c:max val="1000000"/>
          <c:min val="100"/>
        </c:scaling>
        <c:delete val="0"/>
        <c:axPos val="b"/>
        <c:majorGridlines>
          <c:spPr>
            <a:ln w="3240">
              <a:solidFill>
                <a:srgbClr val="000000"/>
              </a:solidFill>
              <a:round/>
            </a:ln>
          </c:spPr>
        </c:majorGridlines>
        <c:minorGridlines>
          <c:spPr>
            <a:ln w="3240">
              <a:solidFill>
                <a:srgbClr val="000000"/>
              </a:solidFill>
              <a:round/>
            </a:ln>
          </c:spPr>
        </c:minorGridlines>
        <c:title>
          <c:tx>
            <c:rich>
              <a:bodyPr rot="0"/>
              <a:lstStyle/>
              <a:p>
                <a:pPr>
                  <a:defRPr b="1" sz="1100" spc="-1" strike="noStrike">
                    <a:solidFill>
                      <a:srgbClr val="000000"/>
                    </a:solidFill>
                    <a:latin typeface="Arial"/>
                    <a:ea typeface="Arial"/>
                  </a:defRPr>
                </a:pPr>
                <a:r>
                  <a:rPr b="1" sz="1100" spc="-1" strike="noStrike">
                    <a:solidFill>
                      <a:srgbClr val="000000"/>
                    </a:solidFill>
                    <a:latin typeface="Arial"/>
                    <a:ea typeface="Arial"/>
                  </a:rPr>
                  <a:t>Frequency(Hz)</a:t>
                </a:r>
              </a:p>
            </c:rich>
          </c:tx>
          <c:layout>
            <c:manualLayout>
              <c:xMode val="edge"/>
              <c:yMode val="edge"/>
              <c:x val="0.403801904492194"/>
              <c:y val="0.902334889926618"/>
            </c:manualLayout>
          </c:layout>
          <c:overlay val="0"/>
          <c:spPr>
            <a:noFill/>
            <a:ln w="25560">
              <a:noFill/>
            </a:ln>
          </c:spPr>
        </c:title>
        <c:numFmt formatCode="#,##0.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37605187"/>
        <c:crossesAt val="-100"/>
        <c:crossBetween val="midCat"/>
        <c:majorUnit val="1"/>
        <c:minorUnit val="9"/>
      </c:valAx>
      <c:valAx>
        <c:axId val="37605187"/>
        <c:scaling>
          <c:orientation val="minMax"/>
          <c:max val="80"/>
          <c:min val="-80"/>
        </c:scaling>
        <c:delete val="0"/>
        <c:axPos val="l"/>
        <c:majorGridlines>
          <c:spPr>
            <a:ln w="3240">
              <a:solidFill>
                <a:srgbClr val="000000"/>
              </a:solidFill>
              <a:round/>
            </a:ln>
          </c:spPr>
        </c:majorGridlines>
        <c:title>
          <c:tx>
            <c:rich>
              <a:bodyPr rot="-5400000"/>
              <a:lstStyle/>
              <a:p>
                <a:pPr>
                  <a:defRPr b="1" sz="1100" spc="-1" strike="noStrike">
                    <a:solidFill>
                      <a:srgbClr val="0000ff"/>
                    </a:solidFill>
                    <a:latin typeface="Arial"/>
                    <a:ea typeface="Arial"/>
                  </a:defRPr>
                </a:pPr>
                <a:r>
                  <a:rPr b="1" sz="1100" spc="-1" strike="noStrike">
                    <a:solidFill>
                      <a:srgbClr val="0000ff"/>
                    </a:solidFill>
                    <a:latin typeface="Arial"/>
                    <a:ea typeface="Arial"/>
                  </a:rPr>
                  <a:t>Gain (dB)</a:t>
                </a:r>
              </a:p>
            </c:rich>
          </c:tx>
          <c:layout>
            <c:manualLayout>
              <c:xMode val="edge"/>
              <c:yMode val="edge"/>
              <c:x val="0.011611030478955"/>
              <c:y val="0.414209472981988"/>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800" spc="-1" strike="noStrike">
                <a:solidFill>
                  <a:srgbClr val="000000"/>
                </a:solidFill>
                <a:latin typeface="Arial"/>
                <a:ea typeface="Arial"/>
              </a:defRPr>
            </a:pPr>
          </a:p>
        </c:txPr>
        <c:crossAx val="55239733"/>
        <c:crossesAt val="1"/>
        <c:crossBetween val="midCat"/>
        <c:majorUnit val="20"/>
      </c:valAx>
      <c:valAx>
        <c:axId val="23191431"/>
        <c:scaling>
          <c:logBase val="10"/>
          <c:orientation val="minMax"/>
        </c:scaling>
        <c:delete val="1"/>
        <c:axPos val="t"/>
        <c:numFmt formatCode="General"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36661605"/>
        <c:crosses val="autoZero"/>
        <c:crossBetween val="midCat"/>
      </c:valAx>
      <c:valAx>
        <c:axId val="36661605"/>
        <c:scaling>
          <c:orientation val="minMax"/>
          <c:max val="180"/>
          <c:min val="-180"/>
        </c:scaling>
        <c:delete val="0"/>
        <c:axPos val="r"/>
        <c:numFmt formatCode="0.0" sourceLinked="0"/>
        <c:majorTickMark val="out"/>
        <c:minorTickMark val="none"/>
        <c:tickLblPos val="nextTo"/>
        <c:spPr>
          <a:ln w="9360">
            <a:solidFill>
              <a:srgbClr val="878787"/>
            </a:solidFill>
            <a:round/>
          </a:ln>
        </c:spPr>
        <c:txPr>
          <a:bodyPr/>
          <a:lstStyle/>
          <a:p>
            <a:pPr>
              <a:defRPr b="0" sz="850" spc="-1" strike="noStrike">
                <a:solidFill>
                  <a:srgbClr val="000000"/>
                </a:solidFill>
                <a:latin typeface="Arial"/>
                <a:ea typeface="Arial"/>
              </a:defRPr>
            </a:pPr>
          </a:p>
        </c:txPr>
        <c:crossAx val="23191431"/>
        <c:crosses val="max"/>
        <c:crossBetween val="midCat"/>
        <c:majorUnit val="45"/>
      </c:valAx>
      <c:spPr>
        <a:solidFill>
          <a:srgbClr val="ffffff"/>
        </a:solidFill>
        <a:ln w="3240">
          <a:solidFill>
            <a:srgbClr val="000000"/>
          </a:solidFill>
          <a:round/>
        </a:ln>
      </c:spPr>
    </c:plotArea>
    <c:plotVisOnly val="1"/>
    <c:dispBlanksAs val="gap"/>
  </c:chart>
  <c:spPr>
    <a:solidFill>
      <a:srgbClr val="ffffff"/>
    </a:solidFill>
    <a:ln w="3240">
      <a:solidFill>
        <a:srgbClr val="000000"/>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
</Relationships>
</file>

<file path=xl/drawings/_rels/drawing2.xml.rels><?xml version="1.0" encoding="UTF-8"?>
<Relationships xmlns="http://schemas.openxmlformats.org/package/2006/relationships"><Relationship Id="rId1" Type="http://schemas.openxmlformats.org/officeDocument/2006/relationships/image" Target="../media/image1.wmf"/><Relationship Id="rId2" Type="http://schemas.openxmlformats.org/officeDocument/2006/relationships/image" Target="../media/image2.wmf"/><Relationship Id="rId3" Type="http://schemas.openxmlformats.org/officeDocument/2006/relationships/chart" Target="../charts/chart4.xml"/>
</Relationships>
</file>

<file path=xl/drawings/_rels/drawing3.xml.rels><?xml version="1.0" encoding="UTF-8"?>
<Relationships xmlns="http://schemas.openxmlformats.org/package/2006/relationships"><Relationship Id="rId1" Type="http://schemas.openxmlformats.org/officeDocument/2006/relationships/image" Target="../media/image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533520</xdr:colOff>
      <xdr:row>25</xdr:row>
      <xdr:rowOff>95400</xdr:rowOff>
    </xdr:from>
    <xdr:to>
      <xdr:col>12</xdr:col>
      <xdr:colOff>66600</xdr:colOff>
      <xdr:row>48</xdr:row>
      <xdr:rowOff>114120</xdr:rowOff>
    </xdr:to>
    <xdr:graphicFrame>
      <xdr:nvGraphicFramePr>
        <xdr:cNvPr id="0" name="Chart 2"/>
        <xdr:cNvGraphicFramePr/>
      </xdr:nvGraphicFramePr>
      <xdr:xfrm>
        <a:off x="1343520" y="5162400"/>
        <a:ext cx="9707760" cy="42249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324000</xdr:colOff>
      <xdr:row>25</xdr:row>
      <xdr:rowOff>104760</xdr:rowOff>
    </xdr:from>
    <xdr:to>
      <xdr:col>22</xdr:col>
      <xdr:colOff>380880</xdr:colOff>
      <xdr:row>48</xdr:row>
      <xdr:rowOff>95040</xdr:rowOff>
    </xdr:to>
    <xdr:graphicFrame>
      <xdr:nvGraphicFramePr>
        <xdr:cNvPr id="1" name="Chart 3"/>
        <xdr:cNvGraphicFramePr/>
      </xdr:nvGraphicFramePr>
      <xdr:xfrm>
        <a:off x="11308680" y="5171760"/>
        <a:ext cx="9216000" cy="41965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552600</xdr:colOff>
      <xdr:row>50</xdr:row>
      <xdr:rowOff>0</xdr:rowOff>
    </xdr:from>
    <xdr:to>
      <xdr:col>17</xdr:col>
      <xdr:colOff>133200</xdr:colOff>
      <xdr:row>72</xdr:row>
      <xdr:rowOff>151920</xdr:rowOff>
    </xdr:to>
    <xdr:graphicFrame>
      <xdr:nvGraphicFramePr>
        <xdr:cNvPr id="2" name="Chart 4"/>
        <xdr:cNvGraphicFramePr/>
      </xdr:nvGraphicFramePr>
      <xdr:xfrm>
        <a:off x="6114240" y="9639000"/>
        <a:ext cx="9568800" cy="41752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12</xdr:col>
      <xdr:colOff>572040</xdr:colOff>
      <xdr:row>14</xdr:row>
      <xdr:rowOff>98280</xdr:rowOff>
    </xdr:from>
    <xdr:to>
      <xdr:col>18</xdr:col>
      <xdr:colOff>136800</xdr:colOff>
      <xdr:row>16</xdr:row>
      <xdr:rowOff>98640</xdr:rowOff>
    </xdr:to>
    <xdr:sp>
      <xdr:nvSpPr>
        <xdr:cNvPr id="3" name="CustomShape 1"/>
        <xdr:cNvSpPr/>
      </xdr:nvSpPr>
      <xdr:spPr>
        <a:xfrm>
          <a:off x="26749080" y="2719440"/>
          <a:ext cx="4304520" cy="426960"/>
        </a:xfrm>
        <a:prstGeom prst="rect">
          <a:avLst/>
        </a:prstGeom>
        <a:solidFill>
          <a:srgbClr val="ffffff"/>
        </a:solidFill>
        <a:ln w="9360">
          <a:noFill/>
        </a:ln>
      </xdr:spPr>
      <xdr:style>
        <a:lnRef idx="0"/>
        <a:fillRef idx="0"/>
        <a:effectRef idx="0"/>
        <a:fontRef idx="minor"/>
      </xdr:style>
      <xdr:txBody>
        <a:bodyPr lIns="36720" rIns="0" tIns="32040" bIns="0">
          <a:noAutofit/>
        </a:bodyPr>
        <a:p>
          <a:pPr algn="ctr">
            <a:lnSpc>
              <a:spcPct val="100000"/>
            </a:lnSpc>
          </a:pPr>
          <a:r>
            <a:rPr b="1" lang="de-DE" sz="1800" spc="-1" strike="noStrike">
              <a:solidFill>
                <a:srgbClr val="0000ff"/>
              </a:solidFill>
              <a:latin typeface="Arial Black"/>
            </a:rPr>
            <a:t>Schematic</a:t>
          </a:r>
          <a:endParaRPr b="0" lang="de-DE" sz="1800" spc="-1" strike="noStrike">
            <a:latin typeface="Times New Roman"/>
          </a:endParaRPr>
        </a:p>
      </xdr:txBody>
    </xdr:sp>
    <xdr:clientData/>
  </xdr:twoCellAnchor>
  <xdr:twoCellAnchor editAs="oneCell">
    <xdr:from>
      <xdr:col>5</xdr:col>
      <xdr:colOff>513000</xdr:colOff>
      <xdr:row>15</xdr:row>
      <xdr:rowOff>60840</xdr:rowOff>
    </xdr:from>
    <xdr:to>
      <xdr:col>28</xdr:col>
      <xdr:colOff>264240</xdr:colOff>
      <xdr:row>55</xdr:row>
      <xdr:rowOff>82800</xdr:rowOff>
    </xdr:to>
    <xdr:pic>
      <xdr:nvPicPr>
        <xdr:cNvPr id="4" name="Picture 39" descr=""/>
        <xdr:cNvPicPr/>
      </xdr:nvPicPr>
      <xdr:blipFill>
        <a:blip r:embed="rId1"/>
        <a:stretch/>
      </xdr:blipFill>
      <xdr:spPr>
        <a:xfrm>
          <a:off x="20478600" y="2910600"/>
          <a:ext cx="18601920" cy="8137080"/>
        </a:xfrm>
        <a:prstGeom prst="rect">
          <a:avLst/>
        </a:prstGeom>
        <a:ln>
          <a:noFill/>
        </a:ln>
      </xdr:spPr>
    </xdr:pic>
    <xdr:clientData/>
  </xdr:twoCellAnchor>
  <xdr:twoCellAnchor editAs="oneCell">
    <xdr:from>
      <xdr:col>5</xdr:col>
      <xdr:colOff>352800</xdr:colOff>
      <xdr:row>64</xdr:row>
      <xdr:rowOff>115560</xdr:rowOff>
    </xdr:from>
    <xdr:to>
      <xdr:col>17</xdr:col>
      <xdr:colOff>21960</xdr:colOff>
      <xdr:row>83</xdr:row>
      <xdr:rowOff>52920</xdr:rowOff>
    </xdr:to>
    <xdr:pic>
      <xdr:nvPicPr>
        <xdr:cNvPr id="5" name="Picture 15" descr=""/>
        <xdr:cNvPicPr/>
      </xdr:nvPicPr>
      <xdr:blipFill>
        <a:blip r:embed="rId2"/>
        <a:stretch/>
      </xdr:blipFill>
      <xdr:spPr>
        <a:xfrm>
          <a:off x="20318400" y="12985560"/>
          <a:ext cx="9830160" cy="3770280"/>
        </a:xfrm>
        <a:prstGeom prst="rect">
          <a:avLst/>
        </a:prstGeom>
        <a:ln>
          <a:noFill/>
        </a:ln>
      </xdr:spPr>
    </xdr:pic>
    <xdr:clientData/>
  </xdr:twoCellAnchor>
  <xdr:twoCellAnchor editAs="oneCell">
    <xdr:from>
      <xdr:col>4</xdr:col>
      <xdr:colOff>6480</xdr:colOff>
      <xdr:row>85</xdr:row>
      <xdr:rowOff>158760</xdr:rowOff>
    </xdr:from>
    <xdr:to>
      <xdr:col>15</xdr:col>
      <xdr:colOff>468360</xdr:colOff>
      <xdr:row>112</xdr:row>
      <xdr:rowOff>167400</xdr:rowOff>
    </xdr:to>
    <xdr:graphicFrame>
      <xdr:nvGraphicFramePr>
        <xdr:cNvPr id="6" name="Chart 4"/>
        <xdr:cNvGraphicFramePr/>
      </xdr:nvGraphicFramePr>
      <xdr:xfrm>
        <a:off x="18846000" y="17227440"/>
        <a:ext cx="10169280" cy="53960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twoCell">
    <xdr:from>
      <xdr:col>2</xdr:col>
      <xdr:colOff>438120</xdr:colOff>
      <xdr:row>1</xdr:row>
      <xdr:rowOff>19080</xdr:rowOff>
    </xdr:from>
    <xdr:to>
      <xdr:col>25</xdr:col>
      <xdr:colOff>495000</xdr:colOff>
      <xdr:row>4</xdr:row>
      <xdr:rowOff>95040</xdr:rowOff>
    </xdr:to>
    <xdr:sp>
      <xdr:nvSpPr>
        <xdr:cNvPr id="7" name="CustomShape 1"/>
        <xdr:cNvSpPr/>
      </xdr:nvSpPr>
      <xdr:spPr>
        <a:xfrm>
          <a:off x="17430480" y="201960"/>
          <a:ext cx="19510920" cy="624600"/>
        </a:xfrm>
        <a:prstGeom prst="rect">
          <a:avLst/>
        </a:prstGeom>
        <a:solidFill>
          <a:srgbClr val="ff0000"/>
        </a:solidFill>
        <a:ln w="9360">
          <a:noFill/>
        </a:ln>
      </xdr:spPr>
      <xdr:style>
        <a:lnRef idx="0"/>
        <a:fillRef idx="0"/>
        <a:effectRef idx="0"/>
        <a:fontRef idx="minor"/>
      </xdr:style>
      <xdr:txBody>
        <a:bodyPr lIns="90000" rIns="90000" tIns="45000" bIns="45000">
          <a:noAutofit/>
        </a:bodyPr>
        <a:p>
          <a:pPr>
            <a:lnSpc>
              <a:spcPct val="100000"/>
            </a:lnSpc>
          </a:pPr>
          <a:r>
            <a:rPr b="1" lang="de-DE" sz="4000" spc="-1" strike="noStrike">
              <a:solidFill>
                <a:srgbClr val="ffffff"/>
              </a:solidFill>
              <a:latin typeface="Calibri"/>
            </a:rPr>
            <a:t>LM5141 Synchronous Buck Controller Design Tool </a:t>
          </a:r>
          <a:endParaRPr b="0" lang="de-DE" sz="4000" spc="-1" strike="noStrike">
            <a:latin typeface="Times New Roman"/>
          </a:endParaRPr>
        </a:p>
      </xdr:txBody>
    </xdr:sp>
    <xdr:clientData/>
  </xdr:twoCellAnchor>
  <xdr:twoCellAnchor editAs="twoCell">
    <xdr:from>
      <xdr:col>2</xdr:col>
      <xdr:colOff>38160</xdr:colOff>
      <xdr:row>8</xdr:row>
      <xdr:rowOff>167760</xdr:rowOff>
    </xdr:from>
    <xdr:to>
      <xdr:col>2</xdr:col>
      <xdr:colOff>804240</xdr:colOff>
      <xdr:row>10</xdr:row>
      <xdr:rowOff>2160</xdr:rowOff>
    </xdr:to>
    <xdr:sp>
      <xdr:nvSpPr>
        <xdr:cNvPr id="8" name="CustomShape 1"/>
        <xdr:cNvSpPr/>
      </xdr:nvSpPr>
      <xdr:spPr>
        <a:xfrm>
          <a:off x="17030520" y="1638360"/>
          <a:ext cx="766080" cy="200160"/>
        </a:xfrm>
        <a:prstGeom prst="rect">
          <a:avLst/>
        </a:prstGeom>
        <a:solidFill>
          <a:srgbClr val="ccffff"/>
        </a:solidFill>
        <a:ln>
          <a:noFill/>
        </a:ln>
      </xdr:spPr>
      <xdr:style>
        <a:lnRef idx="0"/>
        <a:fillRef idx="0"/>
        <a:effectRef idx="0"/>
        <a:fontRef idx="minor"/>
      </xdr:style>
    </xdr:sp>
    <xdr:clientData/>
  </xdr:twoCellAnchor>
  <xdr:twoCellAnchor editAs="twoCell">
    <xdr:from>
      <xdr:col>2</xdr:col>
      <xdr:colOff>967680</xdr:colOff>
      <xdr:row>8</xdr:row>
      <xdr:rowOff>33120</xdr:rowOff>
    </xdr:from>
    <xdr:to>
      <xdr:col>7</xdr:col>
      <xdr:colOff>865800</xdr:colOff>
      <xdr:row>10</xdr:row>
      <xdr:rowOff>93600</xdr:rowOff>
    </xdr:to>
    <xdr:sp>
      <xdr:nvSpPr>
        <xdr:cNvPr id="9" name="CustomShape 1"/>
        <xdr:cNvSpPr/>
      </xdr:nvSpPr>
      <xdr:spPr>
        <a:xfrm>
          <a:off x="17960040" y="1503720"/>
          <a:ext cx="4451040" cy="426240"/>
        </a:xfrm>
        <a:prstGeom prst="rect">
          <a:avLst/>
        </a:prstGeom>
        <a:solidFill>
          <a:schemeClr val="bg1">
            <a:lumMod val="50000"/>
          </a:schemeClr>
        </a:solidFill>
        <a:ln w="9360">
          <a:noFill/>
        </a:ln>
      </xdr:spPr>
      <xdr:style>
        <a:lnRef idx="0"/>
        <a:fillRef idx="0"/>
        <a:effectRef idx="0"/>
        <a:fontRef idx="minor"/>
      </xdr:style>
      <xdr:txBody>
        <a:bodyPr lIns="90000" rIns="90000" tIns="45000" bIns="45000">
          <a:noAutofit/>
        </a:bodyPr>
        <a:p>
          <a:pPr>
            <a:lnSpc>
              <a:spcPct val="100000"/>
            </a:lnSpc>
          </a:pPr>
          <a:r>
            <a:rPr b="0" lang="de-DE" sz="2400" spc="-1" strike="noStrike">
              <a:solidFill>
                <a:srgbClr val="ffffff"/>
              </a:solidFill>
              <a:latin typeface="Arial"/>
            </a:rPr>
            <a:t>=Input Box</a:t>
          </a:r>
          <a:endParaRPr b="0" lang="de-DE" sz="2400" spc="-1" strike="noStrike">
            <a:latin typeface="Times New Roman"/>
          </a:endParaRPr>
        </a:p>
      </xdr:txBody>
    </xdr:sp>
    <xdr:clientData/>
  </xdr:twoCellAnchor>
  <xdr:twoCellAnchor editAs="twoCell">
    <xdr:from>
      <xdr:col>28</xdr:col>
      <xdr:colOff>84240</xdr:colOff>
      <xdr:row>27</xdr:row>
      <xdr:rowOff>131400</xdr:rowOff>
    </xdr:from>
    <xdr:to>
      <xdr:col>29</xdr:col>
      <xdr:colOff>2520</xdr:colOff>
      <xdr:row>28</xdr:row>
      <xdr:rowOff>82440</xdr:rowOff>
    </xdr:to>
    <xdr:sp>
      <xdr:nvSpPr>
        <xdr:cNvPr id="10" name="CustomShape 1"/>
        <xdr:cNvSpPr/>
      </xdr:nvSpPr>
      <xdr:spPr>
        <a:xfrm>
          <a:off x="38900520" y="5480640"/>
          <a:ext cx="708120" cy="2174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ff0000"/>
              </a:solidFill>
              <a:latin typeface="Arial"/>
            </a:rPr>
            <a:t>5V</a:t>
          </a:r>
          <a:endParaRPr b="0" lang="de-DE" sz="1600" spc="-1" strike="noStrike">
            <a:latin typeface="Times New Roman"/>
          </a:endParaRPr>
        </a:p>
      </xdr:txBody>
    </xdr:sp>
    <xdr:clientData/>
  </xdr:twoCellAnchor>
  <xdr:twoCellAnchor editAs="twoCell">
    <xdr:from>
      <xdr:col>28</xdr:col>
      <xdr:colOff>111240</xdr:colOff>
      <xdr:row>28</xdr:row>
      <xdr:rowOff>140040</xdr:rowOff>
    </xdr:from>
    <xdr:to>
      <xdr:col>29</xdr:col>
      <xdr:colOff>29520</xdr:colOff>
      <xdr:row>29</xdr:row>
      <xdr:rowOff>114120</xdr:rowOff>
    </xdr:to>
    <xdr:sp>
      <xdr:nvSpPr>
        <xdr:cNvPr id="11" name="CustomShape 1"/>
        <xdr:cNvSpPr/>
      </xdr:nvSpPr>
      <xdr:spPr>
        <a:xfrm>
          <a:off x="38927520" y="5755680"/>
          <a:ext cx="708120" cy="2026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ff0000"/>
              </a:solidFill>
              <a:latin typeface="Arial"/>
            </a:rPr>
            <a:t>5A</a:t>
          </a:r>
          <a:endParaRPr b="0" lang="de-DE" sz="1600" spc="-1" strike="noStrike">
            <a:latin typeface="Times New Roman"/>
          </a:endParaRPr>
        </a:p>
      </xdr:txBody>
    </xdr:sp>
    <xdr:clientData/>
  </xdr:twoCellAnchor>
  <xdr:twoCellAnchor editAs="twoCell">
    <xdr:from>
      <xdr:col>5</xdr:col>
      <xdr:colOff>424440</xdr:colOff>
      <xdr:row>17</xdr:row>
      <xdr:rowOff>17640</xdr:rowOff>
    </xdr:from>
    <xdr:to>
      <xdr:col>7</xdr:col>
      <xdr:colOff>627840</xdr:colOff>
      <xdr:row>18</xdr:row>
      <xdr:rowOff>127800</xdr:rowOff>
    </xdr:to>
    <xdr:sp>
      <xdr:nvSpPr>
        <xdr:cNvPr id="12" name="CustomShape 1"/>
        <xdr:cNvSpPr/>
      </xdr:nvSpPr>
      <xdr:spPr>
        <a:xfrm>
          <a:off x="20390040" y="3263760"/>
          <a:ext cx="1783080" cy="2930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400" spc="-1" strike="noStrike">
              <a:solidFill>
                <a:srgbClr val="ff0000"/>
              </a:solidFill>
              <a:latin typeface="Arial"/>
            </a:rPr>
            <a:t>12V VIN(nom)</a:t>
          </a:r>
          <a:endParaRPr b="0" lang="de-DE" sz="1400" spc="-1" strike="noStrike">
            <a:latin typeface="Times New Roman"/>
          </a:endParaRPr>
        </a:p>
      </xdr:txBody>
    </xdr:sp>
    <xdr:clientData/>
  </xdr:twoCellAnchor>
  <xdr:twoCellAnchor editAs="twoCell">
    <xdr:from>
      <xdr:col>22</xdr:col>
      <xdr:colOff>81000</xdr:colOff>
      <xdr:row>31</xdr:row>
      <xdr:rowOff>12600</xdr:rowOff>
    </xdr:from>
    <xdr:to>
      <xdr:col>23</xdr:col>
      <xdr:colOff>317160</xdr:colOff>
      <xdr:row>32</xdr:row>
      <xdr:rowOff>24840</xdr:rowOff>
    </xdr:to>
    <xdr:sp>
      <xdr:nvSpPr>
        <xdr:cNvPr id="13" name="CustomShape 1"/>
        <xdr:cNvSpPr/>
      </xdr:nvSpPr>
      <xdr:spPr>
        <a:xfrm>
          <a:off x="34157520" y="6321960"/>
          <a:ext cx="1026000" cy="2102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1.5µH</a:t>
          </a:r>
          <a:endParaRPr b="0" lang="de-DE" sz="1400" spc="-1" strike="noStrike">
            <a:latin typeface="Times New Roman"/>
          </a:endParaRPr>
        </a:p>
      </xdr:txBody>
    </xdr:sp>
    <xdr:clientData/>
  </xdr:twoCellAnchor>
  <xdr:twoCellAnchor editAs="twoCell">
    <xdr:from>
      <xdr:col>24</xdr:col>
      <xdr:colOff>194760</xdr:colOff>
      <xdr:row>31</xdr:row>
      <xdr:rowOff>49320</xdr:rowOff>
    </xdr:from>
    <xdr:to>
      <xdr:col>25</xdr:col>
      <xdr:colOff>219960</xdr:colOff>
      <xdr:row>32</xdr:row>
      <xdr:rowOff>23400</xdr:rowOff>
    </xdr:to>
    <xdr:sp>
      <xdr:nvSpPr>
        <xdr:cNvPr id="14" name="CustomShape 1"/>
        <xdr:cNvSpPr/>
      </xdr:nvSpPr>
      <xdr:spPr>
        <a:xfrm>
          <a:off x="35850960" y="6358680"/>
          <a:ext cx="815400" cy="1720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400" spc="-1" strike="noStrike">
              <a:solidFill>
                <a:srgbClr val="000000"/>
              </a:solidFill>
              <a:latin typeface="Arial Black"/>
            </a:rPr>
            <a:t>10mΩ</a:t>
          </a:r>
          <a:endParaRPr b="0" lang="de-DE" sz="1400" spc="-1" strike="noStrike">
            <a:latin typeface="Times New Roman"/>
          </a:endParaRPr>
        </a:p>
      </xdr:txBody>
    </xdr:sp>
    <xdr:clientData/>
  </xdr:twoCellAnchor>
  <xdr:twoCellAnchor editAs="twoCell">
    <xdr:from>
      <xdr:col>18</xdr:col>
      <xdr:colOff>362160</xdr:colOff>
      <xdr:row>47</xdr:row>
      <xdr:rowOff>16920</xdr:rowOff>
    </xdr:from>
    <xdr:to>
      <xdr:col>19</xdr:col>
      <xdr:colOff>387360</xdr:colOff>
      <xdr:row>48</xdr:row>
      <xdr:rowOff>5760</xdr:rowOff>
    </xdr:to>
    <xdr:sp>
      <xdr:nvSpPr>
        <xdr:cNvPr id="15" name="CustomShape 1"/>
        <xdr:cNvSpPr/>
      </xdr:nvSpPr>
      <xdr:spPr>
        <a:xfrm>
          <a:off x="31278960" y="9419760"/>
          <a:ext cx="815040" cy="18720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6.6kΩ</a:t>
          </a:r>
          <a:endParaRPr b="0" lang="de-DE" sz="1400" spc="-1" strike="noStrike">
            <a:latin typeface="Times New Roman"/>
          </a:endParaRPr>
        </a:p>
      </xdr:txBody>
    </xdr:sp>
    <xdr:clientData/>
  </xdr:twoCellAnchor>
  <xdr:twoCellAnchor editAs="twoCell">
    <xdr:from>
      <xdr:col>19</xdr:col>
      <xdr:colOff>412920</xdr:colOff>
      <xdr:row>47</xdr:row>
      <xdr:rowOff>24120</xdr:rowOff>
    </xdr:from>
    <xdr:to>
      <xdr:col>20</xdr:col>
      <xdr:colOff>605520</xdr:colOff>
      <xdr:row>48</xdr:row>
      <xdr:rowOff>720</xdr:rowOff>
    </xdr:to>
    <xdr:sp>
      <xdr:nvSpPr>
        <xdr:cNvPr id="16" name="CustomShape 1"/>
        <xdr:cNvSpPr/>
      </xdr:nvSpPr>
      <xdr:spPr>
        <a:xfrm>
          <a:off x="32119560" y="9426960"/>
          <a:ext cx="982440" cy="1749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0.01µF</a:t>
          </a:r>
          <a:endParaRPr b="0" lang="de-DE" sz="1400" spc="-1" strike="noStrike">
            <a:latin typeface="Times New Roman"/>
          </a:endParaRPr>
        </a:p>
      </xdr:txBody>
    </xdr:sp>
    <xdr:clientData/>
  </xdr:twoCellAnchor>
  <xdr:twoCellAnchor editAs="twoCell">
    <xdr:from>
      <xdr:col>7</xdr:col>
      <xdr:colOff>287280</xdr:colOff>
      <xdr:row>33</xdr:row>
      <xdr:rowOff>95760</xdr:rowOff>
    </xdr:from>
    <xdr:to>
      <xdr:col>7</xdr:col>
      <xdr:colOff>1089720</xdr:colOff>
      <xdr:row>34</xdr:row>
      <xdr:rowOff>113760</xdr:rowOff>
    </xdr:to>
    <xdr:sp>
      <xdr:nvSpPr>
        <xdr:cNvPr id="17" name="CustomShape 1"/>
        <xdr:cNvSpPr/>
      </xdr:nvSpPr>
      <xdr:spPr>
        <a:xfrm>
          <a:off x="21832560" y="6793560"/>
          <a:ext cx="802440" cy="2084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0.068µF</a:t>
          </a:r>
          <a:endParaRPr b="0" lang="de-DE" sz="1400" spc="-1" strike="noStrike">
            <a:latin typeface="Times New Roman"/>
          </a:endParaRPr>
        </a:p>
      </xdr:txBody>
    </xdr:sp>
    <xdr:clientData/>
  </xdr:twoCellAnchor>
  <xdr:twoCellAnchor editAs="twoCell">
    <xdr:from>
      <xdr:col>5</xdr:col>
      <xdr:colOff>171720</xdr:colOff>
      <xdr:row>33</xdr:row>
      <xdr:rowOff>65160</xdr:rowOff>
    </xdr:from>
    <xdr:to>
      <xdr:col>6</xdr:col>
      <xdr:colOff>364320</xdr:colOff>
      <xdr:row>34</xdr:row>
      <xdr:rowOff>101520</xdr:rowOff>
    </xdr:to>
    <xdr:sp>
      <xdr:nvSpPr>
        <xdr:cNvPr id="18" name="CustomShape 1"/>
        <xdr:cNvSpPr/>
      </xdr:nvSpPr>
      <xdr:spPr>
        <a:xfrm>
          <a:off x="20137320" y="6762960"/>
          <a:ext cx="982440" cy="22680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0.1µF</a:t>
          </a:r>
          <a:endParaRPr b="0" lang="de-DE" sz="1400" spc="-1" strike="noStrike">
            <a:latin typeface="Times New Roman"/>
          </a:endParaRPr>
        </a:p>
      </xdr:txBody>
    </xdr:sp>
    <xdr:clientData/>
  </xdr:twoCellAnchor>
  <xdr:twoCellAnchor editAs="twoCell">
    <xdr:from>
      <xdr:col>28</xdr:col>
      <xdr:colOff>450360</xdr:colOff>
      <xdr:row>33</xdr:row>
      <xdr:rowOff>176400</xdr:rowOff>
    </xdr:from>
    <xdr:to>
      <xdr:col>29</xdr:col>
      <xdr:colOff>294480</xdr:colOff>
      <xdr:row>34</xdr:row>
      <xdr:rowOff>155160</xdr:rowOff>
    </xdr:to>
    <xdr:sp>
      <xdr:nvSpPr>
        <xdr:cNvPr id="19" name="CustomShape 1"/>
        <xdr:cNvSpPr/>
      </xdr:nvSpPr>
      <xdr:spPr>
        <a:xfrm>
          <a:off x="39266640" y="6874200"/>
          <a:ext cx="633960" cy="16920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200" spc="-1" strike="noStrike">
              <a:solidFill>
                <a:srgbClr val="000000"/>
              </a:solidFill>
              <a:latin typeface="Arial Black"/>
            </a:rPr>
            <a:t>1</a:t>
          </a:r>
          <a:endParaRPr b="0" lang="de-DE" sz="1200" spc="-1" strike="noStrike">
            <a:latin typeface="Times New Roman"/>
          </a:endParaRPr>
        </a:p>
      </xdr:txBody>
    </xdr:sp>
    <xdr:clientData/>
  </xdr:twoCellAnchor>
  <xdr:twoCellAnchor editAs="twoCell">
    <xdr:from>
      <xdr:col>27</xdr:col>
      <xdr:colOff>398520</xdr:colOff>
      <xdr:row>32</xdr:row>
      <xdr:rowOff>70560</xdr:rowOff>
    </xdr:from>
    <xdr:to>
      <xdr:col>28</xdr:col>
      <xdr:colOff>608760</xdr:colOff>
      <xdr:row>33</xdr:row>
      <xdr:rowOff>113760</xdr:rowOff>
    </xdr:to>
    <xdr:sp>
      <xdr:nvSpPr>
        <xdr:cNvPr id="20" name="CustomShape 1"/>
        <xdr:cNvSpPr/>
      </xdr:nvSpPr>
      <xdr:spPr>
        <a:xfrm>
          <a:off x="38424600" y="6577920"/>
          <a:ext cx="1000440" cy="23364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82µF X</a:t>
          </a:r>
          <a:endParaRPr b="0" lang="de-DE" sz="1200" spc="-1" strike="noStrike">
            <a:latin typeface="Times New Roman"/>
          </a:endParaRPr>
        </a:p>
      </xdr:txBody>
    </xdr:sp>
    <xdr:clientData/>
  </xdr:twoCellAnchor>
  <xdr:twoCellAnchor editAs="twoCell">
    <xdr:from>
      <xdr:col>27</xdr:col>
      <xdr:colOff>453600</xdr:colOff>
      <xdr:row>33</xdr:row>
      <xdr:rowOff>117720</xdr:rowOff>
    </xdr:from>
    <xdr:to>
      <xdr:col>29</xdr:col>
      <xdr:colOff>61200</xdr:colOff>
      <xdr:row>35</xdr:row>
      <xdr:rowOff>48960</xdr:rowOff>
    </xdr:to>
    <xdr:sp>
      <xdr:nvSpPr>
        <xdr:cNvPr id="21" name="CustomShape 1"/>
        <xdr:cNvSpPr/>
      </xdr:nvSpPr>
      <xdr:spPr>
        <a:xfrm>
          <a:off x="38479680" y="6815520"/>
          <a:ext cx="1187640" cy="34272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47µF X</a:t>
          </a:r>
          <a:endParaRPr b="0" lang="de-DE" sz="1200" spc="-1" strike="noStrike">
            <a:latin typeface="Times New Roman"/>
          </a:endParaRPr>
        </a:p>
      </xdr:txBody>
    </xdr:sp>
    <xdr:clientData/>
  </xdr:twoCellAnchor>
  <xdr:twoCellAnchor editAs="twoCell">
    <xdr:from>
      <xdr:col>28</xdr:col>
      <xdr:colOff>434520</xdr:colOff>
      <xdr:row>32</xdr:row>
      <xdr:rowOff>68400</xdr:rowOff>
    </xdr:from>
    <xdr:to>
      <xdr:col>29</xdr:col>
      <xdr:colOff>285840</xdr:colOff>
      <xdr:row>33</xdr:row>
      <xdr:rowOff>152280</xdr:rowOff>
    </xdr:to>
    <xdr:sp>
      <xdr:nvSpPr>
        <xdr:cNvPr id="22" name="CustomShape 1"/>
        <xdr:cNvSpPr/>
      </xdr:nvSpPr>
      <xdr:spPr>
        <a:xfrm>
          <a:off x="39250800" y="6575760"/>
          <a:ext cx="641160" cy="27432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100" spc="-1" strike="noStrike">
              <a:solidFill>
                <a:srgbClr val="000000"/>
              </a:solidFill>
              <a:latin typeface="Arial Black"/>
            </a:rPr>
            <a:t>1</a:t>
          </a:r>
          <a:endParaRPr b="0" lang="de-DE" sz="1100" spc="-1" strike="noStrike">
            <a:latin typeface="Times New Roman"/>
          </a:endParaRPr>
        </a:p>
      </xdr:txBody>
    </xdr:sp>
    <xdr:clientData/>
  </xdr:twoCellAnchor>
  <xdr:twoCellAnchor editAs="twoCell">
    <xdr:from>
      <xdr:col>33</xdr:col>
      <xdr:colOff>353160</xdr:colOff>
      <xdr:row>16</xdr:row>
      <xdr:rowOff>137160</xdr:rowOff>
    </xdr:from>
    <xdr:to>
      <xdr:col>34</xdr:col>
      <xdr:colOff>204480</xdr:colOff>
      <xdr:row>20</xdr:row>
      <xdr:rowOff>20520</xdr:rowOff>
    </xdr:to>
    <xdr:sp>
      <xdr:nvSpPr>
        <xdr:cNvPr id="23" name="CustomShape 1"/>
        <xdr:cNvSpPr/>
      </xdr:nvSpPr>
      <xdr:spPr>
        <a:xfrm>
          <a:off x="43119000" y="3184920"/>
          <a:ext cx="641160" cy="6303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100" spc="-1" strike="noStrike">
              <a:solidFill>
                <a:srgbClr val="000000"/>
              </a:solidFill>
              <a:latin typeface="Arial Black"/>
            </a:rPr>
            <a:t>#REF!</a:t>
          </a:r>
          <a:endParaRPr b="0" lang="de-DE" sz="1100" spc="-1" strike="noStrike">
            <a:latin typeface="Times New Roman"/>
          </a:endParaRPr>
        </a:p>
      </xdr:txBody>
    </xdr:sp>
    <xdr:clientData/>
  </xdr:twoCellAnchor>
  <xdr:twoCellAnchor editAs="twoCell">
    <xdr:from>
      <xdr:col>9</xdr:col>
      <xdr:colOff>565920</xdr:colOff>
      <xdr:row>19</xdr:row>
      <xdr:rowOff>90720</xdr:rowOff>
    </xdr:from>
    <xdr:to>
      <xdr:col>10</xdr:col>
      <xdr:colOff>605880</xdr:colOff>
      <xdr:row>20</xdr:row>
      <xdr:rowOff>103320</xdr:rowOff>
    </xdr:to>
    <xdr:sp>
      <xdr:nvSpPr>
        <xdr:cNvPr id="24" name="CustomShape 1"/>
        <xdr:cNvSpPr/>
      </xdr:nvSpPr>
      <xdr:spPr>
        <a:xfrm>
          <a:off x="24373080" y="3702600"/>
          <a:ext cx="830160" cy="1954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200" spc="-1" strike="noStrike">
              <a:solidFill>
                <a:srgbClr val="000000"/>
              </a:solidFill>
              <a:latin typeface="Arial Black"/>
            </a:rPr>
            <a:t>6</a:t>
          </a:r>
          <a:endParaRPr b="0" lang="de-DE" sz="1200" spc="-1" strike="noStrike">
            <a:latin typeface="Times New Roman"/>
          </a:endParaRPr>
        </a:p>
      </xdr:txBody>
    </xdr:sp>
    <xdr:clientData/>
  </xdr:twoCellAnchor>
  <xdr:twoCellAnchor editAs="twoCell">
    <xdr:from>
      <xdr:col>8</xdr:col>
      <xdr:colOff>538200</xdr:colOff>
      <xdr:row>19</xdr:row>
      <xdr:rowOff>41040</xdr:rowOff>
    </xdr:from>
    <xdr:to>
      <xdr:col>10</xdr:col>
      <xdr:colOff>136080</xdr:colOff>
      <xdr:row>21</xdr:row>
      <xdr:rowOff>2520</xdr:rowOff>
    </xdr:to>
    <xdr:sp>
      <xdr:nvSpPr>
        <xdr:cNvPr id="25" name="CustomShape 1"/>
        <xdr:cNvSpPr/>
      </xdr:nvSpPr>
      <xdr:spPr>
        <a:xfrm>
          <a:off x="23555520" y="3652920"/>
          <a:ext cx="1177920" cy="36504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2.2µF X</a:t>
          </a:r>
          <a:endParaRPr b="0" lang="de-DE" sz="1200" spc="-1" strike="noStrike">
            <a:latin typeface="Times New Roman"/>
          </a:endParaRPr>
        </a:p>
      </xdr:txBody>
    </xdr:sp>
    <xdr:clientData/>
  </xdr:twoCellAnchor>
  <xdr:twoCellAnchor editAs="twoCell">
    <xdr:from>
      <xdr:col>19</xdr:col>
      <xdr:colOff>0</xdr:colOff>
      <xdr:row>23</xdr:row>
      <xdr:rowOff>114480</xdr:rowOff>
    </xdr:from>
    <xdr:to>
      <xdr:col>20</xdr:col>
      <xdr:colOff>192600</xdr:colOff>
      <xdr:row>24</xdr:row>
      <xdr:rowOff>73800</xdr:rowOff>
    </xdr:to>
    <xdr:sp>
      <xdr:nvSpPr>
        <xdr:cNvPr id="26" name="CustomShape 1"/>
        <xdr:cNvSpPr/>
      </xdr:nvSpPr>
      <xdr:spPr>
        <a:xfrm>
          <a:off x="31706640" y="4572000"/>
          <a:ext cx="982440" cy="1803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200" spc="-1" strike="noStrike">
              <a:solidFill>
                <a:srgbClr val="000000"/>
              </a:solidFill>
              <a:latin typeface="Arial Black"/>
            </a:rPr>
            <a:t>0.1µF</a:t>
          </a:r>
          <a:endParaRPr b="0" lang="de-DE" sz="1200" spc="-1" strike="noStrike">
            <a:latin typeface="Times New Roman"/>
          </a:endParaRPr>
        </a:p>
      </xdr:txBody>
    </xdr:sp>
    <xdr:clientData/>
  </xdr:twoCellAnchor>
  <xdr:twoCellAnchor editAs="twoCell">
    <xdr:from>
      <xdr:col>16</xdr:col>
      <xdr:colOff>480240</xdr:colOff>
      <xdr:row>53</xdr:row>
      <xdr:rowOff>127080</xdr:rowOff>
    </xdr:from>
    <xdr:to>
      <xdr:col>18</xdr:col>
      <xdr:colOff>63360</xdr:colOff>
      <xdr:row>54</xdr:row>
      <xdr:rowOff>86400</xdr:rowOff>
    </xdr:to>
    <xdr:sp>
      <xdr:nvSpPr>
        <xdr:cNvPr id="27" name="CustomShape 1"/>
        <xdr:cNvSpPr/>
      </xdr:nvSpPr>
      <xdr:spPr>
        <a:xfrm>
          <a:off x="29817000" y="10672920"/>
          <a:ext cx="1163160" cy="1803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200" spc="-1" strike="noStrike">
              <a:solidFill>
                <a:srgbClr val="000000"/>
              </a:solidFill>
              <a:latin typeface="Arial Black"/>
            </a:rPr>
            <a:t>0.1µF</a:t>
          </a:r>
          <a:endParaRPr b="0" lang="de-DE" sz="1200" spc="-1" strike="noStrike">
            <a:latin typeface="Times New Roman"/>
          </a:endParaRPr>
        </a:p>
      </xdr:txBody>
    </xdr:sp>
    <xdr:clientData/>
  </xdr:twoCellAnchor>
  <xdr:twoCellAnchor editAs="twoCell">
    <xdr:from>
      <xdr:col>8</xdr:col>
      <xdr:colOff>355680</xdr:colOff>
      <xdr:row>33</xdr:row>
      <xdr:rowOff>101520</xdr:rowOff>
    </xdr:from>
    <xdr:to>
      <xdr:col>10</xdr:col>
      <xdr:colOff>170280</xdr:colOff>
      <xdr:row>34</xdr:row>
      <xdr:rowOff>111960</xdr:rowOff>
    </xdr:to>
    <xdr:sp>
      <xdr:nvSpPr>
        <xdr:cNvPr id="28" name="CustomShape 1"/>
        <xdr:cNvSpPr/>
      </xdr:nvSpPr>
      <xdr:spPr>
        <a:xfrm>
          <a:off x="23373000" y="6799320"/>
          <a:ext cx="1394640" cy="2008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400" spc="-1" strike="noStrike">
              <a:solidFill>
                <a:srgbClr val="000000"/>
              </a:solidFill>
              <a:latin typeface="Arial"/>
            </a:rPr>
            <a:t>0.0082µF</a:t>
          </a:r>
          <a:endParaRPr b="0" lang="de-DE" sz="14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6</xdr:row>
      <xdr:rowOff>0</xdr:rowOff>
    </xdr:from>
    <xdr:to>
      <xdr:col>15</xdr:col>
      <xdr:colOff>409320</xdr:colOff>
      <xdr:row>49</xdr:row>
      <xdr:rowOff>181440</xdr:rowOff>
    </xdr:to>
    <xdr:pic>
      <xdr:nvPicPr>
        <xdr:cNvPr id="29" name="Picture 28" descr=""/>
        <xdr:cNvPicPr/>
      </xdr:nvPicPr>
      <xdr:blipFill>
        <a:blip r:embed="rId1"/>
        <a:stretch/>
      </xdr:blipFill>
      <xdr:spPr>
        <a:xfrm>
          <a:off x="2232360" y="1097280"/>
          <a:ext cx="18357840" cy="8045280"/>
        </a:xfrm>
        <a:prstGeom prst="rect">
          <a:avLst/>
        </a:prstGeom>
        <a:ln>
          <a:noFill/>
        </a:ln>
      </xdr:spPr>
    </xdr:pic>
    <xdr:clientData/>
  </xdr:twoCellAnchor>
  <xdr:twoCellAnchor editAs="twoCell">
    <xdr:from>
      <xdr:col>15</xdr:col>
      <xdr:colOff>364320</xdr:colOff>
      <xdr:row>19</xdr:row>
      <xdr:rowOff>148680</xdr:rowOff>
    </xdr:from>
    <xdr:to>
      <xdr:col>16</xdr:col>
      <xdr:colOff>385560</xdr:colOff>
      <xdr:row>20</xdr:row>
      <xdr:rowOff>168480</xdr:rowOff>
    </xdr:to>
    <xdr:sp>
      <xdr:nvSpPr>
        <xdr:cNvPr id="30" name="CustomShape 1"/>
        <xdr:cNvSpPr/>
      </xdr:nvSpPr>
      <xdr:spPr>
        <a:xfrm>
          <a:off x="20545200" y="3623400"/>
          <a:ext cx="811080" cy="2026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ff0000"/>
              </a:solidFill>
              <a:latin typeface="Arial"/>
            </a:rPr>
            <a:t>5V</a:t>
          </a:r>
          <a:endParaRPr b="0" lang="de-DE" sz="1600" spc="-1" strike="noStrike">
            <a:latin typeface="Times New Roman"/>
          </a:endParaRPr>
        </a:p>
      </xdr:txBody>
    </xdr:sp>
    <xdr:clientData/>
  </xdr:twoCellAnchor>
  <xdr:twoCellAnchor editAs="twoCell">
    <xdr:from>
      <xdr:col>15</xdr:col>
      <xdr:colOff>353520</xdr:colOff>
      <xdr:row>20</xdr:row>
      <xdr:rowOff>165600</xdr:rowOff>
    </xdr:from>
    <xdr:to>
      <xdr:col>16</xdr:col>
      <xdr:colOff>374760</xdr:colOff>
      <xdr:row>22</xdr:row>
      <xdr:rowOff>8280</xdr:rowOff>
    </xdr:to>
    <xdr:sp>
      <xdr:nvSpPr>
        <xdr:cNvPr id="31" name="CustomShape 1"/>
        <xdr:cNvSpPr/>
      </xdr:nvSpPr>
      <xdr:spPr>
        <a:xfrm>
          <a:off x="20534400" y="3823200"/>
          <a:ext cx="811080" cy="2084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ff0000"/>
              </a:solidFill>
              <a:latin typeface="Arial"/>
            </a:rPr>
            <a:t>5A</a:t>
          </a:r>
          <a:endParaRPr b="0" lang="de-DE" sz="1600" spc="-1" strike="noStrike">
            <a:latin typeface="Times New Roman"/>
          </a:endParaRPr>
        </a:p>
      </xdr:txBody>
    </xdr:sp>
    <xdr:clientData/>
  </xdr:twoCellAnchor>
  <xdr:twoCellAnchor editAs="twoCell">
    <xdr:from>
      <xdr:col>2</xdr:col>
      <xdr:colOff>443520</xdr:colOff>
      <xdr:row>7</xdr:row>
      <xdr:rowOff>165960</xdr:rowOff>
    </xdr:from>
    <xdr:to>
      <xdr:col>2</xdr:col>
      <xdr:colOff>1314720</xdr:colOff>
      <xdr:row>9</xdr:row>
      <xdr:rowOff>71280</xdr:rowOff>
    </xdr:to>
    <xdr:sp>
      <xdr:nvSpPr>
        <xdr:cNvPr id="32" name="CustomShape 1"/>
        <xdr:cNvSpPr/>
      </xdr:nvSpPr>
      <xdr:spPr>
        <a:xfrm>
          <a:off x="2675880" y="1446120"/>
          <a:ext cx="871200" cy="2710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ff0000"/>
              </a:solidFill>
              <a:latin typeface="Arial"/>
            </a:rPr>
            <a:t>12V VIN(nom)</a:t>
          </a:r>
          <a:endParaRPr b="0" lang="de-DE" sz="1600" spc="-1" strike="noStrike">
            <a:latin typeface="Times New Roman"/>
          </a:endParaRPr>
        </a:p>
      </xdr:txBody>
    </xdr:sp>
    <xdr:clientData/>
  </xdr:twoCellAnchor>
  <xdr:twoCellAnchor editAs="twoCell">
    <xdr:from>
      <xdr:col>9</xdr:col>
      <xdr:colOff>1062000</xdr:colOff>
      <xdr:row>24</xdr:row>
      <xdr:rowOff>25560</xdr:rowOff>
    </xdr:from>
    <xdr:to>
      <xdr:col>10</xdr:col>
      <xdr:colOff>426600</xdr:colOff>
      <xdr:row>25</xdr:row>
      <xdr:rowOff>69840</xdr:rowOff>
    </xdr:to>
    <xdr:sp>
      <xdr:nvSpPr>
        <xdr:cNvPr id="33" name="CustomShape 1"/>
        <xdr:cNvSpPr/>
      </xdr:nvSpPr>
      <xdr:spPr>
        <a:xfrm>
          <a:off x="15652800" y="4414680"/>
          <a:ext cx="905760" cy="2271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400" spc="-1" strike="noStrike">
              <a:solidFill>
                <a:srgbClr val="000000"/>
              </a:solidFill>
              <a:latin typeface="Arial"/>
            </a:rPr>
            <a:t>1.5µH</a:t>
          </a:r>
          <a:endParaRPr b="0" lang="de-DE" sz="1400" spc="-1" strike="noStrike">
            <a:latin typeface="Times New Roman"/>
          </a:endParaRPr>
        </a:p>
      </xdr:txBody>
    </xdr:sp>
    <xdr:clientData/>
  </xdr:twoCellAnchor>
  <xdr:twoCellAnchor editAs="twoCell">
    <xdr:from>
      <xdr:col>11</xdr:col>
      <xdr:colOff>415440</xdr:colOff>
      <xdr:row>24</xdr:row>
      <xdr:rowOff>3240</xdr:rowOff>
    </xdr:from>
    <xdr:to>
      <xdr:col>12</xdr:col>
      <xdr:colOff>440640</xdr:colOff>
      <xdr:row>25</xdr:row>
      <xdr:rowOff>8280</xdr:rowOff>
    </xdr:to>
    <xdr:sp>
      <xdr:nvSpPr>
        <xdr:cNvPr id="34" name="CustomShape 1"/>
        <xdr:cNvSpPr/>
      </xdr:nvSpPr>
      <xdr:spPr>
        <a:xfrm>
          <a:off x="17436600" y="4392360"/>
          <a:ext cx="815040" cy="18792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600" spc="-1" strike="noStrike">
              <a:solidFill>
                <a:srgbClr val="000000"/>
              </a:solidFill>
              <a:latin typeface="Calibri"/>
            </a:rPr>
            <a:t>10mΩ</a:t>
          </a:r>
          <a:endParaRPr b="0" lang="de-DE" sz="1600" spc="-1" strike="noStrike">
            <a:latin typeface="Times New Roman"/>
          </a:endParaRPr>
        </a:p>
      </xdr:txBody>
    </xdr:sp>
    <xdr:clientData/>
  </xdr:twoCellAnchor>
  <xdr:twoCellAnchor editAs="twoCell">
    <xdr:from>
      <xdr:col>3</xdr:col>
      <xdr:colOff>417600</xdr:colOff>
      <xdr:row>10</xdr:row>
      <xdr:rowOff>84240</xdr:rowOff>
    </xdr:from>
    <xdr:to>
      <xdr:col>3</xdr:col>
      <xdr:colOff>1067040</xdr:colOff>
      <xdr:row>11</xdr:row>
      <xdr:rowOff>96840</xdr:rowOff>
    </xdr:to>
    <xdr:sp>
      <xdr:nvSpPr>
        <xdr:cNvPr id="35" name="CustomShape 1"/>
        <xdr:cNvSpPr/>
      </xdr:nvSpPr>
      <xdr:spPr>
        <a:xfrm>
          <a:off x="5949720" y="1913040"/>
          <a:ext cx="649440" cy="1954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100" spc="-1" strike="noStrike">
              <a:solidFill>
                <a:srgbClr val="000000"/>
              </a:solidFill>
              <a:latin typeface="Arial Black"/>
            </a:rPr>
            <a:t>6</a:t>
          </a:r>
          <a:endParaRPr b="0" lang="de-DE" sz="1100" spc="-1" strike="noStrike">
            <a:latin typeface="Times New Roman"/>
          </a:endParaRPr>
        </a:p>
      </xdr:txBody>
    </xdr:sp>
    <xdr:clientData/>
  </xdr:twoCellAnchor>
  <xdr:twoCellAnchor editAs="twoCell">
    <xdr:from>
      <xdr:col>8</xdr:col>
      <xdr:colOff>43200</xdr:colOff>
      <xdr:row>40</xdr:row>
      <xdr:rowOff>113400</xdr:rowOff>
    </xdr:from>
    <xdr:to>
      <xdr:col>8</xdr:col>
      <xdr:colOff>679680</xdr:colOff>
      <xdr:row>41</xdr:row>
      <xdr:rowOff>107640</xdr:rowOff>
    </xdr:to>
    <xdr:sp>
      <xdr:nvSpPr>
        <xdr:cNvPr id="36" name="CustomShape 1"/>
        <xdr:cNvSpPr/>
      </xdr:nvSpPr>
      <xdr:spPr>
        <a:xfrm>
          <a:off x="13023720" y="7428600"/>
          <a:ext cx="636480" cy="17712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6.6kΩ</a:t>
          </a:r>
          <a:endParaRPr b="0" lang="de-DE" sz="1400" spc="-1" strike="noStrike">
            <a:latin typeface="Times New Roman"/>
          </a:endParaRPr>
        </a:p>
      </xdr:txBody>
    </xdr:sp>
    <xdr:clientData/>
  </xdr:twoCellAnchor>
  <xdr:twoCellAnchor editAs="twoCell">
    <xdr:from>
      <xdr:col>2</xdr:col>
      <xdr:colOff>988560</xdr:colOff>
      <xdr:row>26</xdr:row>
      <xdr:rowOff>136800</xdr:rowOff>
    </xdr:from>
    <xdr:to>
      <xdr:col>2</xdr:col>
      <xdr:colOff>1854360</xdr:colOff>
      <xdr:row>27</xdr:row>
      <xdr:rowOff>121320</xdr:rowOff>
    </xdr:to>
    <xdr:sp>
      <xdr:nvSpPr>
        <xdr:cNvPr id="37" name="CustomShape 1"/>
        <xdr:cNvSpPr/>
      </xdr:nvSpPr>
      <xdr:spPr>
        <a:xfrm>
          <a:off x="3220920" y="4891680"/>
          <a:ext cx="865800" cy="16740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0.01µF</a:t>
          </a:r>
          <a:endParaRPr b="0" lang="de-DE" sz="1400" spc="-1" strike="noStrike">
            <a:latin typeface="Times New Roman"/>
          </a:endParaRPr>
        </a:p>
      </xdr:txBody>
    </xdr:sp>
    <xdr:clientData/>
  </xdr:twoCellAnchor>
  <xdr:twoCellAnchor editAs="twoCell">
    <xdr:from>
      <xdr:col>1</xdr:col>
      <xdr:colOff>653040</xdr:colOff>
      <xdr:row>26</xdr:row>
      <xdr:rowOff>111600</xdr:rowOff>
    </xdr:from>
    <xdr:to>
      <xdr:col>2</xdr:col>
      <xdr:colOff>439200</xdr:colOff>
      <xdr:row>27</xdr:row>
      <xdr:rowOff>101160</xdr:rowOff>
    </xdr:to>
    <xdr:sp>
      <xdr:nvSpPr>
        <xdr:cNvPr id="38" name="CustomShape 1"/>
        <xdr:cNvSpPr/>
      </xdr:nvSpPr>
      <xdr:spPr>
        <a:xfrm>
          <a:off x="1561680" y="4866480"/>
          <a:ext cx="1109880" cy="1724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0.068µF</a:t>
          </a:r>
          <a:endParaRPr b="0" lang="de-DE" sz="1400" spc="-1" strike="noStrike">
            <a:latin typeface="Times New Roman"/>
          </a:endParaRPr>
        </a:p>
      </xdr:txBody>
    </xdr:sp>
    <xdr:clientData/>
  </xdr:twoCellAnchor>
  <xdr:twoCellAnchor editAs="twoCell">
    <xdr:from>
      <xdr:col>8</xdr:col>
      <xdr:colOff>732600</xdr:colOff>
      <xdr:row>40</xdr:row>
      <xdr:rowOff>140040</xdr:rowOff>
    </xdr:from>
    <xdr:to>
      <xdr:col>9</xdr:col>
      <xdr:colOff>299880</xdr:colOff>
      <xdr:row>41</xdr:row>
      <xdr:rowOff>123840</xdr:rowOff>
    </xdr:to>
    <xdr:sp>
      <xdr:nvSpPr>
        <xdr:cNvPr id="39" name="CustomShape 1"/>
        <xdr:cNvSpPr/>
      </xdr:nvSpPr>
      <xdr:spPr>
        <a:xfrm>
          <a:off x="13713120" y="7455240"/>
          <a:ext cx="1177560" cy="1666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0.1µF</a:t>
          </a:r>
          <a:endParaRPr b="0" lang="de-DE" sz="1400" spc="-1" strike="noStrike">
            <a:latin typeface="Times New Roman"/>
          </a:endParaRPr>
        </a:p>
      </xdr:txBody>
    </xdr:sp>
    <xdr:clientData/>
  </xdr:twoCellAnchor>
  <xdr:twoCellAnchor editAs="twoCell">
    <xdr:from>
      <xdr:col>16</xdr:col>
      <xdr:colOff>141120</xdr:colOff>
      <xdr:row>25</xdr:row>
      <xdr:rowOff>151560</xdr:rowOff>
    </xdr:from>
    <xdr:to>
      <xdr:col>16</xdr:col>
      <xdr:colOff>601920</xdr:colOff>
      <xdr:row>26</xdr:row>
      <xdr:rowOff>137520</xdr:rowOff>
    </xdr:to>
    <xdr:sp>
      <xdr:nvSpPr>
        <xdr:cNvPr id="40" name="CustomShape 1"/>
        <xdr:cNvSpPr/>
      </xdr:nvSpPr>
      <xdr:spPr>
        <a:xfrm>
          <a:off x="21111840" y="4723560"/>
          <a:ext cx="460800" cy="16884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200" spc="-1" strike="noStrike">
              <a:solidFill>
                <a:srgbClr val="000000"/>
              </a:solidFill>
              <a:latin typeface="Arial Black"/>
            </a:rPr>
            <a:t>1</a:t>
          </a:r>
          <a:endParaRPr b="0" lang="de-DE" sz="1200" spc="-1" strike="noStrike">
            <a:latin typeface="Times New Roman"/>
          </a:endParaRPr>
        </a:p>
      </xdr:txBody>
    </xdr:sp>
    <xdr:clientData/>
  </xdr:twoCellAnchor>
  <xdr:twoCellAnchor editAs="twoCell">
    <xdr:from>
      <xdr:col>15</xdr:col>
      <xdr:colOff>131400</xdr:colOff>
      <xdr:row>25</xdr:row>
      <xdr:rowOff>96480</xdr:rowOff>
    </xdr:from>
    <xdr:to>
      <xdr:col>16</xdr:col>
      <xdr:colOff>340560</xdr:colOff>
      <xdr:row>27</xdr:row>
      <xdr:rowOff>50760</xdr:rowOff>
    </xdr:to>
    <xdr:sp>
      <xdr:nvSpPr>
        <xdr:cNvPr id="41" name="CustomShape 1"/>
        <xdr:cNvSpPr/>
      </xdr:nvSpPr>
      <xdr:spPr>
        <a:xfrm>
          <a:off x="20312280" y="4668480"/>
          <a:ext cx="999000" cy="320040"/>
        </a:xfrm>
        <a:prstGeom prst="rect">
          <a:avLst/>
        </a:prstGeom>
        <a:solidFill>
          <a:schemeClr val="lt1"/>
        </a:solid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82µF X</a:t>
          </a:r>
          <a:endParaRPr b="0" lang="de-DE" sz="1200" spc="-1" strike="noStrike">
            <a:latin typeface="Times New Roman"/>
          </a:endParaRPr>
        </a:p>
      </xdr:txBody>
    </xdr:sp>
    <xdr:clientData/>
  </xdr:twoCellAnchor>
  <xdr:twoCellAnchor editAs="twoCell">
    <xdr:from>
      <xdr:col>15</xdr:col>
      <xdr:colOff>176040</xdr:colOff>
      <xdr:row>27</xdr:row>
      <xdr:rowOff>19440</xdr:rowOff>
    </xdr:from>
    <xdr:to>
      <xdr:col>16</xdr:col>
      <xdr:colOff>315360</xdr:colOff>
      <xdr:row>28</xdr:row>
      <xdr:rowOff>158760</xdr:rowOff>
    </xdr:to>
    <xdr:sp>
      <xdr:nvSpPr>
        <xdr:cNvPr id="42" name="CustomShape 1"/>
        <xdr:cNvSpPr/>
      </xdr:nvSpPr>
      <xdr:spPr>
        <a:xfrm>
          <a:off x="20356920" y="4957200"/>
          <a:ext cx="929160" cy="322200"/>
        </a:xfrm>
        <a:prstGeom prst="rect">
          <a:avLst/>
        </a:prstGeom>
        <a:solidFill>
          <a:schemeClr val="lt1"/>
        </a:solid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47µF X</a:t>
          </a:r>
          <a:endParaRPr b="0" lang="de-DE" sz="1200" spc="-1" strike="noStrike">
            <a:latin typeface="Times New Roman"/>
          </a:endParaRPr>
        </a:p>
      </xdr:txBody>
    </xdr:sp>
    <xdr:clientData/>
  </xdr:twoCellAnchor>
  <xdr:twoCellAnchor editAs="twoCell">
    <xdr:from>
      <xdr:col>16</xdr:col>
      <xdr:colOff>203400</xdr:colOff>
      <xdr:row>27</xdr:row>
      <xdr:rowOff>70200</xdr:rowOff>
    </xdr:from>
    <xdr:to>
      <xdr:col>17</xdr:col>
      <xdr:colOff>54720</xdr:colOff>
      <xdr:row>28</xdr:row>
      <xdr:rowOff>54000</xdr:rowOff>
    </xdr:to>
    <xdr:sp>
      <xdr:nvSpPr>
        <xdr:cNvPr id="43" name="CustomShape 1"/>
        <xdr:cNvSpPr/>
      </xdr:nvSpPr>
      <xdr:spPr>
        <a:xfrm>
          <a:off x="21174120" y="5007960"/>
          <a:ext cx="641160" cy="16668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100" spc="-1" strike="noStrike">
              <a:solidFill>
                <a:srgbClr val="000000"/>
              </a:solidFill>
              <a:latin typeface="Arial Black"/>
            </a:rPr>
            <a:t>1</a:t>
          </a:r>
          <a:endParaRPr b="0" lang="de-DE" sz="1100" spc="-1" strike="noStrike">
            <a:latin typeface="Times New Roman"/>
          </a:endParaRPr>
        </a:p>
      </xdr:txBody>
    </xdr:sp>
    <xdr:clientData/>
  </xdr:twoCellAnchor>
  <xdr:twoCellAnchor editAs="twoCell">
    <xdr:from>
      <xdr:col>2</xdr:col>
      <xdr:colOff>2422800</xdr:colOff>
      <xdr:row>10</xdr:row>
      <xdr:rowOff>31680</xdr:rowOff>
    </xdr:from>
    <xdr:to>
      <xdr:col>3</xdr:col>
      <xdr:colOff>694440</xdr:colOff>
      <xdr:row>11</xdr:row>
      <xdr:rowOff>168840</xdr:rowOff>
    </xdr:to>
    <xdr:sp>
      <xdr:nvSpPr>
        <xdr:cNvPr id="44" name="CustomShape 1"/>
        <xdr:cNvSpPr/>
      </xdr:nvSpPr>
      <xdr:spPr>
        <a:xfrm>
          <a:off x="4655160" y="1860480"/>
          <a:ext cx="1571400" cy="320040"/>
        </a:xfrm>
        <a:prstGeom prst="rect">
          <a:avLst/>
        </a:prstGeom>
        <a:solidFill>
          <a:schemeClr val="lt1"/>
        </a:solid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2.2µF X</a:t>
          </a:r>
          <a:endParaRPr b="0" lang="de-DE" sz="1200" spc="-1" strike="noStrike">
            <a:latin typeface="Times New Roman"/>
          </a:endParaRPr>
        </a:p>
      </xdr:txBody>
    </xdr:sp>
    <xdr:clientData/>
  </xdr:twoCellAnchor>
  <xdr:twoCellAnchor editAs="twoCell">
    <xdr:from>
      <xdr:col>8</xdr:col>
      <xdr:colOff>335160</xdr:colOff>
      <xdr:row>17</xdr:row>
      <xdr:rowOff>152280</xdr:rowOff>
    </xdr:from>
    <xdr:to>
      <xdr:col>8</xdr:col>
      <xdr:colOff>1137600</xdr:colOff>
      <xdr:row>18</xdr:row>
      <xdr:rowOff>144360</xdr:rowOff>
    </xdr:to>
    <xdr:sp>
      <xdr:nvSpPr>
        <xdr:cNvPr id="45" name="CustomShape 1"/>
        <xdr:cNvSpPr/>
      </xdr:nvSpPr>
      <xdr:spPr>
        <a:xfrm>
          <a:off x="13315680" y="3261240"/>
          <a:ext cx="802440" cy="17496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200" spc="-1" strike="noStrike">
              <a:solidFill>
                <a:srgbClr val="000000"/>
              </a:solidFill>
              <a:latin typeface="Arial Black"/>
            </a:rPr>
            <a:t>0.1µF</a:t>
          </a:r>
          <a:endParaRPr b="0" lang="de-DE" sz="1200" spc="-1" strike="noStrike">
            <a:latin typeface="Times New Roman"/>
          </a:endParaRPr>
        </a:p>
      </xdr:txBody>
    </xdr:sp>
    <xdr:clientData/>
  </xdr:twoCellAnchor>
  <xdr:twoCellAnchor editAs="twoCell">
    <xdr:from>
      <xdr:col>8</xdr:col>
      <xdr:colOff>1158120</xdr:colOff>
      <xdr:row>15</xdr:row>
      <xdr:rowOff>0</xdr:rowOff>
    </xdr:from>
    <xdr:to>
      <xdr:col>9</xdr:col>
      <xdr:colOff>725400</xdr:colOff>
      <xdr:row>16</xdr:row>
      <xdr:rowOff>134280</xdr:rowOff>
    </xdr:to>
    <xdr:sp>
      <xdr:nvSpPr>
        <xdr:cNvPr id="46" name="CustomShape 1"/>
        <xdr:cNvSpPr/>
      </xdr:nvSpPr>
      <xdr:spPr>
        <a:xfrm>
          <a:off x="14138640" y="2743200"/>
          <a:ext cx="1177560" cy="317160"/>
        </a:xfrm>
        <a:prstGeom prst="rect">
          <a:avLst/>
        </a:prstGeom>
        <a:noFill/>
        <a:ln w="9360">
          <a:noFill/>
        </a:ln>
      </xdr:spPr>
      <xdr:style>
        <a:lnRef idx="0"/>
        <a:fillRef idx="0"/>
        <a:effectRef idx="0"/>
        <a:fontRef idx="minor"/>
      </xdr:style>
      <xdr:txBody>
        <a:bodyPr lIns="90000" rIns="90000" tIns="45000" bIns="45000">
          <a:noAutofit/>
        </a:bodyPr>
        <a:p>
          <a:pPr>
            <a:lnSpc>
              <a:spcPct val="100000"/>
            </a:lnSpc>
          </a:pPr>
          <a:r>
            <a:rPr b="0" lang="de-DE" sz="1200" spc="-1" strike="noStrike">
              <a:solidFill>
                <a:srgbClr val="000000"/>
              </a:solidFill>
              <a:latin typeface="Arial Black"/>
            </a:rPr>
            <a:t>2.2µF </a:t>
          </a:r>
          <a:endParaRPr b="0" lang="de-DE" sz="1200" spc="-1" strike="noStrike">
            <a:latin typeface="Times New Roman"/>
          </a:endParaRPr>
        </a:p>
      </xdr:txBody>
    </xdr:sp>
    <xdr:clientData/>
  </xdr:twoCellAnchor>
  <xdr:twoCellAnchor editAs="twoCell">
    <xdr:from>
      <xdr:col>2</xdr:col>
      <xdr:colOff>2160</xdr:colOff>
      <xdr:row>5</xdr:row>
      <xdr:rowOff>172080</xdr:rowOff>
    </xdr:from>
    <xdr:to>
      <xdr:col>2</xdr:col>
      <xdr:colOff>638640</xdr:colOff>
      <xdr:row>6</xdr:row>
      <xdr:rowOff>166320</xdr:rowOff>
    </xdr:to>
    <xdr:sp>
      <xdr:nvSpPr>
        <xdr:cNvPr id="47" name="CustomShape 1"/>
        <xdr:cNvSpPr/>
      </xdr:nvSpPr>
      <xdr:spPr>
        <a:xfrm>
          <a:off x="2234520" y="1086480"/>
          <a:ext cx="636480" cy="17712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0" lang="de-DE" sz="1400" spc="-1" strike="noStrike">
              <a:solidFill>
                <a:srgbClr val="000000"/>
              </a:solidFill>
              <a:latin typeface="Arial Black"/>
            </a:rPr>
            <a:t>6.6kΩ</a:t>
          </a:r>
          <a:endParaRPr b="0" lang="de-DE" sz="1400" spc="-1" strike="noStrike">
            <a:latin typeface="Times New Roman"/>
          </a:endParaRPr>
        </a:p>
      </xdr:txBody>
    </xdr:sp>
    <xdr:clientData/>
  </xdr:twoCellAnchor>
  <xdr:twoCellAnchor editAs="twoCell">
    <xdr:from>
      <xdr:col>2</xdr:col>
      <xdr:colOff>2155320</xdr:colOff>
      <xdr:row>26</xdr:row>
      <xdr:rowOff>141480</xdr:rowOff>
    </xdr:from>
    <xdr:to>
      <xdr:col>3</xdr:col>
      <xdr:colOff>641880</xdr:colOff>
      <xdr:row>27</xdr:row>
      <xdr:rowOff>157320</xdr:rowOff>
    </xdr:to>
    <xdr:sp>
      <xdr:nvSpPr>
        <xdr:cNvPr id="48" name="CustomShape 1"/>
        <xdr:cNvSpPr/>
      </xdr:nvSpPr>
      <xdr:spPr>
        <a:xfrm>
          <a:off x="4387680" y="4896360"/>
          <a:ext cx="1786320" cy="198720"/>
        </a:xfrm>
        <a:prstGeom prst="rect">
          <a:avLst/>
        </a:prstGeom>
        <a:noFill/>
        <a:ln w="9360">
          <a:noFill/>
        </a:ln>
      </xdr:spPr>
      <xdr:style>
        <a:lnRef idx="0"/>
        <a:fillRef idx="0"/>
        <a:effectRef idx="0"/>
        <a:fontRef idx="minor"/>
      </xdr:style>
      <xdr:txBody>
        <a:bodyPr lIns="27360" rIns="0" tIns="23040" bIns="0" anchor="ctr">
          <a:noAutofit/>
        </a:bodyPr>
        <a:p>
          <a:pPr algn="ctr">
            <a:lnSpc>
              <a:spcPct val="100000"/>
            </a:lnSpc>
          </a:pPr>
          <a:r>
            <a:rPr b="1" lang="de-DE" sz="1400" spc="-1" strike="noStrike">
              <a:solidFill>
                <a:srgbClr val="000000"/>
              </a:solidFill>
              <a:latin typeface="Arial"/>
            </a:rPr>
            <a:t>0.0082µF</a:t>
          </a:r>
          <a:endParaRPr b="0" lang="de-DE" sz="1400" spc="-1" strike="noStrike">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Terry/terry/LM5119/LM(2)5119QuickStart.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a0414117/AppData/Local/Microsoft/Windows/Temporary%20Internet%20Files/Content.Outlook/L1KTAZ5G/LM27403%20PWM%20Regulator%20Design%20Tool%20-%20unlocked.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M(2)5119 Calculator"/>
      <sheetName val="Power Dissipation"/>
      <sheetName val="Bode Plots"/>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sign Regulator"/>
      <sheetName val="BOM &amp; Schematic"/>
      <sheetName val="EVMs"/>
      <sheetName val="Variable Management"/>
      <sheetName val="Standard Value Calculator"/>
      <sheetName val="Bode Plots Calculations"/>
      <sheetName val="Power Calculations"/>
      <sheetName val="Snubber"/>
      <sheetName val="Parralell Output Caps"/>
    </sheetNames>
    <sheetDataSet>
      <sheetData sheetId="0"/>
      <sheetData sheetId="1"/>
      <sheetData sheetId="2"/>
      <sheetData sheetId="3"/>
      <sheetData sheetId="4"/>
      <sheetData sheetId="5"/>
      <sheetData sheetId="6"/>
      <sheetData sheetId="7"/>
      <sheetData sheetId="8"/>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C1:Z32"/>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E44" activeCellId="0" sqref="E44"/>
    </sheetView>
  </sheetViews>
  <sheetFormatPr defaultRowHeight="14.4" zeroHeight="false" outlineLevelRow="0" outlineLevelCol="0"/>
  <cols>
    <col collapsed="false" customWidth="true" hidden="false" outlineLevel="0" max="3" min="1" style="1" width="9.11"/>
    <col collapsed="false" customWidth="true" hidden="false" outlineLevel="0" max="4" min="4" style="1" width="10.66"/>
    <col collapsed="false" customWidth="true" hidden="false" outlineLevel="0" max="5" min="5" style="1" width="12.66"/>
    <col collapsed="false" customWidth="true" hidden="false" outlineLevel="0" max="6" min="6" style="1" width="11.89"/>
    <col collapsed="false" customWidth="true" hidden="false" outlineLevel="0" max="7" min="7" style="1" width="11"/>
    <col collapsed="false" customWidth="true" hidden="false" outlineLevel="0" max="8" min="8" style="1" width="10.88"/>
    <col collapsed="false" customWidth="true" hidden="false" outlineLevel="0" max="9" min="9" style="1" width="10.44"/>
    <col collapsed="false" customWidth="true" hidden="false" outlineLevel="0" max="11" min="10" style="1" width="9.11"/>
    <col collapsed="false" customWidth="true" hidden="false" outlineLevel="0" max="12" min="12" style="1" width="10.44"/>
    <col collapsed="false" customWidth="true" hidden="false" outlineLevel="0" max="16" min="13" style="1" width="9.11"/>
    <col collapsed="false" customWidth="true" hidden="false" outlineLevel="0" max="17" min="17" style="1" width="14.89"/>
    <col collapsed="false" customWidth="true" hidden="false" outlineLevel="0" max="18" min="18" style="1" width="10.55"/>
    <col collapsed="false" customWidth="true" hidden="false" outlineLevel="0" max="19" min="19" style="1" width="9.55"/>
    <col collapsed="false" customWidth="true" hidden="false" outlineLevel="0" max="20" min="20" style="1" width="13.33"/>
    <col collapsed="false" customWidth="true" hidden="false" outlineLevel="0" max="22" min="21" style="1" width="9.11"/>
    <col collapsed="false" customWidth="true" hidden="false" outlineLevel="0" max="23" min="23" style="1" width="13.66"/>
    <col collapsed="false" customWidth="true" hidden="false" outlineLevel="0" max="24" min="24" style="1" width="9.11"/>
    <col collapsed="false" customWidth="true" hidden="false" outlineLevel="0" max="25" min="25" style="1" width="13.55"/>
    <col collapsed="false" customWidth="true" hidden="false" outlineLevel="0" max="259" min="26" style="1" width="9.11"/>
    <col collapsed="false" customWidth="true" hidden="false" outlineLevel="0" max="260" min="260" style="1" width="10.66"/>
    <col collapsed="false" customWidth="true" hidden="false" outlineLevel="0" max="261" min="261" style="1" width="12.66"/>
    <col collapsed="false" customWidth="true" hidden="false" outlineLevel="0" max="262" min="262" style="1" width="11.89"/>
    <col collapsed="false" customWidth="true" hidden="false" outlineLevel="0" max="263" min="263" style="1" width="11"/>
    <col collapsed="false" customWidth="true" hidden="false" outlineLevel="0" max="264" min="264" style="1" width="10.88"/>
    <col collapsed="false" customWidth="true" hidden="false" outlineLevel="0" max="265" min="265" style="1" width="10.44"/>
    <col collapsed="false" customWidth="true" hidden="false" outlineLevel="0" max="267" min="266" style="1" width="9.11"/>
    <col collapsed="false" customWidth="true" hidden="false" outlineLevel="0" max="268" min="268" style="1" width="10.44"/>
    <col collapsed="false" customWidth="true" hidden="false" outlineLevel="0" max="272" min="269" style="1" width="9.11"/>
    <col collapsed="false" customWidth="true" hidden="false" outlineLevel="0" max="273" min="273" style="1" width="14.89"/>
    <col collapsed="false" customWidth="true" hidden="false" outlineLevel="0" max="275" min="274" style="1" width="9.55"/>
    <col collapsed="false" customWidth="true" hidden="false" outlineLevel="0" max="278" min="276" style="1" width="9.11"/>
    <col collapsed="false" customWidth="true" hidden="false" outlineLevel="0" max="279" min="279" style="1" width="13.66"/>
    <col collapsed="false" customWidth="true" hidden="false" outlineLevel="0" max="280" min="280" style="1" width="9.11"/>
    <col collapsed="false" customWidth="true" hidden="false" outlineLevel="0" max="281" min="281" style="1" width="13.55"/>
    <col collapsed="false" customWidth="true" hidden="false" outlineLevel="0" max="515" min="282" style="1" width="9.11"/>
    <col collapsed="false" customWidth="true" hidden="false" outlineLevel="0" max="516" min="516" style="1" width="10.66"/>
    <col collapsed="false" customWidth="true" hidden="false" outlineLevel="0" max="517" min="517" style="1" width="12.66"/>
    <col collapsed="false" customWidth="true" hidden="false" outlineLevel="0" max="518" min="518" style="1" width="11.89"/>
    <col collapsed="false" customWidth="true" hidden="false" outlineLevel="0" max="519" min="519" style="1" width="11"/>
    <col collapsed="false" customWidth="true" hidden="false" outlineLevel="0" max="520" min="520" style="1" width="10.88"/>
    <col collapsed="false" customWidth="true" hidden="false" outlineLevel="0" max="521" min="521" style="1" width="10.44"/>
    <col collapsed="false" customWidth="true" hidden="false" outlineLevel="0" max="523" min="522" style="1" width="9.11"/>
    <col collapsed="false" customWidth="true" hidden="false" outlineLevel="0" max="524" min="524" style="1" width="10.44"/>
    <col collapsed="false" customWidth="true" hidden="false" outlineLevel="0" max="528" min="525" style="1" width="9.11"/>
    <col collapsed="false" customWidth="true" hidden="false" outlineLevel="0" max="529" min="529" style="1" width="14.89"/>
    <col collapsed="false" customWidth="true" hidden="false" outlineLevel="0" max="531" min="530" style="1" width="9.55"/>
    <col collapsed="false" customWidth="true" hidden="false" outlineLevel="0" max="534" min="532" style="1" width="9.11"/>
    <col collapsed="false" customWidth="true" hidden="false" outlineLevel="0" max="535" min="535" style="1" width="13.66"/>
    <col collapsed="false" customWidth="true" hidden="false" outlineLevel="0" max="536" min="536" style="1" width="9.11"/>
    <col collapsed="false" customWidth="true" hidden="false" outlineLevel="0" max="537" min="537" style="1" width="13.55"/>
    <col collapsed="false" customWidth="true" hidden="false" outlineLevel="0" max="771" min="538" style="1" width="9.11"/>
    <col collapsed="false" customWidth="true" hidden="false" outlineLevel="0" max="772" min="772" style="1" width="10.66"/>
    <col collapsed="false" customWidth="true" hidden="false" outlineLevel="0" max="773" min="773" style="1" width="12.66"/>
    <col collapsed="false" customWidth="true" hidden="false" outlineLevel="0" max="774" min="774" style="1" width="11.89"/>
    <col collapsed="false" customWidth="true" hidden="false" outlineLevel="0" max="775" min="775" style="1" width="11"/>
    <col collapsed="false" customWidth="true" hidden="false" outlineLevel="0" max="776" min="776" style="1" width="10.88"/>
    <col collapsed="false" customWidth="true" hidden="false" outlineLevel="0" max="777" min="777" style="1" width="10.44"/>
    <col collapsed="false" customWidth="true" hidden="false" outlineLevel="0" max="779" min="778" style="1" width="9.11"/>
    <col collapsed="false" customWidth="true" hidden="false" outlineLevel="0" max="780" min="780" style="1" width="10.44"/>
    <col collapsed="false" customWidth="true" hidden="false" outlineLevel="0" max="784" min="781" style="1" width="9.11"/>
    <col collapsed="false" customWidth="true" hidden="false" outlineLevel="0" max="785" min="785" style="1" width="14.89"/>
    <col collapsed="false" customWidth="true" hidden="false" outlineLevel="0" max="787" min="786" style="1" width="9.55"/>
    <col collapsed="false" customWidth="true" hidden="false" outlineLevel="0" max="790" min="788" style="1" width="9.11"/>
    <col collapsed="false" customWidth="true" hidden="false" outlineLevel="0" max="791" min="791" style="1" width="13.66"/>
    <col collapsed="false" customWidth="true" hidden="false" outlineLevel="0" max="792" min="792" style="1" width="9.11"/>
    <col collapsed="false" customWidth="true" hidden="false" outlineLevel="0" max="793" min="793" style="1" width="13.55"/>
    <col collapsed="false" customWidth="true" hidden="false" outlineLevel="0" max="1025" min="794" style="1" width="9.11"/>
  </cols>
  <sheetData>
    <row r="1" customFormat="false" ht="53.4" hidden="false" customHeight="false" outlineLevel="0" collapsed="false">
      <c r="C1" s="2" t="s">
        <v>0</v>
      </c>
      <c r="D1" s="2" t="s">
        <v>1</v>
      </c>
      <c r="E1" s="2" t="s">
        <v>2</v>
      </c>
      <c r="F1" s="2" t="s">
        <v>3</v>
      </c>
      <c r="G1" s="2"/>
      <c r="H1" s="2"/>
      <c r="I1" s="2" t="s">
        <v>4</v>
      </c>
      <c r="J1" s="2"/>
      <c r="K1" s="2"/>
      <c r="L1" s="2" t="s">
        <v>5</v>
      </c>
      <c r="M1" s="2" t="s">
        <v>6</v>
      </c>
      <c r="N1" s="2" t="s">
        <v>7</v>
      </c>
      <c r="Q1" s="3" t="s">
        <v>8</v>
      </c>
      <c r="T1" s="1" t="s">
        <v>9</v>
      </c>
    </row>
    <row r="2" customFormat="false" ht="14.4" hidden="false" customHeight="false" outlineLevel="0" collapsed="false">
      <c r="C2" s="4" t="n">
        <v>0.1</v>
      </c>
      <c r="D2" s="5" t="n">
        <f aca="false">2*PI()*C2</f>
        <v>0.628318530717959</v>
      </c>
      <c r="E2" s="6" t="n">
        <f aca="false">20*LOG((((1+(2*3.14*C2*Calculator!C49*Calculator!C50*0.000001))/((1+2*3.14*C2*X7*Calculator!C50*0.000001)*((1+(2*3.14*C2)/(3.14*Calculator!C27*X14))))))*X12)</f>
        <v>10.630842726421</v>
      </c>
      <c r="F2" s="6" t="n">
        <f aca="false">180/PI()*(ATAN(D2/wz)-ATAN(D2/wp)+IF(D2&lt;wn,(-ATAN((1/0.36*D2/wn)/(1-(D2/wn)^2))),(-ATAN((1/0.36*D2/wn)/(1-(D2/wn)^2)))-PI()))</f>
        <v>-0.0614559259030981</v>
      </c>
      <c r="G2" s="6"/>
      <c r="H2" s="6"/>
      <c r="I2" s="6" t="n">
        <f aca="false">20*LOG(((1+(2*3.14*D2*Calculator!C67*Calculator!C69*0.000000001))/((X10+Calculator!C67)*Calculator!C69*0.000000001*D2*2*3.14))*((1.2/Calculator!C17)*X10*X11))</f>
        <v>77.166451899432</v>
      </c>
      <c r="J2" s="7" t="n">
        <f aca="false">180/3.14*(ATAN(C2/R7))</f>
        <v>0.0683999675390695</v>
      </c>
      <c r="K2" s="7" t="n">
        <f aca="false">180/3.14*(-ATAN(C2/R8))</f>
        <v>-0.428392025070267</v>
      </c>
      <c r="L2" s="7" t="n">
        <f aca="false">J2+K2</f>
        <v>-0.359992057531198</v>
      </c>
      <c r="M2" s="6" t="n">
        <f aca="false">E2+I2</f>
        <v>87.797294625853</v>
      </c>
      <c r="N2" s="6" t="n">
        <f aca="false">F2+L2</f>
        <v>-0.421447983434296</v>
      </c>
      <c r="T2" s="5" t="n">
        <v>1.09617924973864</v>
      </c>
    </row>
    <row r="3" customFormat="false" ht="14.4" hidden="false" customHeight="false" outlineLevel="0" collapsed="false">
      <c r="C3" s="4" t="n">
        <v>0.2</v>
      </c>
      <c r="D3" s="5" t="n">
        <f aca="false">2*PI()*C3</f>
        <v>1.25663706143592</v>
      </c>
      <c r="E3" s="6" t="n">
        <f aca="false">20*LOG((((1+(2*3.14*C3*Calculator!C49*Calculator!C50*0.000001))/((1+2*3.14*C3*X7*Calculator!C50*0.000001)*((1+(2*3.14*C3)/(3.14*Calculator!C27*X14))))))*X12)</f>
        <v>10.6215497324354</v>
      </c>
      <c r="F3" s="6" t="n">
        <f aca="false">180/PI()*(ATAN(D3/wz)-ATAN(D3/wp)+IF(D3&lt;wn,(-ATAN((1/0.36*D3/wn)/(1-(D3/wn)^2))),(-ATAN((1/0.36*D3/wn)/(1-(D3/wn)^2)))-PI()))</f>
        <v>-0.12291168498489</v>
      </c>
      <c r="G3" s="6"/>
      <c r="H3" s="6"/>
      <c r="I3" s="6" t="n">
        <f aca="false">20*LOG(((1+(2*3.14*D3*Calculator!C67*Calculator!C69*0.000000001))/((X10+Calculator!C67)*Calculator!C69*0.000000001*D3*2*3.14))*((1.2/Calculator!C17)*X10*X11))</f>
        <v>71.2102470747239</v>
      </c>
      <c r="J3" s="7" t="n">
        <f aca="false">180/3.14*(ATAN(C3/R7))</f>
        <v>0.136799740313221</v>
      </c>
      <c r="K3" s="7" t="n">
        <f aca="false">180/3.14*(-ATAN(C3/R8))</f>
        <v>-0.856736206974685</v>
      </c>
      <c r="L3" s="7" t="n">
        <f aca="false">J3+K3</f>
        <v>-0.719936466661464</v>
      </c>
      <c r="M3" s="6" t="n">
        <f aca="false">E3+I3</f>
        <v>81.8317968071593</v>
      </c>
      <c r="N3" s="6" t="n">
        <f aca="false">F3+L3</f>
        <v>-0.842848151646354</v>
      </c>
      <c r="Q3" s="8" t="s">
        <v>10</v>
      </c>
      <c r="R3" s="9" t="n">
        <f aca="false">1/(Calculator!C50*Rload*0.000001)</f>
        <v>554.357868801971</v>
      </c>
      <c r="T3" s="5" t="n">
        <v>0.548090054083606</v>
      </c>
    </row>
    <row r="4" customFormat="false" ht="14.4" hidden="false" customHeight="false" outlineLevel="0" collapsed="false">
      <c r="C4" s="4" t="n">
        <v>0.5</v>
      </c>
      <c r="D4" s="5" t="n">
        <f aca="false">2*PI()*C4</f>
        <v>3.14159265358979</v>
      </c>
      <c r="E4" s="6" t="n">
        <f aca="false">20*LOG((((1+(2*3.14*C4*Calculator!C49*Calculator!C50*0.000001))/((1+2*3.14*C4*X7*Calculator!C50*0.000001)*((1+(2*3.14*C4)/(3.14*Calculator!C27*X14))))))*X12)</f>
        <v>10.5937370346944</v>
      </c>
      <c r="F4" s="6" t="n">
        <f aca="false">180/PI()*(ATAN(D4/wz)-ATAN(D4/wp)+IF(D4&lt;wn,(-ATAN((1/0.36*D4/wn)/(1-(D4/wn)^2))),(-ATAN((1/0.36*D4/wn)/(1-(D4/wn)^2)))-PI()))</f>
        <v>-0.307276293143369</v>
      </c>
      <c r="G4" s="6"/>
      <c r="H4" s="6"/>
      <c r="I4" s="6" t="n">
        <f aca="false">20*LOG(((1+(2*3.14*D4*Calculator!C67*Calculator!C69*0.000000001))/((X10+Calculator!C67)*Calculator!C69*0.000000001*D4*2*3.14))*((1.2/Calculator!C17)*X10*X11))</f>
        <v>63.4418163223254</v>
      </c>
      <c r="J4" s="7" t="n">
        <f aca="false">180/3.14*(ATAN(C4/R7))</f>
        <v>0.341995942466868</v>
      </c>
      <c r="K4" s="7" t="n">
        <f aca="false">180/3.14*(-ATAN(C4/R8))</f>
        <v>-2.14100393468093</v>
      </c>
      <c r="L4" s="7" t="n">
        <f aca="false">J4+K4</f>
        <v>-1.79900799221406</v>
      </c>
      <c r="M4" s="6" t="n">
        <f aca="false">E4+I4</f>
        <v>74.0355533570198</v>
      </c>
      <c r="N4" s="6" t="n">
        <f aca="false">F4+L4</f>
        <v>-2.10628428535743</v>
      </c>
      <c r="Q4" s="8" t="s">
        <v>11</v>
      </c>
      <c r="R4" s="10" t="n">
        <f aca="false">1/(Calculator!C50*Calculator!C49*0.000001)</f>
        <v>10265.8864592958</v>
      </c>
      <c r="T4" s="5" t="n">
        <v>0.219237223429673</v>
      </c>
      <c r="V4" s="5"/>
    </row>
    <row r="5" customFormat="false" ht="14.4" hidden="false" customHeight="false" outlineLevel="0" collapsed="false">
      <c r="C5" s="4" t="n">
        <v>1</v>
      </c>
      <c r="D5" s="5" t="n">
        <f aca="false">2*PI()*C5</f>
        <v>6.28318530717959</v>
      </c>
      <c r="E5" s="6" t="n">
        <f aca="false">20*LOG((((1+(2*3.14*C5*Calculator!C49*Calculator!C50*0.000001))/((1+2*3.14*C5*X7*Calculator!C50*0.000001)*((1+(2*3.14*C5)/(3.14*Calculator!C27*X14))))))*X12)</f>
        <v>10.5476019936791</v>
      </c>
      <c r="F5" s="6" t="n">
        <f aca="false">180/PI()*(ATAN(D5/wz)-ATAN(D5/wp)+IF(D5&lt;wn,(-ATAN((1/0.36*D5/wn)/(1-(D5/wn)^2))),(-ATAN((1/0.36*D5/wn)/(1-(D5/wn)^2)))-PI()))</f>
        <v>-0.614531735552259</v>
      </c>
      <c r="G5" s="11"/>
      <c r="H5" s="6"/>
      <c r="I5" s="6" t="n">
        <f aca="false">20*LOG(((1+(2*3.14*C5*Calculator!C67*Calculator!C69*0.000000001))/((X10+Calculator!C67)*Calculator!C69*0.000000001*C5*2*3.14))*((1.2/Calculator!C17)*X10*X11))</f>
        <v>73.1681997939254</v>
      </c>
      <c r="J5" s="7" t="n">
        <f aca="false">(180/3.14)*(ATAN(C5/R7))</f>
        <v>0.683967541814377</v>
      </c>
      <c r="K5" s="7" t="n">
        <f aca="false">(180/3.14)*(-ATAN(C5/R8))</f>
        <v>-4.27605142115969</v>
      </c>
      <c r="L5" s="7" t="n">
        <f aca="false">J5+K5</f>
        <v>-3.59208387934531</v>
      </c>
      <c r="M5" s="6" t="n">
        <f aca="false">E5+I5</f>
        <v>83.7158017876045</v>
      </c>
      <c r="N5" s="6" t="n">
        <f aca="false">F5+L5</f>
        <v>-4.20661561489757</v>
      </c>
      <c r="Q5" s="8" t="s">
        <v>12</v>
      </c>
      <c r="R5" s="12" t="n">
        <f aca="false">PI()*Calculator!C27*0.637</f>
        <v>4402627.94474074</v>
      </c>
      <c r="T5" s="5" t="n">
        <v>0.109620757752634</v>
      </c>
      <c r="W5" s="13" t="s">
        <v>13</v>
      </c>
      <c r="X5" s="13"/>
    </row>
    <row r="6" customFormat="false" ht="14.4" hidden="false" customHeight="false" outlineLevel="0" collapsed="false">
      <c r="C6" s="4" t="n">
        <v>2</v>
      </c>
      <c r="D6" s="5" t="n">
        <f aca="false">2*PI()*C6</f>
        <v>12.5663706143592</v>
      </c>
      <c r="E6" s="6" t="n">
        <f aca="false">20*LOG((((1+(2*3.14*C6*Calculator!C49*Calculator!C50*0.000001))/((1+2*3.14*C6*X7*Calculator!C50*0.000001)*((1+(2*3.14*C6)/(3.14*Calculator!C27*X14))))))*X12)</f>
        <v>10.4561438547601</v>
      </c>
      <c r="F6" s="6" t="n">
        <f aca="false">180/PI()*(ATAN(D6/wz)-ATAN(D6/wp)+IF(D6&lt;wn,(-ATAN((1/0.36*D6/wn)/(1-(D6/wn)^2))),(-ATAN((1/0.36*D6/wn)/(1-(D6/wn)^2)))-PI()))</f>
        <v>-1.22889671343168</v>
      </c>
      <c r="G6" s="14"/>
      <c r="H6" s="6"/>
      <c r="I6" s="6" t="n">
        <f aca="false">20*LOG(((1+(2*3.14*C6*Calculator!C67*Calculator!C69*0.000000001))/((X10+Calculator!C67)*Calculator!C69*0.000000001*C6*2*3.14))*((1.2/Calculator!C17)*X10*X11))</f>
        <v>67.2494187484985</v>
      </c>
      <c r="J6" s="7" t="n">
        <f aca="false">(180/3.14)*(ATAN(C6/R7))</f>
        <v>1.36774040103154</v>
      </c>
      <c r="K6" s="7" t="n">
        <f aca="false">(180/3.14)*(-ATAN(C6/R8))</f>
        <v>-8.50504018795899</v>
      </c>
      <c r="L6" s="7" t="n">
        <f aca="false">J6+K6</f>
        <v>-7.13729978692745</v>
      </c>
      <c r="M6" s="6" t="n">
        <f aca="false">E6+I6</f>
        <v>77.7055626032587</v>
      </c>
      <c r="N6" s="6" t="n">
        <f aca="false">F6+L6</f>
        <v>-8.36619650035913</v>
      </c>
      <c r="Q6" s="1" t="s">
        <v>14</v>
      </c>
      <c r="R6" s="12" t="n">
        <f aca="false">(2*3.14)^2/(3.14*Calculator!C27*1000)^2</f>
        <v>8.26446280991736E-019</v>
      </c>
      <c r="T6" s="5" t="n">
        <v>0.0548146707417827</v>
      </c>
      <c r="Y6" s="15"/>
    </row>
    <row r="7" customFormat="false" ht="14.4" hidden="false" customHeight="false" outlineLevel="0" collapsed="false">
      <c r="C7" s="4" t="n">
        <v>5</v>
      </c>
      <c r="D7" s="5" t="n">
        <f aca="false">2*PI()*C7</f>
        <v>31.4159265358979</v>
      </c>
      <c r="E7" s="6" t="n">
        <f aca="false">20*LOG((((1+(2*3.14*C7*Calculator!C49*Calculator!C50*0.000001))/((1+2*3.14*C7*X7*Calculator!C50*0.000001)*((1+(2*3.14*C7)/(3.14*Calculator!C27*X14))))))*X12)</f>
        <v>10.1880532823656</v>
      </c>
      <c r="F7" s="6" t="n">
        <f aca="false">180/PI()*(ATAN(D7/wz)-ATAN(D7/wp)+IF(D7&lt;wn,(-ATAN((1/0.36*D7/wn)/(1-(D7/wn)^2))),(-ATAN((1/0.36*D7/wn)/(1-(D7/wn)^2)))-PI()))</f>
        <v>-3.06932891081034</v>
      </c>
      <c r="G7" s="6"/>
      <c r="H7" s="6"/>
      <c r="I7" s="6" t="n">
        <f aca="false">20*LOG(((1+(2*3.14*C7*Calculator!C67*Calculator!C69*0.000000001))/((X10+Calculator!C67)*Calculator!C69*0.000000001*C7*2*3.14))*((1.2/Calculator!C17)*X10*X11))</f>
        <v>59.5891039319013</v>
      </c>
      <c r="J7" s="7" t="n">
        <f aca="false">(180/3.14)*(ATAN(C7/R7))</f>
        <v>3.41595102365579</v>
      </c>
      <c r="K7" s="7" t="n">
        <f aca="false">(180/3.14)*(-ATAN(C7/R8))</f>
        <v>-20.4990969846371</v>
      </c>
      <c r="L7" s="7" t="n">
        <f aca="false">J7+K7</f>
        <v>-17.0831459609813</v>
      </c>
      <c r="M7" s="6" t="n">
        <f aca="false">E7+I7</f>
        <v>69.7771572142669</v>
      </c>
      <c r="N7" s="6" t="n">
        <f aca="false">F7+L7</f>
        <v>-20.1524748717916</v>
      </c>
      <c r="Q7" s="8" t="s">
        <v>15</v>
      </c>
      <c r="R7" s="16" t="n">
        <f aca="false">1/((Calculator!C67*Calculator!C69*0.000000001)*6.28)</f>
        <v>83.8082467314784</v>
      </c>
      <c r="T7" s="5" t="n">
        <v>0.0219378817569164</v>
      </c>
      <c r="W7" s="17" t="s">
        <v>16</v>
      </c>
      <c r="X7" s="18" t="n">
        <f aca="false">Calculator!C17/Calculator!C18</f>
        <v>0.555555555555556</v>
      </c>
      <c r="Y7" s="15"/>
    </row>
    <row r="8" customFormat="false" ht="14.4" hidden="false" customHeight="false" outlineLevel="0" collapsed="false">
      <c r="C8" s="4" t="n">
        <v>10</v>
      </c>
      <c r="D8" s="5" t="n">
        <f aca="false">2*PI()*C8</f>
        <v>62.8318530717959</v>
      </c>
      <c r="E8" s="6" t="n">
        <f aca="false">20*LOG((((1+(2*3.14*C8*Calculator!C49*Calculator!C50*0.000001))/((1+2*3.14*C8*X7*Calculator!C50*0.000001)*((1+(2*3.14*C8)/(3.14*Calculator!C27*X14))))))*X12)</f>
        <v>9.76087450369347</v>
      </c>
      <c r="F8" s="6" t="n">
        <f aca="false">180/PI()*(ATAN(D8/wz)-ATAN(D8/wp)+IF(D8&lt;wn,(-ATAN((1/0.36*D8/wn)/(1-(D8/wn)^2))),(-ATAN((1/0.36*D8/wn)/(1-(D8/wn)^2)))-PI()))</f>
        <v>-6.11800410382238</v>
      </c>
      <c r="G8" s="6"/>
      <c r="H8" s="6"/>
      <c r="I8" s="6" t="n">
        <f aca="false">20*LOG(((1+(2*3.14*C8*Calculator!C67*Calculator!C69*0.000000001))/((X10+Calculator!C67)*Calculator!C69*0.000000001*C8*2*3.14))*((1.2/Calculator!C17)*X10*X11))</f>
        <v>54.0442584763089</v>
      </c>
      <c r="J8" s="7" t="n">
        <f aca="false">(180/3.14)*(ATAN(C8/R7))</f>
        <v>6.8078135457784</v>
      </c>
      <c r="K8" s="7" t="n">
        <f aca="false">(180/3.14)*(-ATAN(C8/R8))</f>
        <v>-36.7901484768049</v>
      </c>
      <c r="L8" s="7" t="n">
        <f aca="false">J8+K8</f>
        <v>-29.9823349310265</v>
      </c>
      <c r="M8" s="6" t="n">
        <f aca="false">E8+I8</f>
        <v>63.8051329800023</v>
      </c>
      <c r="N8" s="6" t="n">
        <f aca="false">F8+L8</f>
        <v>-36.1003390348489</v>
      </c>
      <c r="Q8" s="8" t="s">
        <v>17</v>
      </c>
      <c r="R8" s="10" t="n">
        <f aca="false">1/(6.28*(1000000+Calculator!C67)*Calculator!C69*0.000000001)</f>
        <v>13.3811486377991</v>
      </c>
      <c r="T8" s="5" t="n">
        <v>0.0109903666759007</v>
      </c>
      <c r="W8" s="17" t="s">
        <v>18</v>
      </c>
      <c r="X8" s="19" t="n">
        <f aca="false">Calculator!C64</f>
        <v>3.4041394335512</v>
      </c>
      <c r="Y8" s="15"/>
    </row>
    <row r="9" customFormat="false" ht="14.4" hidden="false" customHeight="false" outlineLevel="0" collapsed="false">
      <c r="C9" s="4" t="n">
        <v>20</v>
      </c>
      <c r="D9" s="5" t="n">
        <f aca="false">2*PI()*C9</f>
        <v>125.663706143592</v>
      </c>
      <c r="E9" s="6" t="n">
        <f aca="false">20*LOG((((1+(2*3.14*C9*Calculator!C49*Calculator!C50*0.000001))/((1+2*3.14*C9*X7*Calculator!C50*0.000001)*((1+(2*3.14*C9)/(3.14*Calculator!C27*X14))))))*X12)</f>
        <v>8.9716875074344</v>
      </c>
      <c r="F9" s="6" t="n">
        <f aca="false">180/PI()*(ATAN(D9/wz)-ATAN(D9/wp)+IF(D9&lt;wn,(-ATAN((1/0.36*D9/wn)/(1-(D9/wn)^2))),(-ATAN((1/0.36*D9/wn)/(1-(D9/wn)^2)))-PI()))</f>
        <v>-12.0753782252389</v>
      </c>
      <c r="G9" s="6"/>
      <c r="H9" s="6"/>
      <c r="I9" s="6" t="n">
        <f aca="false">20*LOG(((1+(2*3.14*C9*Calculator!C67*Calculator!C69*0.000000001))/((X10+Calculator!C67)*Calculator!C69*0.000000001*C9*2*3.14))*((1.2/Calculator!C17)*X10*X11))</f>
        <v>48.9034753026637</v>
      </c>
      <c r="J9" s="7" t="n">
        <f aca="false">(180/3.14)*(ATAN(C9/R7))</f>
        <v>13.4288400400083</v>
      </c>
      <c r="K9" s="7" t="n">
        <f aca="false">(180/3.14)*(-ATAN(C9/R8))</f>
        <v>-56.2437174223463</v>
      </c>
      <c r="L9" s="7" t="n">
        <f aca="false">J9+K9</f>
        <v>-42.814877382338</v>
      </c>
      <c r="M9" s="6" t="n">
        <f aca="false">E9+I9</f>
        <v>57.8751628100981</v>
      </c>
      <c r="N9" s="6" t="n">
        <f aca="false">F9+L9</f>
        <v>-54.890255607577</v>
      </c>
      <c r="Q9" s="8" t="s">
        <v>19</v>
      </c>
      <c r="R9" s="10" t="n">
        <f aca="false">1/(6.28*(1000000)*0.00000000047)</f>
        <v>338.799295297466</v>
      </c>
      <c r="T9" s="5" t="n">
        <v>0.00553782761471164</v>
      </c>
      <c r="W9" s="17" t="s">
        <v>20</v>
      </c>
      <c r="X9" s="17" t="n">
        <v>5</v>
      </c>
    </row>
    <row r="10" customFormat="false" ht="14.4" hidden="false" customHeight="false" outlineLevel="0" collapsed="false">
      <c r="C10" s="4" t="n">
        <v>50</v>
      </c>
      <c r="D10" s="5" t="n">
        <f aca="false">2*PI()*C10</f>
        <v>314.159265358979</v>
      </c>
      <c r="E10" s="6" t="n">
        <f aca="false">20*LOG((((1+(2*3.14*C10*Calculator!C49*Calculator!C50*0.000001))/((1+2*3.14*C10*X7*Calculator!C50*0.000001)*((1+(2*3.14*C10)/(3.14*Calculator!C27*X14))))))*X12)</f>
        <v>7.00304742939721</v>
      </c>
      <c r="F10" s="6" t="n">
        <f aca="false">180/PI()*(ATAN(D10/wz)-ATAN(D10/wp)+IF(D10&lt;wn,(-ATAN((1/0.36*D10/wn)/(1-(D10/wn)^2))),(-ATAN((1/0.36*D10/wn)/(1-(D10/wn)^2)))-PI()))</f>
        <v>-27.7991164200377</v>
      </c>
      <c r="G10" s="6"/>
      <c r="H10" s="6"/>
      <c r="I10" s="6" t="n">
        <f aca="false">20*LOG(((1+(2*3.14*C10*Calculator!C67*Calculator!C69*0.000000001))/((X10+Calculator!C67)*Calculator!C69*0.000000001*C10*2*3.14))*((1.2/Calculator!C17)*X10*X11))</f>
        <v>43.1496956122924</v>
      </c>
      <c r="J10" s="7" t="n">
        <f aca="false">(180/3.14)*(ATAN(C10/R7))</f>
        <v>30.8359347058637</v>
      </c>
      <c r="K10" s="7" t="n">
        <f aca="false">(180/3.14)*(-ATAN(C10/R8))</f>
        <v>-75.0554903070297</v>
      </c>
      <c r="L10" s="7" t="n">
        <f aca="false">J10+K10</f>
        <v>-44.219555601166</v>
      </c>
      <c r="M10" s="6" t="n">
        <f aca="false">E10+I10</f>
        <v>50.1527430416896</v>
      </c>
      <c r="N10" s="6" t="n">
        <f aca="false">F10+L10</f>
        <v>-72.0186720212038</v>
      </c>
      <c r="Q10" s="1" t="s">
        <v>21</v>
      </c>
      <c r="T10" s="5" t="n">
        <v>0.00233104123143718</v>
      </c>
      <c r="W10" s="1" t="s">
        <v>22</v>
      </c>
      <c r="X10" s="1" t="n">
        <v>10000000</v>
      </c>
    </row>
    <row r="11" customFormat="false" ht="14.4" hidden="false" customHeight="false" outlineLevel="0" collapsed="false">
      <c r="C11" s="4" t="n">
        <v>100</v>
      </c>
      <c r="D11" s="5" t="n">
        <f aca="false">2*PI()*C11</f>
        <v>628.318530717959</v>
      </c>
      <c r="E11" s="6" t="n">
        <f aca="false">20*LOG((((1+(2*3.14*C11*Calculator!C49*Calculator!C50*0.000001))/((1+2*3.14*C11*X7*Calculator!C50*0.000001)*((1+(2*3.14*C11)/(3.14*Calculator!C27*X14))))))*X12)</f>
        <v>4.57546035188815</v>
      </c>
      <c r="F11" s="6" t="n">
        <f aca="false">180/PI()*(ATAN(D11/wz)-ATAN(D11/wp)+IF(D11&lt;wn,(-ATAN((1/0.36*D11/wn)/(1-(D11/wn)^2))),(-ATAN((1/0.36*D11/wn)/(1-(D11/wn)^2)))-PI()))</f>
        <v>-45.0987507649317</v>
      </c>
      <c r="G11" s="6"/>
      <c r="H11" s="6"/>
      <c r="I11" s="6" t="n">
        <f aca="false">20*LOG(((1+(2*3.14*C11*Calculator!C67*Calculator!C69*0.000000001))/((X10+Calculator!C67)*Calculator!C69*0.000000001*C11*2*3.14))*((1.2/Calculator!C17)*X10*X11))</f>
        <v>39.886737944541</v>
      </c>
      <c r="J11" s="7" t="n">
        <f aca="false">(180/3.14)*(ATAN(C11/R7))</f>
        <v>50.0595948511059</v>
      </c>
      <c r="K11" s="7" t="n">
        <f aca="false">(180/3.14)*(-ATAN(C11/R8))</f>
        <v>-82.4202242445627</v>
      </c>
      <c r="L11" s="7" t="n">
        <f aca="false">J11+K11</f>
        <v>-32.3606293934568</v>
      </c>
      <c r="M11" s="6" t="n">
        <f aca="false">E11+I11</f>
        <v>44.4621982964292</v>
      </c>
      <c r="N11" s="6" t="n">
        <f aca="false">F11+L11</f>
        <v>-77.4593801583885</v>
      </c>
      <c r="S11" s="8"/>
      <c r="T11" s="5" t="n">
        <v>0.00135236983913205</v>
      </c>
      <c r="W11" s="1" t="s">
        <v>23</v>
      </c>
      <c r="X11" s="15" t="n">
        <v>0.0012</v>
      </c>
      <c r="Y11" s="15"/>
    </row>
    <row r="12" customFormat="false" ht="14.4" hidden="false" customHeight="false" outlineLevel="0" collapsed="false">
      <c r="C12" s="4" t="n">
        <v>200</v>
      </c>
      <c r="D12" s="5" t="n">
        <f aca="false">2*PI()*C12</f>
        <v>1256.63706143592</v>
      </c>
      <c r="E12" s="6" t="n">
        <f aca="false">20*LOG((((1+(2*3.14*C12*Calculator!C49*Calculator!C50*0.000001))/((1+2*3.14*C12*X7*Calculator!C50*0.000001)*((1+(2*3.14*C12)/(3.14*Calculator!C27*X14))))))*X12)</f>
        <v>1.36072607698143</v>
      </c>
      <c r="F12" s="6" t="n">
        <f aca="false">180/PI()*(ATAN(D12/wz)-ATAN(D12/wp)+IF(D12&lt;wn,(-ATAN((1/0.36*D12/wn)/(1-(D12/wn)^2))),(-ATAN((1/0.36*D12/wn)/(1-(D12/wn)^2)))-PI()))</f>
        <v>-59.2622409245879</v>
      </c>
      <c r="G12" s="6"/>
      <c r="H12" s="6"/>
      <c r="I12" s="6" t="n">
        <f aca="false">20*LOG(((1+(2*3.14*C12*Calculator!C67*Calculator!C69*0.000000001))/((X10+Calculator!C67)*Calculator!C69*0.000000001*C12*2*3.14))*((1.2/Calculator!C17)*X10*X11))</f>
        <v>37.6393383963516</v>
      </c>
      <c r="J12" s="7" t="n">
        <f aca="false">(180/3.14)*(ATAN(C12/R7))</f>
        <v>67.2984237584863</v>
      </c>
      <c r="K12" s="7" t="n">
        <f aca="false">(180/3.14)*(-ATAN(C12/R8))</f>
        <v>-86.2159957531771</v>
      </c>
      <c r="L12" s="7" t="n">
        <f aca="false">J12+K12</f>
        <v>-18.9175719946908</v>
      </c>
      <c r="M12" s="6" t="n">
        <f aca="false">E12+I12</f>
        <v>39.000064473333</v>
      </c>
      <c r="N12" s="6" t="n">
        <f aca="false">F12+L12</f>
        <v>-78.1798129192787</v>
      </c>
      <c r="T12" s="5" t="n">
        <v>0.000963120781312742</v>
      </c>
      <c r="W12" s="1" t="s">
        <v>23</v>
      </c>
      <c r="X12" s="1" t="n">
        <f aca="false">X7/((Calculator!C33+Calculator!C40)*12)</f>
        <v>3.4041394335512</v>
      </c>
      <c r="Y12" s="15"/>
    </row>
    <row r="13" customFormat="false" ht="14.4" hidden="false" customHeight="false" outlineLevel="0" collapsed="false">
      <c r="C13" s="4" t="n">
        <v>500</v>
      </c>
      <c r="D13" s="5" t="n">
        <f aca="false">2*PI()*C13</f>
        <v>3141.59265358979</v>
      </c>
      <c r="E13" s="6" t="n">
        <f aca="false">20*LOG((((1+(2*3.14*C13*Calculator!C49*Calculator!C50*0.000001))/((1+2*3.14*C13*X7*Calculator!C50*0.000001)*((1+(2*3.14*C13)/(3.14*Calculator!C27*X14))))))*X12)</f>
        <v>-3.52304286973406</v>
      </c>
      <c r="F13" s="6" t="n">
        <f aca="false">180/PI()*(ATAN(D13/wz)-ATAN(D13/wp)+IF(D13&lt;wn,(-ATAN((1/0.36*D13/wn)/(1-(D13/wn)^2))),(-ATAN((1/0.36*D13/wn)/(1-(D13/wn)^2)))-PI()))</f>
        <v>-63.0910192924659</v>
      </c>
      <c r="G13" s="6"/>
      <c r="H13" s="6"/>
      <c r="I13" s="6" t="n">
        <f aca="false">20*LOG(((1+(2*3.14*C13*Calculator!C67*Calculator!C69*0.000000001))/((X10+Calculator!C67)*Calculator!C69*0.000000001*C13*2*3.14))*((1.2/Calculator!C17)*X10*X11))</f>
        <v>35.9454425160361</v>
      </c>
      <c r="J13" s="7" t="n">
        <f aca="false">(180/3.14)*(ATAN(C13/R7))</f>
        <v>80.525558760966</v>
      </c>
      <c r="K13" s="7" t="n">
        <f aca="false">(180/3.14)*(-ATAN(C13/R8))</f>
        <v>-88.5118709815136</v>
      </c>
      <c r="L13" s="7" t="n">
        <f aca="false">J13+K13</f>
        <v>-7.98631222054758</v>
      </c>
      <c r="M13" s="6" t="n">
        <f aca="false">E13+I13</f>
        <v>32.4223996463021</v>
      </c>
      <c r="N13" s="6" t="n">
        <f aca="false">F13+L13</f>
        <v>-71.0773315130134</v>
      </c>
      <c r="T13" s="5" t="n">
        <v>0.000821334647754229</v>
      </c>
      <c r="W13" s="8" t="n">
        <f aca="false">20*LOG((1.2/Calculator!C17)*X10*X11)</f>
        <v>69.1878497551846</v>
      </c>
    </row>
    <row r="14" customFormat="false" ht="14.4" hidden="false" customHeight="false" outlineLevel="0" collapsed="false">
      <c r="C14" s="4" t="n">
        <v>1000</v>
      </c>
      <c r="D14" s="5" t="n">
        <f aca="false">2*PI()*C14</f>
        <v>6283.18530717959</v>
      </c>
      <c r="E14" s="6" t="n">
        <f aca="false">20*LOG((((1+(2*3.14*C14*Calculator!C49*Calculator!C50*0.000001))/((1+2*3.14*C14*X7*Calculator!C50*0.000001)*((1+(2*3.14*C14)/(3.14*Calculator!C27*X14))))))*X12)</f>
        <v>-7.04451981483051</v>
      </c>
      <c r="F14" s="6" t="n">
        <f aca="false">180/PI()*(ATAN(D14/wz)-ATAN(D14/wp)+IF(D14&lt;wn,(-ATAN((1/0.36*D14/wn)/(1-(D14/wn)^2))),(-ATAN((1/0.36*D14/wn)/(1-(D14/wn)^2)))-PI()))</f>
        <v>-53.7165434140497</v>
      </c>
      <c r="G14" s="20"/>
      <c r="H14" s="6"/>
      <c r="I14" s="6" t="n">
        <f aca="false">20*LOG(((1+(2*3.14*C14*Calculator!C67*Calculator!C69*0.000000001))/((X10+Calculator!C67)*Calculator!C69*0.000000001*C14*2*3.14))*((1.2/Calculator!C17)*X10*X11))</f>
        <v>35.2984871191025</v>
      </c>
      <c r="J14" s="7" t="n">
        <f aca="false">(180/3.14)*(ATAN(C14/R7))</f>
        <v>85.2525559114533</v>
      </c>
      <c r="K14" s="7" t="n">
        <f aca="false">(180/3.14)*(-ATAN(C14/R8))</f>
        <v>-89.2786228696308</v>
      </c>
      <c r="L14" s="7" t="n">
        <f aca="false">J14+K14</f>
        <v>-4.02606695817755</v>
      </c>
      <c r="M14" s="6" t="n">
        <f aca="false">E14+I14</f>
        <v>28.253967304272</v>
      </c>
      <c r="N14" s="6" t="n">
        <f aca="false">F14+L14</f>
        <v>-57.7426103722273</v>
      </c>
      <c r="R14" s="12"/>
      <c r="T14" s="5" t="n">
        <v>0.000797589811374456</v>
      </c>
      <c r="W14" s="1" t="s">
        <v>24</v>
      </c>
      <c r="X14" s="1" t="n">
        <f aca="false">1/(3.14*0.5)</f>
        <v>0.636942675159236</v>
      </c>
    </row>
    <row r="15" customFormat="false" ht="14.4" hidden="false" customHeight="false" outlineLevel="0" collapsed="false">
      <c r="C15" s="4" t="n">
        <v>2000</v>
      </c>
      <c r="D15" s="5" t="n">
        <f aca="false">2*PI()*C15</f>
        <v>12566.3706143592</v>
      </c>
      <c r="E15" s="6" t="n">
        <f aca="false">20*LOG((((1+(2*3.14*C15*Calculator!C49*Calculator!C50*0.000001))/((1+2*3.14*C15*X7*Calculator!C50*0.000001)*((1+(2*3.14*C15)/(3.14*Calculator!C27*X14))))))*X12)</f>
        <v>-9.92312449966621</v>
      </c>
      <c r="F15" s="6" t="n">
        <f aca="false">180/PI()*(ATAN(D15/wz)-ATAN(D15/wp)+IF(D15&lt;wn,(-ATAN((1/0.36*D15/wn)/(1-(D15/wn)^2))),(-ATAN((1/0.36*D15/wn)/(1-(D15/wn)^2)))-PI()))</f>
        <v>-37.1748673697343</v>
      </c>
      <c r="G15" s="6"/>
      <c r="H15" s="6"/>
      <c r="I15" s="6" t="n">
        <f aca="false">20*LOG(((1+(2*3.14*C15*Calculator!C67*Calculator!C69*0.000000001))/((X10+Calculator!C67)*Calculator!C69*0.000000001*C15*2*3.14))*((1.2/Calculator!C17)*X11*X10))</f>
        <v>34.9559932294489</v>
      </c>
      <c r="J15" s="7" t="n">
        <f aca="false">(180/3.14)*(ATAN(C15/R7))</f>
        <v>87.6449066491525</v>
      </c>
      <c r="K15" s="6" t="n">
        <f aca="false">(180/3.14)*-ATAN(C15/R8)</f>
        <v>-89.6621189219499</v>
      </c>
      <c r="L15" s="7" t="n">
        <f aca="false">J15+K15</f>
        <v>-2.01721227279741</v>
      </c>
      <c r="M15" s="6" t="n">
        <f aca="false">E15+I15</f>
        <v>25.0328687297827</v>
      </c>
      <c r="N15" s="6" t="n">
        <f aca="false">F15+L15</f>
        <v>-39.1920796425317</v>
      </c>
      <c r="T15" s="5" t="n">
        <v>0.000785968246160349</v>
      </c>
    </row>
    <row r="16" customFormat="false" ht="14.4" hidden="false" customHeight="false" outlineLevel="0" collapsed="false">
      <c r="C16" s="4" t="n">
        <v>5000</v>
      </c>
      <c r="D16" s="5" t="n">
        <f aca="false">2*PI()*C16</f>
        <v>31415.9265358979</v>
      </c>
      <c r="E16" s="6" t="n">
        <f aca="false">20*LOG((((1+(2*3.14*C16*Calculator!C49*Calculator!C50*0.000001))/((1+2*3.14*C16*X7*Calculator!C50*0.000001)*((1+(2*3.14*C16)/(3.14*Calculator!C27*X14))))))*X12)</f>
        <v>-12.4687329045122</v>
      </c>
      <c r="F16" s="6" t="n">
        <f aca="false">180/PI()*(ATAN(D16/wz)-ATAN(D16/wp)+IF(D16&lt;wn,(-ATAN((1/0.36*D16/wn)/(1-(D16/wn)^2))),(-ATAN((1/0.36*D16/wn)/(1-(D16/wn)^2)))-PI()))</f>
        <v>-18.2206823555382</v>
      </c>
      <c r="G16" s="6"/>
      <c r="H16" s="6"/>
      <c r="I16" s="6" t="n">
        <f aca="false">20*LOG(((1+(2*3.14*C16*Calculator!C67*Calculator!C69*0.000000001))/((X10+Calculator!C67)*Calculator!C69*0.000000001*C16*2*3.14))*((1.2/Calculator!C17)*X10*X11))</f>
        <v>34.7438212330847</v>
      </c>
      <c r="J16" s="7" t="n">
        <f aca="false">(180/3.14)*(ATAN(C16/R7))</f>
        <v>89.0848803971833</v>
      </c>
      <c r="K16" s="7" t="n">
        <f aca="false">(180/3.14)*-ATAN(C16/R8)</f>
        <v>-89.892235229993</v>
      </c>
      <c r="L16" s="7" t="n">
        <f aca="false">J16+K16</f>
        <v>-0.807354832809779</v>
      </c>
      <c r="M16" s="6" t="n">
        <f aca="false">E16+I16</f>
        <v>22.2750883285725</v>
      </c>
      <c r="N16" s="6" t="n">
        <f aca="false">F16+L16</f>
        <v>-19.028037188348</v>
      </c>
      <c r="T16" s="5" t="n">
        <v>0.00074608482744478</v>
      </c>
    </row>
    <row r="17" customFormat="false" ht="14.4" hidden="false" customHeight="false" outlineLevel="0" collapsed="false">
      <c r="C17" s="4" t="n">
        <v>10000</v>
      </c>
      <c r="D17" s="5" t="n">
        <f aca="false">2*PI()*C17</f>
        <v>62831.8530717959</v>
      </c>
      <c r="E17" s="6" t="n">
        <f aca="false">20*LOG((((1+(2*3.14*C17*Calculator!C49*Calculator!C50*0.000001))/((1+2*3.14*C17*X7*Calculator!C50*0.000001)*((1+(2*3.14*C17)/(3.14*Calculator!C27*X14))))))*X12)</f>
        <v>-13.5963096683668</v>
      </c>
      <c r="F17" s="6" t="n">
        <f aca="false">180/PI()*(ATAN(D17/wz)-ATAN(D17/wp)+IF(D17&lt;wn,(-ATAN((1/0.36*D17/wn)/(1-(D17/wn)^2))),(-ATAN((1/0.36*D17/wn)/(1-(D17/wn)^2)))-PI()))</f>
        <v>-11.0445173218714</v>
      </c>
      <c r="G17" s="6"/>
      <c r="H17" s="6"/>
      <c r="I17" s="6" t="n">
        <f aca="false">20*LOG(((1+(2*3.14*C17*Calculator!C67*Calculator!C69*0.000000001))/((X10+Calculator!C67)*Calculator!C69*0.000000001*C17*2*3.14))*((1.2/Calculator!C17)*X10*X11))</f>
        <v>34.6719296652635</v>
      </c>
      <c r="J17" s="7" t="n">
        <f aca="false">(180/3.14)*(ATAN(C17/R7))</f>
        <v>89.5652311145478</v>
      </c>
      <c r="K17" s="7" t="n">
        <f aca="false">(180/3.14)*(-ATAN(C17/R8))</f>
        <v>-89.9689421310059</v>
      </c>
      <c r="L17" s="7" t="n">
        <f aca="false">J17+K17</f>
        <v>-0.403711016458189</v>
      </c>
      <c r="M17" s="6" t="n">
        <f aca="false">E17+I17</f>
        <v>21.0756199968967</v>
      </c>
      <c r="N17" s="6" t="n">
        <f aca="false">F17+L17</f>
        <v>-11.4482283383295</v>
      </c>
      <c r="Q17" s="1" t="s">
        <v>25</v>
      </c>
      <c r="R17" s="1" t="n">
        <v>10000</v>
      </c>
      <c r="T17" s="5" t="n">
        <v>0.00064425490637855</v>
      </c>
    </row>
    <row r="18" customFormat="false" ht="14.4" hidden="false" customHeight="false" outlineLevel="0" collapsed="false">
      <c r="C18" s="4" t="n">
        <v>20000</v>
      </c>
      <c r="D18" s="5" t="n">
        <f aca="false">2*PI()*C18</f>
        <v>125663.706143592</v>
      </c>
      <c r="E18" s="6" t="n">
        <f aca="false">20*LOG((((1+(2*3.14*C18*Calculator!C49*Calculator!C50*0.000001))/((1+2*3.14*C18*X7*Calculator!C50*0.000001)*((1+(2*3.14*C18)/(3.14*Calculator!C27*X14))))))*X12)</f>
        <v>-14.3122843921326</v>
      </c>
      <c r="F18" s="6" t="n">
        <f aca="false">180/PI()*(ATAN(D18/wz)-ATAN(D18/wp)+IF(D18&lt;wn,(-ATAN((1/0.36*D18/wn)/(1-(D18/wn)^2))),(-ATAN((1/0.36*D18/wn)/(1-(D18/wn)^2)))-PI()))</f>
        <v>-8.95449555078677</v>
      </c>
      <c r="G18" s="6"/>
      <c r="H18" s="6"/>
      <c r="I18" s="6" t="n">
        <f aca="false">20*LOG(((1+(2*3.14*C18*Calculator!C67*Calculator!C69*0.000000001))/((X10+Calculator!C67)*Calculator!C69*0.000000001*C18*2*3.14))*((1.2/Calculator!C17)*X10*X11))</f>
        <v>34.6357595053991</v>
      </c>
      <c r="J18" s="7" t="n">
        <f aca="false">(180/3.14)*(ATAN(C18/R7))</f>
        <v>89.8054359927893</v>
      </c>
      <c r="K18" s="7" t="n">
        <f aca="false">(180/3.14)*(-ATAN(C18/R8))</f>
        <v>-90.0072957016914</v>
      </c>
      <c r="L18" s="7" t="n">
        <f aca="false">J18+K18</f>
        <v>-0.20185970890212</v>
      </c>
      <c r="M18" s="6" t="n">
        <f aca="false">E18+I18</f>
        <v>20.3234751132665</v>
      </c>
      <c r="N18" s="6" t="n">
        <f aca="false">F18+L18</f>
        <v>-9.15635525968889</v>
      </c>
      <c r="Q18" s="1" t="s">
        <v>26</v>
      </c>
      <c r="R18" s="5" t="n">
        <f aca="false">ATAN(D2/Wzero)-PI()/2-ATAN(D2/whf)</f>
        <v>-1.56782322079321</v>
      </c>
      <c r="S18" s="5"/>
      <c r="T18" s="5" t="n">
        <v>0.000453751450217775</v>
      </c>
    </row>
    <row r="19" customFormat="false" ht="14.4" hidden="false" customHeight="false" outlineLevel="0" collapsed="false">
      <c r="C19" s="4" t="n">
        <v>50000</v>
      </c>
      <c r="D19" s="5" t="n">
        <f aca="false">2*PI()*C19</f>
        <v>314159.265358979</v>
      </c>
      <c r="E19" s="6" t="n">
        <f aca="false">20*LOG((((1+(2*3.14*C19*Calculator!C49*Calculator!C50*0.000001))/((1+2*3.14*C19*X7*Calculator!C50*0.000001)*((1+(2*3.14*C19)/(3.14*Calculator!C27*X14))))))*X12)</f>
        <v>-15.0466049091576</v>
      </c>
      <c r="F19" s="6" t="n">
        <f aca="false">180/PI()*(ATAN(D19/wz)-ATAN(D19/wp)+IF(D19&lt;wn,(-ATAN((1/0.36*D19/wn)/(1-(D19/wn)^2))),(-ATAN((1/0.36*D19/wn)/(1-(D19/wn)^2)))-PI()))</f>
        <v>-13.0379507689464</v>
      </c>
      <c r="G19" s="6"/>
      <c r="H19" s="6"/>
      <c r="I19" s="6" t="n">
        <f aca="false">20*LOG(((1+(2*3.14*C19*Calculator!C67*Calculator!C69*0.000000001))/((X10+Calculator!C67)*Calculator!C69*0.000000001*C19*2*3.14))*((1.2/Calculator!C17)*X10*X11))</f>
        <v>34.6139848897386</v>
      </c>
      <c r="J19" s="7" t="n">
        <f aca="false">(180/3.14)*(ATAN(C19/R7))</f>
        <v>89.9495635087266</v>
      </c>
      <c r="K19" s="7" t="n">
        <f aca="false">(180/3.14)*((-ATAN(C19/R8)))</f>
        <v>-90.030307862782</v>
      </c>
      <c r="L19" s="7" t="n">
        <f aca="false">J19+K19</f>
        <v>-0.0807443540553265</v>
      </c>
      <c r="M19" s="6" t="n">
        <f aca="false">E19+I19</f>
        <v>19.567379980581</v>
      </c>
      <c r="N19" s="6" t="n">
        <f aca="false">F19+L19</f>
        <v>-13.1186951230017</v>
      </c>
      <c r="Q19" s="1" t="s">
        <v>9</v>
      </c>
      <c r="R19" s="5" t="n">
        <v>1.09617924973864</v>
      </c>
      <c r="S19" s="5"/>
      <c r="T19" s="5" t="n">
        <v>0.00021325288855391</v>
      </c>
    </row>
    <row r="20" customFormat="false" ht="14.4" hidden="false" customHeight="false" outlineLevel="0" collapsed="false">
      <c r="C20" s="4" t="n">
        <v>100000</v>
      </c>
      <c r="D20" s="5" t="n">
        <f aca="false">2*PI()*C20</f>
        <v>628318.530717959</v>
      </c>
      <c r="E20" s="6" t="n">
        <f aca="false">20*LOG((((1+(2*3.14*C20*Calculator!C49*Calculator!C50*0.000001))/((1+2*3.14*C20*X7*Calculator!C50*0.000001)*((1+(2*3.14*C20)/(3.14*Calculator!C27*X14))))))*X12)</f>
        <v>-15.7376540156184</v>
      </c>
      <c r="F20" s="6" t="n">
        <f aca="false">180/PI()*(ATAN(D20/wz)-ATAN(D20/wp)+IF(D20&lt;wn,(-ATAN((1/0.36*D20/wn)/(1-(D20/wn)^2))),(-ATAN((1/0.36*D20/wn)/(1-(D20/wn)^2)))-PI()))</f>
        <v>-22.9172568520351</v>
      </c>
      <c r="G20" s="6"/>
      <c r="H20" s="6"/>
      <c r="I20" s="6" t="n">
        <f aca="false">20*LOG(((1+(2*3.14*C20*Calculator!C67*Calculator!C69*0.000000001))/((X10+Calculator!C67)*Calculator!C69*0.000000001*C20*2*3.14))*((1.2/Calculator!C17)*X10*X11))</f>
        <v>34.6067145372274</v>
      </c>
      <c r="J20" s="7" t="n">
        <f aca="false">(180/3.14)*(ATAN(C20/R7))</f>
        <v>89.9976063739758</v>
      </c>
      <c r="K20" s="7" t="n">
        <f aca="false">(180/3.14)*((-ATAN(C20/R8)))</f>
        <v>-90.0379785846105</v>
      </c>
      <c r="L20" s="7" t="n">
        <f aca="false">J20+K20</f>
        <v>-0.0403722106347573</v>
      </c>
      <c r="M20" s="6" t="n">
        <f aca="false">E20+I20</f>
        <v>18.869060521609</v>
      </c>
      <c r="N20" s="6" t="n">
        <f aca="false">F20+L20</f>
        <v>-22.9576290626698</v>
      </c>
      <c r="T20" s="5" t="n">
        <v>0.000109648237739605</v>
      </c>
    </row>
    <row r="21" customFormat="false" ht="14.4" hidden="false" customHeight="false" outlineLevel="0" collapsed="false">
      <c r="C21" s="4" t="n">
        <v>200000</v>
      </c>
      <c r="D21" s="5" t="n">
        <f aca="false">2*PI()*C21</f>
        <v>1256637.06143592</v>
      </c>
      <c r="E21" s="6" t="n">
        <f aca="false">20*LOG((((1+(2*3.14*C21*Calculator!C49*Calculator!C50*0.000001))/((1+2*3.14*C21*X7*Calculator!C50*0.000001)*((1+(2*3.14*C21)/(3.14*Calculator!C27*X14))))))*X12)</f>
        <v>-16.8262399532018</v>
      </c>
      <c r="F21" s="6" t="n">
        <f aca="false">180/PI()*(ATAN(D21/wz)-ATAN(D21/wp)+IF(D21&lt;wn,(-ATAN((1/0.36*D21/wn)/(1-(D21/wn)^2))),(-ATAN((1/0.36*D21/wn)/(1-(D21/wn)^2)))-PI()))</f>
        <v>-41.2429176950247</v>
      </c>
      <c r="G21" s="6"/>
      <c r="H21" s="6"/>
      <c r="I21" s="6" t="n">
        <f aca="false">20*LOG(((1+(2*3.14*C21*Calculator!C67*Calculator!C69*0.000000001))/((X10+Calculator!C67)*Calculator!C69*0.000000001*C21*2*3.14))*((1.2/Calculator!C17)*X10*X11))</f>
        <v>34.6030770776332</v>
      </c>
      <c r="J21" s="7" t="n">
        <f aca="false">(180/3.14)*(ATAN(C21/R7))</f>
        <v>90.0216278361267</v>
      </c>
      <c r="K21" s="7" t="n">
        <f aca="false">(180/3.14)*(-ATAN(C21/R8))</f>
        <v>-90.041813945645</v>
      </c>
      <c r="L21" s="7" t="n">
        <f aca="false">J21+K21</f>
        <v>-0.0201861095182636</v>
      </c>
      <c r="M21" s="6" t="n">
        <f aca="false">E21+I21</f>
        <v>17.7768371244314</v>
      </c>
      <c r="N21" s="6" t="n">
        <f aca="false">F21+L21</f>
        <v>-41.263103804543</v>
      </c>
      <c r="Q21" s="1" t="s">
        <v>27</v>
      </c>
      <c r="R21" s="1" t="n">
        <v>0.688749555810345</v>
      </c>
      <c r="T21" s="5" t="n">
        <v>5.52223520246168E-005</v>
      </c>
    </row>
    <row r="22" customFormat="false" ht="14.4" hidden="false" customHeight="false" outlineLevel="0" collapsed="false">
      <c r="C22" s="4" t="n">
        <v>250000</v>
      </c>
      <c r="D22" s="5" t="n">
        <f aca="false">2*PI()*C22</f>
        <v>1570796.3267949</v>
      </c>
      <c r="E22" s="6" t="n">
        <f aca="false">20*LOG((((1+(2*3.14*C22*Calculator!C49*Calculator!C50*0.000001))/((1+2*3.14*C22*X7*Calculator!C50*0.000001)*((1+(2*3.14*C22)/(3.14*Calculator!C27*X14))))))*X12)</f>
        <v>-17.308867230856</v>
      </c>
      <c r="F22" s="6" t="n">
        <f aca="false">180/PI()*(ATAN(D22/wz)-ATAN(D22/wp)+IF(D22&lt;wn,(-ATAN((1/0.36*D22/wn)/(1-(D22/wn)^2))),(-ATAN((1/0.36*D22/wn)/(1-(D22/wn)^2)))-PI()))</f>
        <v>-48.988212203463</v>
      </c>
      <c r="G22" s="6"/>
      <c r="H22" s="6"/>
      <c r="I22" s="6" t="n">
        <f aca="false">20*LOG(((1+(2*3.14*C22*Calculator!C67*Calculator!C69*0.000000001))/((X10+Calculator!C67)*Calculator!C69*0.000000001*C22*2*3.14))*((1.2/Calculator!C17)*X10*X11))</f>
        <v>34.602349402884</v>
      </c>
      <c r="J22" s="7" t="n">
        <f aca="false">(180/3.14)*(ATAN(C22/R7))</f>
        <v>90.0264321298392</v>
      </c>
      <c r="K22" s="7" t="n">
        <f aca="false">(180/3.14)*((-ATAN(C22/R8)))</f>
        <v>-90.0425810178571</v>
      </c>
      <c r="L22" s="7" t="n">
        <f aca="false">J22+K22</f>
        <v>-0.0161488880179235</v>
      </c>
      <c r="M22" s="6" t="n">
        <f aca="false">E22+I22</f>
        <v>17.2934821720281</v>
      </c>
      <c r="N22" s="6" t="n">
        <f aca="false">F22+L22</f>
        <v>-49.0043610914809</v>
      </c>
      <c r="T22" s="5" t="n">
        <v>4.42165804114249E-005</v>
      </c>
    </row>
    <row r="23" customFormat="false" ht="14.4" hidden="false" customHeight="false" outlineLevel="0" collapsed="false">
      <c r="C23" s="4" t="n">
        <v>500000</v>
      </c>
      <c r="D23" s="5" t="n">
        <f aca="false">2*PI()*C23</f>
        <v>3141592.65358979</v>
      </c>
      <c r="E23" s="6" t="n">
        <f aca="false">20*LOG((((1+(2*3.14*C23*Calculator!C49*Calculator!C50*0.000001))/((1+2*3.14*C23*X7*Calculator!C50*0.000001)*((1+(2*3.14*C23)/(3.14*Calculator!C27*X14))))))*X12)</f>
        <v>-19.3635334694115</v>
      </c>
      <c r="F23" s="6" t="n">
        <f aca="false">180/PI()*(ATAN(D23/wz)-ATAN(D23/wp)+IF(D23&lt;wn,(-ATAN((1/0.36*D23/wn)/(1-(D23/wn)^2))),(-ATAN((1/0.36*D23/wn)/(1-(D23/wn)^2)))-PI()))</f>
        <v>-76.2693935668453</v>
      </c>
      <c r="G23" s="6"/>
      <c r="H23" s="6"/>
      <c r="I23" s="6" t="n">
        <f aca="false">20*LOG(((1+(2*3.14*C23*Calculator!C67*Calculator!C69*0.000000001))/((X10+Calculator!C67)*Calculator!C69*0.000000001*C23*2*3.14))*((1.2/Calculator!C17)*X10*X11))</f>
        <v>34.6008938704737</v>
      </c>
      <c r="J23" s="7" t="n">
        <f aca="false">(180/3.14)*(ATAN(C23/R7))</f>
        <v>90.0360407180066</v>
      </c>
      <c r="K23" s="7" t="n">
        <f aca="false">(180/3.14)*(-ATAN(C23/R8))</f>
        <v>-90.0441151622844</v>
      </c>
      <c r="L23" s="7" t="n">
        <f aca="false">J23+K23</f>
        <v>-0.00807444427780979</v>
      </c>
      <c r="M23" s="6" t="n">
        <f aca="false">E23+I23</f>
        <v>15.2373604010623</v>
      </c>
      <c r="N23" s="6" t="n">
        <f aca="false">F23+L23</f>
        <v>-76.2774680111231</v>
      </c>
      <c r="Q23" s="1" t="s">
        <v>9</v>
      </c>
      <c r="R23" s="5" t="n">
        <v>2.21341686863332E-005</v>
      </c>
      <c r="S23" s="5"/>
      <c r="T23" s="5" t="n">
        <v>2.21341686863332E-005</v>
      </c>
    </row>
    <row r="24" customFormat="false" ht="14.4" hidden="false" customHeight="false" outlineLevel="0" collapsed="false">
      <c r="C24" s="4" t="n">
        <v>1000000</v>
      </c>
      <c r="D24" s="5" t="n">
        <f aca="false">2*PI()*C24</f>
        <v>6283185.30717959</v>
      </c>
      <c r="E24" s="6" t="n">
        <f aca="false">20*LOG((((1+(2*3.14*C24*Calculator!C49*Calculator!C50*0.000001))/((1+2*3.14*C24*X7*Calculator!C50*0.000001)*((1+(2*3.14*C24)/(3.14*Calculator!C27*X14))))))*X12)</f>
        <v>-22.4009290283062</v>
      </c>
      <c r="F24" s="6" t="n">
        <f aca="false">180/PI()*(ATAN(D24/wz)-ATAN(D24/wp)+IF(D24&lt;wn,(-ATAN((1/0.36*D24/wn)/(1-(D24/wn)^2))),(-ATAN((1/0.36*D24/wn)/(1-(D24/wn)^2)))-PI()))</f>
        <v>-104.744316410747</v>
      </c>
      <c r="G24" s="6"/>
      <c r="H24" s="6"/>
      <c r="I24" s="6" t="n">
        <f aca="false">20*LOG(((1+(2*3.14*C24*Calculator!C67*Calculator!C69*0.000000001))/((X10+Calculator!C69)*Calculator!C69*0.000000001*C24*2*3.14))*((1.2/Calculator!C17)*X10*X11))</f>
        <v>34.7636410070354</v>
      </c>
      <c r="J24" s="7" t="n">
        <f aca="false">(180/3.14)*(ATAN(C24/R7))</f>
        <v>90.0408450123264</v>
      </c>
      <c r="K24" s="7" t="n">
        <f aca="false">(180/3.14)*(-ATAN(C24/R8))</f>
        <v>-90.044882234499</v>
      </c>
      <c r="L24" s="7" t="n">
        <f aca="false">J24+K24</f>
        <v>-0.00403722217251357</v>
      </c>
      <c r="M24" s="6" t="n">
        <f aca="false">E24+I24</f>
        <v>12.3627119787292</v>
      </c>
      <c r="N24" s="6" t="n">
        <f aca="false">F24+L24</f>
        <v>-104.74835363292</v>
      </c>
      <c r="Q24" s="1" t="s">
        <v>28</v>
      </c>
      <c r="R24" s="1" t="n">
        <v>0.000121585215237827</v>
      </c>
      <c r="T24" s="5" t="n">
        <v>1.10703262600102E-005</v>
      </c>
    </row>
    <row r="31" customFormat="false" ht="14.4" hidden="false" customHeight="false" outlineLevel="0" collapsed="false">
      <c r="Z31" s="7"/>
    </row>
    <row r="32" customFormat="false" ht="14.4" hidden="false" customHeight="false" outlineLevel="0" collapsed="false">
      <c r="Z32" s="7"/>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K182"/>
  <sheetViews>
    <sheetView showFormulas="false" showGridLines="true" showRowColHeaders="true" showZeros="true" rightToLeft="false" tabSelected="false" showOutlineSymbols="true" defaultGridColor="true" view="normal" topLeftCell="A4" colorId="64" zoomScale="70" zoomScaleNormal="70" zoomScalePageLayoutView="100" workbookViewId="0">
      <selection pane="topLeft" activeCell="B16" activeCellId="0" sqref="B16"/>
    </sheetView>
  </sheetViews>
  <sheetFormatPr defaultRowHeight="14.4" zeroHeight="false" outlineLevelRow="0" outlineLevelCol="0"/>
  <cols>
    <col collapsed="false" customWidth="true" hidden="false" outlineLevel="0" max="1" min="1" style="0" width="12.11"/>
    <col collapsed="false" customWidth="true" hidden="false" outlineLevel="0" max="2" min="2" style="0" width="13.66"/>
    <col collapsed="false" customWidth="true" hidden="false" outlineLevel="0" max="1025" min="3" style="0" width="8.53"/>
  </cols>
  <sheetData>
    <row r="1" customFormat="false" ht="28.2" hidden="false" customHeight="false" outlineLevel="0" collapsed="false">
      <c r="A1" s="21" t="s">
        <v>29</v>
      </c>
      <c r="B1" s="21"/>
      <c r="C1" s="21"/>
      <c r="D1" s="21"/>
      <c r="E1" s="21"/>
      <c r="F1" s="21"/>
      <c r="G1" s="21"/>
      <c r="H1" s="21"/>
      <c r="J1" s="0" t="s">
        <v>30</v>
      </c>
    </row>
    <row r="2" customFormat="false" ht="14.4" hidden="false" customHeight="false" outlineLevel="0" collapsed="false">
      <c r="A2" s="22"/>
      <c r="B2" s="22" t="s">
        <v>31</v>
      </c>
      <c r="C2" s="23"/>
      <c r="D2" s="22"/>
      <c r="E2" s="22"/>
      <c r="F2" s="22"/>
      <c r="G2" s="22"/>
      <c r="H2" s="22"/>
    </row>
    <row r="3" customFormat="false" ht="14.4" hidden="false" customHeight="false" outlineLevel="0" collapsed="false">
      <c r="A3" s="22"/>
      <c r="B3" s="22" t="s">
        <v>32</v>
      </c>
      <c r="C3" s="24"/>
      <c r="D3" s="22"/>
      <c r="E3" s="22"/>
      <c r="F3" s="22"/>
      <c r="G3" s="22"/>
      <c r="H3" s="22"/>
    </row>
    <row r="4" customFormat="false" ht="14.4" hidden="false" customHeight="false" outlineLevel="0" collapsed="false">
      <c r="A4" s="22"/>
      <c r="B4" s="22" t="s">
        <v>33</v>
      </c>
      <c r="C4" s="25"/>
      <c r="D4" s="22"/>
      <c r="E4" s="22"/>
      <c r="F4" s="22"/>
      <c r="G4" s="22"/>
      <c r="H4" s="22"/>
    </row>
    <row r="5" customFormat="false" ht="14.4" hidden="false" customHeight="false" outlineLevel="0" collapsed="false">
      <c r="A5" s="26" t="s">
        <v>34</v>
      </c>
      <c r="B5" s="26" t="s">
        <v>35</v>
      </c>
      <c r="C5" s="26" t="s">
        <v>36</v>
      </c>
      <c r="D5" s="27" t="s">
        <v>37</v>
      </c>
      <c r="E5" s="27"/>
      <c r="F5" s="27"/>
      <c r="G5" s="27"/>
      <c r="H5" s="26" t="s">
        <v>38</v>
      </c>
    </row>
    <row r="6" customFormat="false" ht="16.2" hidden="false" customHeight="false" outlineLevel="0" collapsed="false">
      <c r="A6" s="28" t="s">
        <v>39</v>
      </c>
      <c r="B6" s="29"/>
      <c r="C6" s="29"/>
      <c r="D6" s="27"/>
      <c r="E6" s="27"/>
      <c r="F6" s="27"/>
      <c r="G6" s="27"/>
      <c r="H6" s="29"/>
    </row>
    <row r="7" customFormat="false" ht="14.4" hidden="false" customHeight="false" outlineLevel="0" collapsed="false">
      <c r="A7" s="30" t="s">
        <v>40</v>
      </c>
      <c r="B7" s="31" t="str">
        <f aca="false">Calculator!C15&amp;"V VIN(nom)"</f>
        <v>12V VIN(nom)</v>
      </c>
      <c r="C7" s="32" t="s">
        <v>41</v>
      </c>
      <c r="D7" s="32" t="s">
        <v>42</v>
      </c>
      <c r="E7" s="32"/>
      <c r="F7" s="32"/>
      <c r="G7" s="32"/>
      <c r="H7" s="33" t="n">
        <v>1</v>
      </c>
    </row>
    <row r="8" customFormat="false" ht="14.4" hidden="false" customHeight="false" outlineLevel="0" collapsed="false">
      <c r="A8" s="34" t="s">
        <v>43</v>
      </c>
      <c r="B8" s="35" t="str">
        <f aca="false">Calculator!C17&amp;"V"</f>
        <v>5V</v>
      </c>
      <c r="C8" s="36" t="s">
        <v>41</v>
      </c>
      <c r="D8" s="36" t="s">
        <v>44</v>
      </c>
      <c r="E8" s="36"/>
      <c r="F8" s="36"/>
      <c r="G8" s="36"/>
      <c r="H8" s="37" t="n">
        <v>1</v>
      </c>
    </row>
    <row r="9" customFormat="false" ht="14.4" hidden="false" customHeight="false" outlineLevel="0" collapsed="false">
      <c r="A9" s="34"/>
      <c r="B9" s="31" t="e">
        <f aca="false">calculator!#ref!&amp;"V"</f>
        <v>#NAME?</v>
      </c>
      <c r="C9" s="36" t="s">
        <v>41</v>
      </c>
      <c r="D9" s="36"/>
      <c r="E9" s="36"/>
      <c r="F9" s="36"/>
      <c r="G9" s="36"/>
      <c r="H9" s="37"/>
    </row>
    <row r="10" customFormat="false" ht="14.4" hidden="false" customHeight="false" outlineLevel="0" collapsed="false">
      <c r="A10" s="34" t="s">
        <v>45</v>
      </c>
      <c r="B10" s="31" t="str">
        <f aca="false">Calculator!C18&amp;"A"</f>
        <v>9A</v>
      </c>
      <c r="C10" s="38" t="s">
        <v>46</v>
      </c>
      <c r="D10" s="36"/>
      <c r="E10" s="36"/>
      <c r="F10" s="36"/>
      <c r="G10" s="36"/>
      <c r="H10" s="37"/>
    </row>
    <row r="11" customFormat="false" ht="14.4" hidden="false" customHeight="false" outlineLevel="0" collapsed="false">
      <c r="A11" s="34"/>
      <c r="B11" s="31" t="e">
        <f aca="false">calculator!#ref!&amp;"A"</f>
        <v>#NAME?</v>
      </c>
      <c r="C11" s="36" t="s">
        <v>46</v>
      </c>
      <c r="D11" s="36" t="s">
        <v>47</v>
      </c>
      <c r="E11" s="36"/>
      <c r="F11" s="36"/>
      <c r="G11" s="36"/>
      <c r="H11" s="37" t="n">
        <v>1</v>
      </c>
    </row>
    <row r="12" customFormat="false" ht="14.4" hidden="false" customHeight="false" outlineLevel="0" collapsed="false">
      <c r="A12" s="39" t="s">
        <v>48</v>
      </c>
      <c r="B12" s="31" t="n">
        <f aca="false">Calculator!C27</f>
        <v>2200000</v>
      </c>
      <c r="C12" s="40" t="s">
        <v>49</v>
      </c>
      <c r="D12" s="36" t="s">
        <v>50</v>
      </c>
      <c r="E12" s="36"/>
      <c r="F12" s="36"/>
      <c r="G12" s="36"/>
      <c r="H12" s="37" t="n">
        <v>1</v>
      </c>
    </row>
    <row r="13" customFormat="false" ht="14.4" hidden="false" customHeight="false" outlineLevel="0" collapsed="false">
      <c r="A13" s="39" t="s">
        <v>51</v>
      </c>
      <c r="B13" s="41" t="n">
        <v>1.2</v>
      </c>
      <c r="C13" s="36" t="s">
        <v>41</v>
      </c>
      <c r="D13" s="36" t="s">
        <v>52</v>
      </c>
      <c r="E13" s="36"/>
      <c r="F13" s="36"/>
      <c r="G13" s="36"/>
      <c r="H13" s="37"/>
    </row>
    <row r="14" customFormat="false" ht="14.4" hidden="false" customHeight="false" outlineLevel="0" collapsed="false">
      <c r="A14" s="34" t="s">
        <v>53</v>
      </c>
      <c r="B14" s="42"/>
      <c r="C14" s="43" t="s">
        <v>54</v>
      </c>
      <c r="D14" s="36"/>
      <c r="E14" s="36"/>
      <c r="F14" s="36"/>
      <c r="G14" s="36"/>
      <c r="H14" s="37"/>
    </row>
    <row r="15" customFormat="false" ht="14.4" hidden="false" customHeight="false" outlineLevel="0" collapsed="false">
      <c r="A15" s="34" t="s">
        <v>55</v>
      </c>
      <c r="B15" s="44" t="str">
        <f aca="false">Calculator!C30&amp;"µF"</f>
        <v>0.0082µF</v>
      </c>
      <c r="C15" s="36" t="n">
        <f aca="false">Calculator!C30</f>
        <v>0.0082</v>
      </c>
      <c r="D15" s="36"/>
      <c r="E15" s="36"/>
      <c r="F15" s="36"/>
      <c r="G15" s="36"/>
      <c r="H15" s="37"/>
    </row>
    <row r="16" customFormat="false" ht="15" hidden="false" customHeight="false" outlineLevel="0" collapsed="false">
      <c r="A16" s="45"/>
      <c r="B16" s="46"/>
      <c r="C16" s="47"/>
      <c r="D16" s="47"/>
      <c r="E16" s="47"/>
      <c r="F16" s="47"/>
      <c r="G16" s="47"/>
      <c r="H16" s="48"/>
    </row>
    <row r="17" customFormat="false" ht="14.4" hidden="false" customHeight="false" outlineLevel="0" collapsed="false">
      <c r="A17" s="36"/>
      <c r="B17" s="36"/>
      <c r="C17" s="36"/>
      <c r="D17" s="36"/>
      <c r="E17" s="36"/>
      <c r="F17" s="36"/>
      <c r="G17" s="36"/>
      <c r="H17" s="36"/>
    </row>
    <row r="18" customFormat="false" ht="14.4" hidden="false" customHeight="false" outlineLevel="0" collapsed="false">
      <c r="A18" s="36"/>
      <c r="B18" s="36"/>
      <c r="C18" s="36"/>
      <c r="D18" s="36"/>
      <c r="E18" s="36"/>
      <c r="F18" s="36"/>
      <c r="G18" s="36"/>
      <c r="H18" s="36"/>
    </row>
    <row r="19" customFormat="false" ht="16.2" hidden="false" customHeight="false" outlineLevel="0" collapsed="false">
      <c r="A19" s="28" t="s">
        <v>56</v>
      </c>
      <c r="B19" s="36"/>
      <c r="C19" s="36"/>
      <c r="D19" s="36"/>
      <c r="E19" s="36"/>
      <c r="F19" s="36"/>
      <c r="G19" s="36"/>
      <c r="H19" s="36"/>
    </row>
    <row r="20" customFormat="false" ht="14.4" hidden="false" customHeight="false" outlineLevel="0" collapsed="false">
      <c r="A20" s="49" t="s">
        <v>57</v>
      </c>
      <c r="B20" s="50" t="n">
        <f aca="false">Calculator!C19</f>
        <v>0.166666666666667</v>
      </c>
      <c r="C20" s="32" t="s">
        <v>58</v>
      </c>
      <c r="D20" s="32" t="s">
        <v>59</v>
      </c>
      <c r="E20" s="32"/>
      <c r="F20" s="32"/>
      <c r="G20" s="32"/>
      <c r="H20" s="33" t="n">
        <v>1</v>
      </c>
    </row>
    <row r="21" customFormat="false" ht="14.4" hidden="false" customHeight="false" outlineLevel="0" collapsed="false">
      <c r="A21" s="51" t="s">
        <v>60</v>
      </c>
      <c r="B21" s="50" t="n">
        <f aca="false">Calculator!C20</f>
        <v>0.5</v>
      </c>
      <c r="C21" s="36" t="s">
        <v>58</v>
      </c>
      <c r="D21" s="36" t="s">
        <v>61</v>
      </c>
      <c r="E21" s="36"/>
      <c r="F21" s="36"/>
      <c r="G21" s="36"/>
      <c r="H21" s="37" t="n">
        <v>1</v>
      </c>
    </row>
    <row r="22" customFormat="false" ht="14.4" hidden="false" customHeight="false" outlineLevel="0" collapsed="false">
      <c r="A22" s="51" t="s">
        <v>62</v>
      </c>
      <c r="B22" s="50" t="e">
        <f aca="false">calculator!#ref!</f>
        <v>#NAME?</v>
      </c>
      <c r="C22" s="36"/>
      <c r="D22" s="36"/>
      <c r="E22" s="36"/>
      <c r="F22" s="36"/>
      <c r="G22" s="36"/>
      <c r="H22" s="37"/>
    </row>
    <row r="23" customFormat="false" ht="14.4" hidden="false" customHeight="false" outlineLevel="0" collapsed="false">
      <c r="A23" s="51" t="s">
        <v>63</v>
      </c>
      <c r="B23" s="50" t="e">
        <f aca="false">calculator!#ref!</f>
        <v>#NAME?</v>
      </c>
      <c r="C23" s="36"/>
      <c r="D23" s="36"/>
      <c r="E23" s="36"/>
      <c r="F23" s="36"/>
      <c r="G23" s="36"/>
      <c r="H23" s="37"/>
    </row>
    <row r="24" customFormat="false" ht="14.4" hidden="false" customHeight="false" outlineLevel="0" collapsed="false">
      <c r="A24" s="51" t="s">
        <v>64</v>
      </c>
      <c r="B24" s="52" t="str">
        <f aca="false">Calculator!C32&amp;"µH"</f>
        <v>2,2µH</v>
      </c>
      <c r="C24" s="53" t="n">
        <f aca="false">Calculator!C31</f>
        <v>0.841750841750842</v>
      </c>
      <c r="D24" s="36" t="s">
        <v>65</v>
      </c>
      <c r="E24" s="36"/>
      <c r="F24" s="36"/>
      <c r="G24" s="36"/>
      <c r="H24" s="37" t="n">
        <v>1</v>
      </c>
    </row>
    <row r="25" customFormat="false" ht="14.4" hidden="false" customHeight="false" outlineLevel="0" collapsed="false">
      <c r="A25" s="34"/>
      <c r="B25" s="54" t="e">
        <f aca="false">calculator!#ref!&amp;"µH"</f>
        <v>#NAME?</v>
      </c>
      <c r="C25" s="53" t="e">
        <f aca="false">calculator!#ref!</f>
        <v>#NAME?</v>
      </c>
      <c r="D25" s="40" t="s">
        <v>66</v>
      </c>
      <c r="E25" s="36"/>
      <c r="F25" s="36"/>
      <c r="G25" s="36"/>
      <c r="H25" s="37" t="n">
        <v>2</v>
      </c>
    </row>
    <row r="26" customFormat="false" ht="14.4" hidden="false" customHeight="false" outlineLevel="0" collapsed="false">
      <c r="A26" s="34" t="s">
        <v>67</v>
      </c>
      <c r="B26" s="54" t="str">
        <f aca="false">Calculator!C33*1000&amp;"mΩ"</f>
        <v>4,6mΩ</v>
      </c>
      <c r="C26" s="55" t="str">
        <f aca="false">Calculator!C40*1000&amp;"mΩ"</f>
        <v>9mΩ</v>
      </c>
      <c r="D26" s="40" t="s">
        <v>68</v>
      </c>
      <c r="E26" s="36"/>
      <c r="F26" s="36"/>
      <c r="G26" s="36"/>
      <c r="H26" s="37" t="n">
        <v>1</v>
      </c>
    </row>
    <row r="27" customFormat="false" ht="14.4" hidden="false" customHeight="false" outlineLevel="0" collapsed="false">
      <c r="A27" s="51"/>
      <c r="B27" s="54" t="e">
        <f aca="false">calculator!#ref!*1000&amp;"mΩ"</f>
        <v>#NAME?</v>
      </c>
      <c r="C27" s="56" t="e">
        <f aca="false">calculator!#ref!*1000&amp;"mΩ"</f>
        <v>#NAME?</v>
      </c>
      <c r="D27" s="36" t="s">
        <v>69</v>
      </c>
      <c r="E27" s="36"/>
      <c r="F27" s="36"/>
      <c r="G27" s="36"/>
      <c r="H27" s="37" t="n">
        <v>2</v>
      </c>
    </row>
    <row r="28" customFormat="false" ht="14.4" hidden="false" customHeight="false" outlineLevel="0" collapsed="false">
      <c r="A28" s="51"/>
      <c r="B28" s="57"/>
      <c r="C28" s="36"/>
      <c r="D28" s="36"/>
      <c r="E28" s="36"/>
      <c r="F28" s="36"/>
      <c r="G28" s="36"/>
      <c r="H28" s="37" t="n">
        <v>2</v>
      </c>
    </row>
    <row r="29" customFormat="false" ht="14.4" hidden="false" customHeight="false" outlineLevel="0" collapsed="false">
      <c r="A29" s="34"/>
      <c r="B29" s="58"/>
      <c r="C29" s="36"/>
      <c r="D29" s="36"/>
      <c r="E29" s="36"/>
      <c r="F29" s="36"/>
      <c r="G29" s="36"/>
      <c r="H29" s="37" t="n">
        <v>1</v>
      </c>
    </row>
    <row r="30" customFormat="false" ht="14.4" hidden="false" customHeight="false" outlineLevel="0" collapsed="false">
      <c r="A30" s="59"/>
      <c r="B30" s="57"/>
      <c r="C30" s="36"/>
      <c r="D30" s="40"/>
      <c r="E30" s="36"/>
      <c r="F30" s="36"/>
      <c r="G30" s="36"/>
      <c r="H30" s="37" t="n">
        <v>1</v>
      </c>
    </row>
    <row r="31" customFormat="false" ht="14.4" hidden="false" customHeight="false" outlineLevel="0" collapsed="false">
      <c r="A31" s="59"/>
      <c r="B31" s="57"/>
      <c r="C31" s="38"/>
      <c r="D31" s="36"/>
      <c r="E31" s="36"/>
      <c r="F31" s="36"/>
      <c r="G31" s="36"/>
      <c r="H31" s="37"/>
    </row>
    <row r="32" customFormat="false" ht="15" hidden="false" customHeight="false" outlineLevel="0" collapsed="false">
      <c r="A32" s="60"/>
      <c r="B32" s="61"/>
      <c r="C32" s="47" t="s">
        <v>70</v>
      </c>
      <c r="D32" s="47"/>
      <c r="E32" s="47"/>
      <c r="F32" s="47"/>
      <c r="G32" s="47"/>
      <c r="H32" s="48"/>
    </row>
    <row r="33" customFormat="false" ht="14.4" hidden="false" customHeight="false" outlineLevel="0" collapsed="false">
      <c r="A33" s="29"/>
      <c r="B33" s="62"/>
      <c r="C33" s="36"/>
      <c r="D33" s="36"/>
      <c r="E33" s="36"/>
      <c r="F33" s="36"/>
      <c r="G33" s="36"/>
      <c r="H33" s="36"/>
    </row>
    <row r="34" customFormat="false" ht="16.2" hidden="false" customHeight="false" outlineLevel="0" collapsed="false">
      <c r="A34" s="28" t="s">
        <v>71</v>
      </c>
      <c r="B34" s="62"/>
      <c r="C34" s="36"/>
      <c r="D34" s="36"/>
      <c r="E34" s="36"/>
      <c r="F34" s="36"/>
      <c r="G34" s="36"/>
      <c r="H34" s="36"/>
    </row>
    <row r="35" customFormat="false" ht="14.4" hidden="false" customHeight="false" outlineLevel="0" collapsed="false">
      <c r="A35" s="63" t="s">
        <v>72</v>
      </c>
      <c r="B35" s="64" t="str">
        <f aca="false">"n"</f>
        <v>n</v>
      </c>
      <c r="C35" s="32"/>
      <c r="D35" s="32"/>
      <c r="E35" s="32"/>
      <c r="F35" s="32"/>
      <c r="G35" s="32"/>
      <c r="H35" s="33"/>
    </row>
    <row r="36" customFormat="false" ht="14.4" hidden="false" customHeight="false" outlineLevel="0" collapsed="false">
      <c r="A36" s="59"/>
      <c r="B36" s="65" t="s">
        <v>73</v>
      </c>
      <c r="C36" s="36"/>
      <c r="D36" s="36"/>
      <c r="E36" s="36"/>
      <c r="F36" s="36"/>
      <c r="G36" s="36"/>
      <c r="H36" s="37"/>
    </row>
    <row r="37" customFormat="false" ht="14.4" hidden="false" customHeight="false" outlineLevel="0" collapsed="false">
      <c r="A37" s="59"/>
      <c r="B37" s="65" t="s">
        <v>74</v>
      </c>
      <c r="C37" s="36"/>
      <c r="D37" s="36"/>
      <c r="E37" s="36"/>
      <c r="F37" s="36"/>
      <c r="G37" s="36"/>
      <c r="H37" s="37"/>
    </row>
    <row r="38" customFormat="false" ht="14.4" hidden="false" customHeight="false" outlineLevel="0" collapsed="false">
      <c r="A38" s="34" t="s">
        <v>75</v>
      </c>
      <c r="B38" s="54" t="n">
        <f aca="false">Calculator!C21</f>
        <v>0.075</v>
      </c>
      <c r="C38" s="36" t="s">
        <v>41</v>
      </c>
      <c r="D38" s="36" t="s">
        <v>76</v>
      </c>
      <c r="E38" s="36"/>
      <c r="F38" s="36"/>
      <c r="G38" s="36"/>
      <c r="H38" s="37"/>
    </row>
    <row r="39" customFormat="false" ht="14.4" hidden="false" customHeight="false" outlineLevel="0" collapsed="false">
      <c r="A39" s="39"/>
      <c r="B39" s="66"/>
      <c r="C39" s="36"/>
      <c r="D39" s="36"/>
      <c r="E39" s="36"/>
      <c r="F39" s="36"/>
      <c r="G39" s="36"/>
      <c r="H39" s="37"/>
    </row>
    <row r="41" customFormat="false" ht="16.2" hidden="false" customHeight="false" outlineLevel="0" collapsed="false">
      <c r="A41" s="28" t="s">
        <v>77</v>
      </c>
      <c r="B41" s="36"/>
      <c r="C41" s="36"/>
      <c r="D41" s="36"/>
      <c r="E41" s="36"/>
      <c r="F41" s="36"/>
      <c r="G41" s="36"/>
      <c r="H41" s="36"/>
    </row>
    <row r="42" customFormat="false" ht="14.4" hidden="false" customHeight="false" outlineLevel="0" collapsed="false">
      <c r="A42" s="30" t="s">
        <v>78</v>
      </c>
      <c r="B42" s="67" t="n">
        <f aca="false">Iripple1/SQRT(3)/2</f>
        <v>0</v>
      </c>
      <c r="C42" s="32"/>
      <c r="D42" s="68" t="s">
        <v>79</v>
      </c>
      <c r="E42" s="32"/>
      <c r="F42" s="32"/>
      <c r="G42" s="32"/>
      <c r="H42" s="33"/>
    </row>
    <row r="43" customFormat="false" ht="14.4" hidden="false" customHeight="false" outlineLevel="0" collapsed="false">
      <c r="A43" s="51" t="s">
        <v>80</v>
      </c>
      <c r="B43" s="57" t="e">
        <f aca="false">(Iripple1/(Vripple1*Fsw*8))</f>
        <v>#VALUE!</v>
      </c>
      <c r="C43" s="36" t="s">
        <v>81</v>
      </c>
      <c r="D43" s="36" t="s">
        <v>82</v>
      </c>
      <c r="E43" s="36"/>
      <c r="F43" s="36"/>
      <c r="G43" s="36"/>
      <c r="H43" s="37" t="n">
        <v>1</v>
      </c>
    </row>
    <row r="44" customFormat="false" ht="15.6" hidden="false" customHeight="false" outlineLevel="0" collapsed="false">
      <c r="A44" s="34" t="s">
        <v>83</v>
      </c>
      <c r="B44" s="54" t="str">
        <f aca="false">Calculator!C47&amp;"µF"</f>
        <v>3200µF</v>
      </c>
      <c r="C44" s="69" t="n">
        <f aca="false">(Calculator!C47)</f>
        <v>3200</v>
      </c>
      <c r="D44" s="36" t="n">
        <f aca="false">C44/82</f>
        <v>39.0243902439024</v>
      </c>
      <c r="E44" s="36" t="n">
        <v>82</v>
      </c>
      <c r="F44" s="36"/>
      <c r="G44" s="36"/>
      <c r="H44" s="37" t="n">
        <v>1</v>
      </c>
    </row>
    <row r="45" customFormat="false" ht="14.4" hidden="false" customHeight="false" outlineLevel="0" collapsed="false">
      <c r="A45" s="34"/>
      <c r="B45" s="54" t="e">
        <f aca="false">calculator!#ref!&amp;"µF"</f>
        <v>#NAME?</v>
      </c>
      <c r="C45" s="69" t="e">
        <f aca="false">calculator!#ref!</f>
        <v>#NAME?</v>
      </c>
      <c r="D45" s="36" t="e">
        <f aca="false">C45/82</f>
        <v>#NAME?</v>
      </c>
      <c r="E45" s="36" t="n">
        <v>82</v>
      </c>
      <c r="F45" s="36"/>
      <c r="G45" s="36"/>
      <c r="H45" s="37"/>
    </row>
    <row r="46" customFormat="false" ht="15.6" hidden="false" customHeight="false" outlineLevel="0" collapsed="false">
      <c r="A46" s="34" t="s">
        <v>84</v>
      </c>
      <c r="B46" s="54" t="str">
        <f aca="false">Calculator!C48&amp;"µF"</f>
        <v>47µF</v>
      </c>
      <c r="C46" s="36" t="n">
        <f aca="false">Calculator!C48</f>
        <v>47</v>
      </c>
      <c r="D46" s="36" t="n">
        <f aca="false">C46/47</f>
        <v>1</v>
      </c>
      <c r="E46" s="36" t="n">
        <v>47</v>
      </c>
      <c r="F46" s="36"/>
      <c r="G46" s="36"/>
      <c r="H46" s="37"/>
    </row>
    <row r="47" customFormat="false" ht="15.6" hidden="false" customHeight="false" outlineLevel="0" collapsed="false">
      <c r="A47" s="34" t="s">
        <v>85</v>
      </c>
      <c r="B47" s="54" t="e">
        <f aca="false">calculator!#ref!&amp;"µF"</f>
        <v>#NAME?</v>
      </c>
      <c r="C47" s="36" t="e">
        <f aca="false">calculator!#ref!</f>
        <v>#NAME?</v>
      </c>
      <c r="D47" s="36" t="e">
        <f aca="false">C47/47</f>
        <v>#NAME?</v>
      </c>
      <c r="E47" s="36" t="n">
        <v>47</v>
      </c>
      <c r="F47" s="36"/>
      <c r="G47" s="36"/>
      <c r="H47" s="37"/>
    </row>
    <row r="48" customFormat="false" ht="14.4" hidden="false" customHeight="false" outlineLevel="0" collapsed="false">
      <c r="A48" s="34" t="s">
        <v>86</v>
      </c>
      <c r="B48" s="54" t="n">
        <f aca="false">Calculator!C49</f>
        <v>0.03</v>
      </c>
      <c r="C48" s="43"/>
      <c r="D48" s="36"/>
      <c r="E48" s="36"/>
      <c r="F48" s="36"/>
      <c r="G48" s="36"/>
      <c r="H48" s="37"/>
    </row>
    <row r="49" customFormat="false" ht="14.4" hidden="false" customHeight="false" outlineLevel="0" collapsed="false">
      <c r="A49" s="39"/>
      <c r="B49" s="54" t="e">
        <f aca="false">calculator!#ref!</f>
        <v>#NAME?</v>
      </c>
      <c r="C49" s="43"/>
      <c r="D49" s="40" t="s">
        <v>87</v>
      </c>
      <c r="E49" s="36"/>
      <c r="F49" s="36"/>
      <c r="G49" s="36"/>
      <c r="H49" s="37" t="n">
        <v>1</v>
      </c>
    </row>
    <row r="50" customFormat="false" ht="14.4" hidden="false" customHeight="false" outlineLevel="0" collapsed="false">
      <c r="A50" s="34" t="s">
        <v>88</v>
      </c>
      <c r="B50" s="54" t="n">
        <f aca="false">Calculator!C51</f>
        <v>0.0258264462809917</v>
      </c>
      <c r="C50" s="43"/>
      <c r="D50" s="40" t="s">
        <v>89</v>
      </c>
      <c r="E50" s="36"/>
      <c r="F50" s="36"/>
      <c r="G50" s="36"/>
      <c r="H50" s="37" t="n">
        <v>1</v>
      </c>
    </row>
    <row r="51" customFormat="false" ht="15" hidden="false" customHeight="false" outlineLevel="0" collapsed="false">
      <c r="A51" s="70"/>
      <c r="B51" s="54" t="e">
        <f aca="false">calculator!#ref!</f>
        <v>#NAME?</v>
      </c>
      <c r="C51" s="71"/>
      <c r="D51" s="47"/>
      <c r="E51" s="47"/>
      <c r="F51" s="47"/>
      <c r="G51" s="47"/>
      <c r="H51" s="48"/>
    </row>
    <row r="53" customFormat="false" ht="15" hidden="false" customHeight="false" outlineLevel="0" collapsed="false">
      <c r="A53" s="36"/>
      <c r="B53" s="36"/>
      <c r="C53" s="36"/>
      <c r="D53" s="36"/>
      <c r="E53" s="36"/>
      <c r="F53" s="36"/>
      <c r="G53" s="36"/>
      <c r="H53" s="36"/>
    </row>
    <row r="54" customFormat="false" ht="15.6" hidden="false" customHeight="false" outlineLevel="0" collapsed="false">
      <c r="A54" s="72" t="s">
        <v>90</v>
      </c>
      <c r="B54" s="73"/>
      <c r="C54" s="73"/>
      <c r="D54" s="73"/>
      <c r="E54" s="73"/>
      <c r="F54" s="73"/>
      <c r="G54" s="73"/>
      <c r="H54" s="74"/>
    </row>
    <row r="55" customFormat="false" ht="14.4" hidden="false" customHeight="false" outlineLevel="0" collapsed="false">
      <c r="A55" s="75" t="s">
        <v>91</v>
      </c>
      <c r="B55" s="76" t="n">
        <v>0.3</v>
      </c>
      <c r="C55" s="38" t="s">
        <v>92</v>
      </c>
      <c r="D55" s="36"/>
      <c r="E55" s="36"/>
      <c r="F55" s="36"/>
      <c r="G55" s="36"/>
      <c r="H55" s="77"/>
    </row>
    <row r="56" customFormat="false" ht="14.4" hidden="false" customHeight="false" outlineLevel="0" collapsed="false">
      <c r="A56" s="78" t="s">
        <v>93</v>
      </c>
      <c r="B56" s="79" t="e">
        <f aca="false">IOUT*SQRT(_Don2*Doff2)</f>
        <v>#NAME?</v>
      </c>
      <c r="C56" s="80" t="s">
        <v>46</v>
      </c>
      <c r="D56" s="36"/>
      <c r="E56" s="36"/>
      <c r="F56" s="36"/>
      <c r="G56" s="36"/>
      <c r="H56" s="77"/>
    </row>
    <row r="57" customFormat="false" ht="14.4" hidden="false" customHeight="false" outlineLevel="0" collapsed="false">
      <c r="A57" s="78" t="s">
        <v>94</v>
      </c>
      <c r="B57" s="81" t="e">
        <f aca="false">IOUT*_Don2*(1-_Don2)/(Vinripple1*Fsw)</f>
        <v>#NAME?</v>
      </c>
      <c r="C57" s="80" t="s">
        <v>81</v>
      </c>
      <c r="D57" s="36"/>
      <c r="E57" s="36"/>
      <c r="F57" s="36"/>
      <c r="G57" s="36"/>
      <c r="H57" s="77"/>
      <c r="K57" s="82"/>
    </row>
    <row r="58" customFormat="false" ht="14.4" hidden="false" customHeight="false" outlineLevel="0" collapsed="false">
      <c r="A58" s="78" t="s">
        <v>95</v>
      </c>
      <c r="B58" s="50" t="str">
        <f aca="false">Calculator!C55&amp;"µF"</f>
        <v>22µF</v>
      </c>
      <c r="C58" s="53" t="n">
        <v>2.2</v>
      </c>
      <c r="D58" s="83" t="n">
        <f aca="false">Calculator!C55/2.2</f>
        <v>10</v>
      </c>
      <c r="E58" s="36"/>
      <c r="F58" s="36"/>
      <c r="G58" s="36"/>
      <c r="H58" s="77"/>
    </row>
    <row r="59" customFormat="false" ht="14.4" hidden="false" customHeight="false" outlineLevel="0" collapsed="false">
      <c r="A59" s="84" t="s">
        <v>96</v>
      </c>
      <c r="B59" s="54" t="n">
        <f aca="false">Calculator!C56</f>
        <v>0.0258264462809917</v>
      </c>
      <c r="C59" s="43" t="s">
        <v>92</v>
      </c>
      <c r="D59" s="36"/>
      <c r="E59" s="36"/>
      <c r="F59" s="36"/>
      <c r="G59" s="36"/>
      <c r="H59" s="77"/>
    </row>
    <row r="60" customFormat="false" ht="14.4" hidden="false" customHeight="false" outlineLevel="0" collapsed="false">
      <c r="A60" s="78" t="s">
        <v>97</v>
      </c>
      <c r="B60" s="85" t="n">
        <v>0.001</v>
      </c>
      <c r="C60" s="43" t="s">
        <v>54</v>
      </c>
      <c r="D60" s="40" t="s">
        <v>98</v>
      </c>
      <c r="E60" s="36"/>
      <c r="F60" s="36"/>
      <c r="G60" s="36"/>
      <c r="H60" s="77"/>
    </row>
    <row r="61" customFormat="false" ht="14.4" hidden="false" customHeight="false" outlineLevel="0" collapsed="false">
      <c r="A61" s="78" t="s">
        <v>99</v>
      </c>
      <c r="B61" s="86" t="e">
        <f aca="false">IOUT*_Don2*(1-_Don2)/(Cin*Fsw)+(IOUT +Iripple1/2)*RCinEsr</f>
        <v>#NAME?</v>
      </c>
      <c r="C61" s="80" t="s">
        <v>92</v>
      </c>
      <c r="D61" s="36"/>
      <c r="E61" s="36"/>
      <c r="F61" s="36"/>
      <c r="G61" s="36"/>
      <c r="H61" s="77"/>
    </row>
    <row r="62" customFormat="false" ht="15" hidden="false" customHeight="false" outlineLevel="0" collapsed="false">
      <c r="A62" s="87"/>
      <c r="B62" s="88" t="e">
        <f aca="false">IOUT*_Don1*(1-_Don1)/(Cin*Fsw)</f>
        <v>#VALUE!</v>
      </c>
      <c r="C62" s="89"/>
      <c r="D62" s="90"/>
      <c r="E62" s="90"/>
      <c r="F62" s="90"/>
      <c r="G62" s="90"/>
      <c r="H62" s="91"/>
    </row>
    <row r="63" customFormat="false" ht="14.4" hidden="false" customHeight="false" outlineLevel="0" collapsed="false">
      <c r="A63" s="36"/>
      <c r="B63" s="36"/>
      <c r="C63" s="36"/>
      <c r="D63" s="36"/>
      <c r="E63" s="36"/>
      <c r="F63" s="36"/>
      <c r="G63" s="36"/>
      <c r="H63" s="36"/>
    </row>
    <row r="64" customFormat="false" ht="16.2" hidden="false" customHeight="false" outlineLevel="0" collapsed="false">
      <c r="A64" s="28" t="s">
        <v>100</v>
      </c>
      <c r="B64" s="36"/>
      <c r="C64" s="36"/>
      <c r="D64" s="36"/>
      <c r="E64" s="36"/>
      <c r="F64" s="36"/>
      <c r="G64" s="36"/>
      <c r="H64" s="36"/>
    </row>
    <row r="65" customFormat="false" ht="14.4" hidden="false" customHeight="false" outlineLevel="0" collapsed="false">
      <c r="A65" s="30" t="s">
        <v>101</v>
      </c>
      <c r="B65" s="54" t="n">
        <f aca="false">Calculator!C71*10-3</f>
        <v>34997</v>
      </c>
      <c r="C65" s="32" t="s">
        <v>70</v>
      </c>
      <c r="D65" s="32" t="s">
        <v>102</v>
      </c>
      <c r="E65" s="32"/>
      <c r="F65" s="32"/>
      <c r="G65" s="32"/>
      <c r="H65" s="33"/>
    </row>
    <row r="66" customFormat="false" ht="14.4" hidden="false" customHeight="false" outlineLevel="0" collapsed="false">
      <c r="A66" s="34" t="s">
        <v>103</v>
      </c>
      <c r="B66" s="54" t="e">
        <f aca="false">calculator!#ref!*10-3</f>
        <v>#NAME?</v>
      </c>
      <c r="C66" s="36" t="s">
        <v>70</v>
      </c>
      <c r="D66" s="40" t="s">
        <v>104</v>
      </c>
      <c r="E66" s="36"/>
      <c r="F66" s="36"/>
      <c r="G66" s="36"/>
      <c r="H66" s="37"/>
    </row>
    <row r="67" customFormat="false" ht="14.4" hidden="false" customHeight="false" outlineLevel="0" collapsed="false">
      <c r="A67" s="34" t="s">
        <v>105</v>
      </c>
      <c r="B67" s="44" t="str">
        <f aca="false">Calculator!C73&amp;"µF"</f>
        <v>100µF</v>
      </c>
      <c r="C67" s="36" t="n">
        <f aca="false">Calculator!C73</f>
        <v>100</v>
      </c>
      <c r="D67" s="36"/>
      <c r="E67" s="36"/>
      <c r="F67" s="36"/>
      <c r="G67" s="36"/>
      <c r="H67" s="37"/>
    </row>
    <row r="68" customFormat="false" ht="15" hidden="false" customHeight="false" outlineLevel="0" collapsed="false">
      <c r="A68" s="45" t="s">
        <v>106</v>
      </c>
      <c r="B68" s="44" t="str">
        <f aca="false">Calculator!C86&amp;"µF"</f>
        <v>0.1µF</v>
      </c>
      <c r="C68" s="47" t="e">
        <f aca="false">calculator!#ref!</f>
        <v>#NAME?</v>
      </c>
      <c r="D68" s="47"/>
      <c r="E68" s="47"/>
      <c r="F68" s="47"/>
      <c r="G68" s="47"/>
      <c r="H68" s="48"/>
    </row>
    <row r="70" customFormat="false" ht="16.2" hidden="false" customHeight="false" outlineLevel="0" collapsed="false">
      <c r="A70" s="28" t="s">
        <v>107</v>
      </c>
      <c r="B70" s="36"/>
      <c r="C70" s="36"/>
      <c r="D70" s="36"/>
      <c r="E70" s="36"/>
      <c r="F70" s="36"/>
      <c r="G70" s="36"/>
      <c r="H70" s="36"/>
    </row>
    <row r="71" customFormat="false" ht="14.4" hidden="false" customHeight="false" outlineLevel="0" collapsed="false">
      <c r="A71" s="92"/>
      <c r="B71" s="93"/>
      <c r="C71" s="68"/>
      <c r="D71" s="32"/>
      <c r="E71" s="32"/>
      <c r="F71" s="32"/>
      <c r="G71" s="32"/>
      <c r="H71" s="33"/>
    </row>
    <row r="72" customFormat="false" ht="14.4" hidden="false" customHeight="false" outlineLevel="0" collapsed="false">
      <c r="A72" s="39" t="s">
        <v>108</v>
      </c>
      <c r="B72" s="50" t="str">
        <f aca="false">Calculator!C67/1000&amp;"kΩ"</f>
        <v>190kΩ</v>
      </c>
      <c r="C72" s="50" t="n">
        <f aca="false">Calculator!C67/1000</f>
        <v>190</v>
      </c>
      <c r="D72" s="36"/>
      <c r="E72" s="36"/>
      <c r="F72" s="36"/>
      <c r="G72" s="36"/>
      <c r="H72" s="37"/>
    </row>
    <row r="73" customFormat="false" ht="14.4" hidden="false" customHeight="false" outlineLevel="0" collapsed="false">
      <c r="A73" s="39" t="s">
        <v>109</v>
      </c>
      <c r="B73" s="50" t="e">
        <f aca="false">calculator!#ref!/1000&amp;"kΩ"</f>
        <v>#NAME?</v>
      </c>
      <c r="C73" s="50" t="e">
        <f aca="false">calculator!#ref!/1000</f>
        <v>#NAME?</v>
      </c>
      <c r="D73" s="36"/>
      <c r="E73" s="36"/>
      <c r="F73" s="36"/>
      <c r="G73" s="36"/>
      <c r="H73" s="37"/>
    </row>
    <row r="74" customFormat="false" ht="14.4" hidden="false" customHeight="false" outlineLevel="0" collapsed="false">
      <c r="A74" s="39" t="s">
        <v>110</v>
      </c>
      <c r="B74" s="50" t="str">
        <f aca="false">Calculator!C69*0.001&amp;"µF"</f>
        <v>0.01µF</v>
      </c>
      <c r="C74" s="94" t="n">
        <f aca="false">Calculator!C69</f>
        <v>10</v>
      </c>
      <c r="D74" s="36" t="n">
        <v>78.7</v>
      </c>
      <c r="E74" s="95" t="s">
        <v>111</v>
      </c>
      <c r="F74" s="96" t="n">
        <f aca="false">IF(Ruvlo1&lt;0,"N/A",D74)</f>
        <v>78.7</v>
      </c>
      <c r="G74" s="96" t="str">
        <f aca="false">IF(Ruvlo1&lt;0,"N/A",D74&amp;"kΩ")</f>
        <v>78.7kΩ</v>
      </c>
      <c r="H74" s="37"/>
    </row>
    <row r="75" customFormat="false" ht="14.4" hidden="false" customHeight="false" outlineLevel="0" collapsed="false">
      <c r="A75" s="39" t="s">
        <v>112</v>
      </c>
      <c r="B75" s="50" t="e">
        <f aca="false">calculator!#ref!*0.001&amp;"µF"</f>
        <v>#NAME?</v>
      </c>
      <c r="C75" s="97" t="e">
        <f aca="false">calculator!#ref!</f>
        <v>#NAME?</v>
      </c>
      <c r="D75" s="36" t="n">
        <v>11.3</v>
      </c>
      <c r="E75" s="95" t="s">
        <v>111</v>
      </c>
      <c r="F75" s="96" t="n">
        <f aca="false">IF(F74="N/A","N/A",D75)</f>
        <v>11.3</v>
      </c>
      <c r="G75" s="96" t="str">
        <f aca="false">IF(G74="N/A","N/A",D75&amp;"kΩ")</f>
        <v>11.3kΩ</v>
      </c>
      <c r="H75" s="37"/>
    </row>
    <row r="76" customFormat="false" ht="14.4" hidden="false" customHeight="false" outlineLevel="0" collapsed="false">
      <c r="A76" s="39" t="s">
        <v>113</v>
      </c>
      <c r="B76" s="50" t="str">
        <f aca="false">Calculator!C92&amp;"µF"</f>
        <v>0.1µF</v>
      </c>
      <c r="C76" s="97" t="n">
        <f aca="false">Calculator!C92</f>
        <v>0.1</v>
      </c>
      <c r="D76" s="36"/>
      <c r="E76" s="95"/>
      <c r="F76" s="36"/>
      <c r="G76" s="36"/>
      <c r="H76" s="37"/>
    </row>
    <row r="77" customFormat="false" ht="14.4" hidden="false" customHeight="false" outlineLevel="0" collapsed="false">
      <c r="A77" s="39"/>
      <c r="B77" s="98" t="n">
        <f aca="false">(D74+D75)/D75*Vuvlo_on-Iuvlo1*D74</f>
        <v>252212.389380531</v>
      </c>
      <c r="C77" s="95"/>
      <c r="D77" s="36"/>
      <c r="E77" s="95"/>
      <c r="F77" s="36"/>
      <c r="G77" s="36"/>
      <c r="H77" s="37"/>
    </row>
    <row r="78" customFormat="false" ht="14.4" hidden="false" customHeight="false" outlineLevel="0" collapsed="false">
      <c r="A78" s="39"/>
      <c r="B78" s="98" t="e">
        <f aca="false">(D74+D75)/D75*Vuvlo_off-Iuvlo2*D74</f>
        <v>#NAME?</v>
      </c>
      <c r="C78" s="95"/>
      <c r="D78" s="36"/>
      <c r="E78" s="95"/>
      <c r="F78" s="36"/>
      <c r="G78" s="36"/>
      <c r="H78" s="37"/>
    </row>
    <row r="79" customFormat="false" ht="14.4" hidden="false" customHeight="false" outlineLevel="0" collapsed="false">
      <c r="A79" s="39" t="s">
        <v>114</v>
      </c>
      <c r="B79" s="96" t="n">
        <f aca="false">Calculator!C61</f>
        <v>10000</v>
      </c>
      <c r="C79" s="95" t="n">
        <f aca="false">B79/1000</f>
        <v>10</v>
      </c>
      <c r="D79" s="36"/>
      <c r="E79" s="95"/>
      <c r="F79" s="36"/>
      <c r="G79" s="36"/>
      <c r="H79" s="37"/>
    </row>
    <row r="80" customFormat="false" ht="14.4" hidden="false" customHeight="false" outlineLevel="0" collapsed="false">
      <c r="A80" s="39" t="s">
        <v>115</v>
      </c>
      <c r="B80" s="98" t="n">
        <f aca="false">(Calculator!C62)</f>
        <v>31666.6666666667</v>
      </c>
      <c r="C80" s="99" t="n">
        <f aca="false">D80/1000</f>
        <v>31.67</v>
      </c>
      <c r="D80" s="69" t="n">
        <f aca="false">ROUND(B80,-1)</f>
        <v>31670</v>
      </c>
      <c r="E80" s="36"/>
      <c r="F80" s="36"/>
      <c r="G80" s="36"/>
      <c r="H80" s="37"/>
    </row>
    <row r="81" customFormat="false" ht="14.4" hidden="false" customHeight="false" outlineLevel="0" collapsed="false">
      <c r="A81" s="39" t="s">
        <v>116</v>
      </c>
      <c r="B81" s="100" t="e">
        <f aca="false">calculator!#ref!</f>
        <v>#NAME?</v>
      </c>
      <c r="C81" s="36" t="e">
        <f aca="false">B81/1000</f>
        <v>#NAME?</v>
      </c>
      <c r="D81" s="36"/>
      <c r="E81" s="36"/>
      <c r="F81" s="36"/>
      <c r="G81" s="36"/>
      <c r="H81" s="37"/>
    </row>
    <row r="82" customFormat="false" ht="14.4" hidden="false" customHeight="false" outlineLevel="0" collapsed="false">
      <c r="A82" s="39" t="s">
        <v>117</v>
      </c>
      <c r="B82" s="100" t="e">
        <f aca="false">calculator!#ref!</f>
        <v>#NAME?</v>
      </c>
      <c r="C82" s="99" t="e">
        <f aca="false">D82/1000</f>
        <v>#NAME?</v>
      </c>
      <c r="D82" s="69" t="e">
        <f aca="false">ROUND(B82,-1)</f>
        <v>#NAME?</v>
      </c>
      <c r="E82" s="36"/>
      <c r="F82" s="36"/>
      <c r="G82" s="36"/>
      <c r="H82" s="37"/>
    </row>
    <row r="83" customFormat="false" ht="14.4" hidden="false" customHeight="false" outlineLevel="0" collapsed="false">
      <c r="A83" s="39"/>
      <c r="B83" s="96"/>
      <c r="C83" s="36"/>
      <c r="D83" s="36"/>
      <c r="E83" s="36"/>
      <c r="F83" s="36"/>
      <c r="G83" s="36"/>
      <c r="H83" s="37"/>
    </row>
    <row r="84" customFormat="false" ht="14.4" hidden="false" customHeight="false" outlineLevel="0" collapsed="false">
      <c r="A84" s="101" t="n">
        <f aca="false">(Calculator!C17/Calculator!C15)*Calculator!C18^2*Calculator!C78</f>
        <v>0.675</v>
      </c>
      <c r="B84" s="102" t="n">
        <f aca="false">A84</f>
        <v>0.675</v>
      </c>
      <c r="C84" s="101" t="e">
        <f aca="false">(calculator!#ref!/Calculator!C15)*calculator!#ref!^2*calculator!#ref!</f>
        <v>#NAME?</v>
      </c>
      <c r="D84" s="102" t="e">
        <f aca="false">C84</f>
        <v>#NAME?</v>
      </c>
      <c r="E84" s="36"/>
      <c r="F84" s="36"/>
      <c r="G84" s="36"/>
      <c r="H84" s="37"/>
    </row>
    <row r="85" customFormat="false" ht="14.4" hidden="false" customHeight="false" outlineLevel="0" collapsed="false">
      <c r="A85" s="103" t="n">
        <f aca="false">(1-(Calculator!C17/Calculator!C15))*Calculator!C18^2*Calculator!C78</f>
        <v>0.945</v>
      </c>
      <c r="B85" s="104" t="n">
        <f aca="false">A85</f>
        <v>0.945</v>
      </c>
      <c r="C85" s="103" t="e">
        <f aca="false">(1-(calculator!#ref!/Calculator!C15))*calculator!#ref!^2*calculator!#ref!</f>
        <v>#NAME?</v>
      </c>
      <c r="D85" s="104" t="e">
        <f aca="false">C85</f>
        <v>#NAME?</v>
      </c>
      <c r="E85" s="36"/>
      <c r="F85" s="36"/>
      <c r="G85" s="36"/>
      <c r="H85" s="37"/>
    </row>
    <row r="86" customFormat="false" ht="14.4" hidden="false" customHeight="false" outlineLevel="0" collapsed="false">
      <c r="A86" s="98" t="n">
        <f aca="false">0.5*Calculator!C15*Calculator!C18*Calculator!C27*Calculator!C75*0.000000001</f>
        <v>0.42768</v>
      </c>
      <c r="B86" s="82" t="n">
        <f aca="false">A86</f>
        <v>0.42768</v>
      </c>
      <c r="C86" s="98" t="e">
        <f aca="false">0.5*Calculator!C15*calculator!#ref!*Calculator!C27*calculator!#ref!*0.000000001</f>
        <v>#NAME?</v>
      </c>
      <c r="D86" s="82" t="e">
        <f aca="false">C86</f>
        <v>#NAME?</v>
      </c>
      <c r="E86" s="36"/>
      <c r="F86" s="36"/>
      <c r="G86" s="36"/>
      <c r="H86" s="37"/>
    </row>
    <row r="87" customFormat="false" ht="14.4" hidden="false" customHeight="false" outlineLevel="0" collapsed="false">
      <c r="A87" s="98" t="n">
        <f aca="false">Calculator!C80*Calculator!C79*Calculator!C18*Calculator!C27*0.000000001</f>
        <v>0.615384</v>
      </c>
      <c r="B87" s="82" t="n">
        <f aca="false">A87</f>
        <v>0.615384</v>
      </c>
      <c r="C87" s="98" t="e">
        <f aca="false">calculator!#ref!*calculator!#ref!*calculator!#ref!*Calculator!C27*0.000000001</f>
        <v>#NAME?</v>
      </c>
      <c r="D87" s="82" t="e">
        <f aca="false">C87</f>
        <v>#NAME?</v>
      </c>
      <c r="E87" s="36"/>
      <c r="F87" s="36"/>
      <c r="G87" s="36"/>
      <c r="H87" s="37"/>
    </row>
    <row r="88" customFormat="false" ht="14.4" hidden="false" customHeight="false" outlineLevel="0" collapsed="false">
      <c r="A88" s="105" t="n">
        <f aca="false">A84+A85+A86+A87</f>
        <v>2.663064</v>
      </c>
      <c r="B88" s="102" t="n">
        <f aca="false">A88</f>
        <v>2.663064</v>
      </c>
      <c r="C88" s="43"/>
      <c r="D88" s="36"/>
      <c r="E88" s="36"/>
      <c r="F88" s="36"/>
      <c r="G88" s="36"/>
      <c r="H88" s="37"/>
    </row>
    <row r="89" customFormat="false" ht="14.4" hidden="false" customHeight="false" outlineLevel="0" collapsed="false">
      <c r="A89" s="34"/>
      <c r="B89" s="96"/>
      <c r="C89" s="43"/>
      <c r="D89" s="36"/>
      <c r="E89" s="36"/>
      <c r="F89" s="36"/>
      <c r="G89" s="36"/>
      <c r="H89" s="37"/>
    </row>
    <row r="90" customFormat="false" ht="14.4" hidden="false" customHeight="false" outlineLevel="0" collapsed="false">
      <c r="A90" s="34"/>
      <c r="B90" s="96"/>
      <c r="C90" s="43"/>
      <c r="D90" s="36"/>
      <c r="E90" s="36"/>
      <c r="F90" s="36"/>
      <c r="G90" s="36"/>
      <c r="H90" s="37"/>
    </row>
    <row r="91" customFormat="false" ht="14.4" hidden="false" customHeight="false" outlineLevel="0" collapsed="false">
      <c r="A91" s="34"/>
      <c r="B91" s="96"/>
      <c r="C91" s="36"/>
      <c r="D91" s="36"/>
      <c r="E91" s="36"/>
      <c r="F91" s="36"/>
      <c r="G91" s="36"/>
      <c r="H91" s="37"/>
    </row>
    <row r="92" customFormat="false" ht="14.4" hidden="false" customHeight="false" outlineLevel="0" collapsed="false">
      <c r="A92" s="34"/>
      <c r="B92" s="96"/>
      <c r="C92" s="36"/>
      <c r="D92" s="36"/>
      <c r="E92" s="36"/>
      <c r="F92" s="36"/>
      <c r="G92" s="36"/>
      <c r="H92" s="37"/>
    </row>
    <row r="93" customFormat="false" ht="14.4" hidden="false" customHeight="false" outlineLevel="0" collapsed="false">
      <c r="A93" s="34"/>
      <c r="B93" s="96"/>
      <c r="C93" s="40"/>
      <c r="D93" s="36"/>
      <c r="E93" s="36"/>
      <c r="F93" s="36"/>
      <c r="G93" s="36"/>
      <c r="H93" s="37"/>
    </row>
    <row r="94" customFormat="false" ht="14.4" hidden="false" customHeight="false" outlineLevel="0" collapsed="false">
      <c r="A94" s="34"/>
      <c r="B94" s="96"/>
      <c r="C94" s="36"/>
      <c r="D94" s="36"/>
      <c r="E94" s="36"/>
      <c r="F94" s="36"/>
      <c r="G94" s="36"/>
      <c r="H94" s="37"/>
    </row>
    <row r="95" customFormat="false" ht="15" hidden="false" customHeight="false" outlineLevel="0" collapsed="false">
      <c r="A95" s="45"/>
      <c r="B95" s="106"/>
      <c r="C95" s="47"/>
      <c r="D95" s="47"/>
      <c r="E95" s="47"/>
      <c r="F95" s="47"/>
      <c r="G95" s="47"/>
      <c r="H95" s="48"/>
    </row>
    <row r="96" customFormat="false" ht="14.4" hidden="false" customHeight="false" outlineLevel="0" collapsed="false">
      <c r="B96" s="107"/>
    </row>
    <row r="97" customFormat="false" ht="16.2" hidden="false" customHeight="false" outlineLevel="0" collapsed="false">
      <c r="A97" s="28" t="s">
        <v>118</v>
      </c>
      <c r="B97" s="36"/>
      <c r="C97" s="36"/>
      <c r="D97" s="36"/>
      <c r="E97" s="36"/>
      <c r="F97" s="36"/>
      <c r="G97" s="36"/>
      <c r="H97" s="36"/>
    </row>
    <row r="98" customFormat="false" ht="14.4" hidden="false" customHeight="false" outlineLevel="0" collapsed="false">
      <c r="A98" s="30" t="s">
        <v>119</v>
      </c>
      <c r="B98" s="108" t="n">
        <v>3162</v>
      </c>
      <c r="C98" s="32" t="s">
        <v>120</v>
      </c>
      <c r="D98" s="68" t="s">
        <v>121</v>
      </c>
      <c r="E98" s="32"/>
      <c r="F98" s="32"/>
      <c r="G98" s="32"/>
      <c r="H98" s="33"/>
    </row>
    <row r="99" customFormat="false" ht="14.4" hidden="false" customHeight="false" outlineLevel="0" collapsed="false">
      <c r="A99" s="34" t="s">
        <v>122</v>
      </c>
      <c r="B99" s="41" t="n">
        <v>6000000</v>
      </c>
      <c r="C99" s="36" t="s">
        <v>49</v>
      </c>
      <c r="D99" s="40" t="s">
        <v>123</v>
      </c>
      <c r="E99" s="36"/>
      <c r="F99" s="36"/>
      <c r="G99" s="36"/>
      <c r="H99" s="37"/>
    </row>
    <row r="100" customFormat="false" ht="14.4" hidden="false" customHeight="false" outlineLevel="0" collapsed="false">
      <c r="A100" s="39" t="s">
        <v>124</v>
      </c>
      <c r="B100" s="109" t="n">
        <v>45000</v>
      </c>
      <c r="C100" s="40" t="s">
        <v>49</v>
      </c>
      <c r="D100" s="36"/>
      <c r="E100" s="36"/>
      <c r="F100" s="36"/>
      <c r="G100" s="36"/>
      <c r="H100" s="37"/>
    </row>
    <row r="101" customFormat="false" ht="14.4" hidden="false" customHeight="false" outlineLevel="0" collapsed="false">
      <c r="A101" s="34" t="s">
        <v>125</v>
      </c>
      <c r="B101" s="110" t="e">
        <f aca="false">Fcross/Fo/9</f>
        <v>#VALUE!</v>
      </c>
      <c r="C101" s="36" t="s">
        <v>120</v>
      </c>
      <c r="D101" s="40" t="s">
        <v>126</v>
      </c>
      <c r="E101" s="36"/>
      <c r="F101" s="36"/>
      <c r="G101" s="36"/>
      <c r="H101" s="37" t="n">
        <v>1</v>
      </c>
    </row>
    <row r="102" customFormat="false" ht="14.4" hidden="false" customHeight="false" outlineLevel="0" collapsed="false">
      <c r="A102" s="34" t="s">
        <v>127</v>
      </c>
      <c r="B102" s="76" t="n">
        <v>10000</v>
      </c>
      <c r="C102" s="43" t="s">
        <v>54</v>
      </c>
      <c r="D102" s="36" t="s">
        <v>128</v>
      </c>
      <c r="E102" s="36"/>
      <c r="F102" s="36"/>
      <c r="G102" s="36"/>
      <c r="H102" s="37" t="n">
        <v>1</v>
      </c>
    </row>
    <row r="103" customFormat="false" ht="14.4" hidden="false" customHeight="false" outlineLevel="0" collapsed="false">
      <c r="A103" s="59" t="s">
        <v>129</v>
      </c>
      <c r="B103" s="57" t="n">
        <f aca="false">IF(Vout=Vref,100000000,Vref/((Vout-Vref)/_RFB1))</f>
        <v>0.208333333333333</v>
      </c>
      <c r="C103" s="43" t="s">
        <v>54</v>
      </c>
      <c r="D103" s="40" t="s">
        <v>130</v>
      </c>
      <c r="E103" s="36"/>
      <c r="F103" s="36"/>
      <c r="G103" s="36"/>
      <c r="H103" s="37"/>
    </row>
    <row r="104" customFormat="false" ht="14.4" hidden="false" customHeight="false" outlineLevel="0" collapsed="false">
      <c r="A104" s="34" t="s">
        <v>131</v>
      </c>
      <c r="B104" s="42" t="n">
        <v>10000</v>
      </c>
      <c r="C104" s="43" t="s">
        <v>54</v>
      </c>
      <c r="D104" s="40" t="s">
        <v>132</v>
      </c>
      <c r="E104" s="36"/>
      <c r="F104" s="36"/>
      <c r="G104" s="36"/>
      <c r="H104" s="37"/>
    </row>
    <row r="105" customFormat="false" ht="14.4" hidden="false" customHeight="false" outlineLevel="0" collapsed="false">
      <c r="A105" s="51" t="s">
        <v>133</v>
      </c>
      <c r="B105" s="57" t="e">
        <f aca="false">Vin/9</f>
        <v>#VALUE!</v>
      </c>
      <c r="C105" s="36" t="s">
        <v>92</v>
      </c>
      <c r="D105" s="40" t="s">
        <v>134</v>
      </c>
      <c r="E105" s="36"/>
      <c r="F105" s="36"/>
      <c r="G105" s="36"/>
      <c r="H105" s="37"/>
    </row>
    <row r="106" customFormat="false" ht="14.4" hidden="false" customHeight="false" outlineLevel="0" collapsed="false">
      <c r="A106" s="51" t="s">
        <v>135</v>
      </c>
      <c r="B106" s="111" t="e">
        <f aca="false">Kmidband*_RFB1</f>
        <v>#VALUE!</v>
      </c>
      <c r="C106" s="43" t="s">
        <v>54</v>
      </c>
      <c r="D106" s="40" t="s">
        <v>136</v>
      </c>
      <c r="E106" s="36"/>
      <c r="F106" s="36"/>
      <c r="G106" s="36"/>
      <c r="H106" s="37" t="n">
        <v>1</v>
      </c>
    </row>
    <row r="107" customFormat="false" ht="14.4" hidden="false" customHeight="false" outlineLevel="0" collapsed="false">
      <c r="A107" s="51" t="s">
        <v>137</v>
      </c>
      <c r="B107" s="112" t="e">
        <f aca="false">#VALUE!</f>
        <v>#VALUE!</v>
      </c>
      <c r="C107" s="36" t="s">
        <v>81</v>
      </c>
      <c r="D107" s="36" t="s">
        <v>138</v>
      </c>
      <c r="E107" s="36"/>
      <c r="F107" s="36"/>
      <c r="G107" s="36"/>
      <c r="H107" s="37" t="n">
        <v>1</v>
      </c>
    </row>
    <row r="108" customFormat="false" ht="14.4" hidden="false" customHeight="false" outlineLevel="0" collapsed="false">
      <c r="A108" s="51" t="s">
        <v>139</v>
      </c>
      <c r="B108" s="112" t="e">
        <f aca="false">#VALUE!</f>
        <v>#VALUE!</v>
      </c>
      <c r="C108" s="36" t="s">
        <v>81</v>
      </c>
      <c r="D108" s="36"/>
      <c r="E108" s="36"/>
      <c r="F108" s="36"/>
      <c r="G108" s="36"/>
      <c r="H108" s="37" t="n">
        <v>1</v>
      </c>
    </row>
    <row r="109" customFormat="false" ht="14.4" hidden="false" customHeight="false" outlineLevel="0" collapsed="false">
      <c r="A109" s="51" t="s">
        <v>140</v>
      </c>
      <c r="B109" s="113" t="n">
        <v>0.0285685140132614</v>
      </c>
      <c r="C109" s="43" t="s">
        <v>54</v>
      </c>
      <c r="D109" s="36"/>
      <c r="E109" s="36"/>
      <c r="F109" s="36"/>
      <c r="G109" s="36"/>
      <c r="H109" s="37" t="n">
        <v>1</v>
      </c>
    </row>
    <row r="110" customFormat="false" ht="14.4" hidden="false" customHeight="false" outlineLevel="0" collapsed="false">
      <c r="A110" s="51" t="s">
        <v>141</v>
      </c>
      <c r="B110" s="114" t="n">
        <v>3.85039277678001E-006</v>
      </c>
      <c r="C110" s="36" t="s">
        <v>81</v>
      </c>
      <c r="D110" s="36"/>
      <c r="E110" s="36"/>
      <c r="F110" s="36"/>
      <c r="G110" s="36"/>
      <c r="H110" s="37" t="n">
        <v>1</v>
      </c>
    </row>
    <row r="111" customFormat="false" ht="14.4" hidden="false" customHeight="false" outlineLevel="0" collapsed="false">
      <c r="A111" s="51"/>
      <c r="B111" s="62"/>
      <c r="C111" s="36"/>
      <c r="D111" s="36"/>
      <c r="E111" s="36"/>
      <c r="F111" s="36"/>
      <c r="G111" s="36"/>
      <c r="H111" s="37"/>
    </row>
    <row r="112" customFormat="false" ht="14.4" hidden="false" customHeight="false" outlineLevel="0" collapsed="false">
      <c r="A112" s="59" t="s">
        <v>142</v>
      </c>
      <c r="B112" s="36"/>
      <c r="C112" s="36"/>
      <c r="D112" s="36"/>
      <c r="E112" s="36"/>
      <c r="F112" s="36"/>
      <c r="G112" s="36"/>
      <c r="H112" s="37"/>
    </row>
    <row r="113" customFormat="false" ht="14.4" hidden="false" customHeight="false" outlineLevel="0" collapsed="false">
      <c r="A113" s="34" t="s">
        <v>143</v>
      </c>
      <c r="B113" s="115" t="n">
        <v>4640</v>
      </c>
      <c r="C113" s="43" t="s">
        <v>54</v>
      </c>
      <c r="D113" s="36"/>
      <c r="E113" s="36"/>
      <c r="F113" s="36"/>
      <c r="G113" s="36"/>
      <c r="H113" s="37" t="n">
        <v>2</v>
      </c>
    </row>
    <row r="114" customFormat="false" ht="14.4" hidden="false" customHeight="false" outlineLevel="0" collapsed="false">
      <c r="A114" s="34" t="s">
        <v>144</v>
      </c>
      <c r="B114" s="116" t="n">
        <v>4.7E-009</v>
      </c>
      <c r="C114" s="36" t="s">
        <v>81</v>
      </c>
      <c r="D114" s="36"/>
      <c r="E114" s="36"/>
      <c r="F114" s="36"/>
      <c r="G114" s="36"/>
      <c r="H114" s="37" t="n">
        <v>2</v>
      </c>
    </row>
    <row r="115" customFormat="false" ht="14.4" hidden="false" customHeight="false" outlineLevel="0" collapsed="false">
      <c r="A115" s="34" t="s">
        <v>145</v>
      </c>
      <c r="B115" s="116" t="n">
        <v>2.2E-010</v>
      </c>
      <c r="C115" s="36" t="s">
        <v>81</v>
      </c>
      <c r="D115" s="36"/>
      <c r="E115" s="36"/>
      <c r="F115" s="36"/>
      <c r="G115" s="36"/>
      <c r="H115" s="37" t="n">
        <v>2</v>
      </c>
    </row>
    <row r="116" customFormat="false" ht="14.4" hidden="false" customHeight="false" outlineLevel="0" collapsed="false">
      <c r="A116" s="34" t="s">
        <v>146</v>
      </c>
      <c r="B116" s="115" t="n">
        <v>75</v>
      </c>
      <c r="C116" s="43" t="s">
        <v>54</v>
      </c>
      <c r="D116" s="36"/>
      <c r="E116" s="36"/>
      <c r="F116" s="36"/>
      <c r="G116" s="36"/>
      <c r="H116" s="37" t="n">
        <v>2</v>
      </c>
    </row>
    <row r="117" customFormat="false" ht="14.4" hidden="false" customHeight="false" outlineLevel="0" collapsed="false">
      <c r="A117" s="34" t="s">
        <v>147</v>
      </c>
      <c r="B117" s="116" t="n">
        <v>1.5E-009</v>
      </c>
      <c r="C117" s="36" t="s">
        <v>81</v>
      </c>
      <c r="D117" s="36"/>
      <c r="E117" s="36"/>
      <c r="F117" s="36"/>
      <c r="G117" s="36"/>
      <c r="H117" s="37" t="n">
        <v>2</v>
      </c>
    </row>
    <row r="118" customFormat="false" ht="14.4" hidden="false" customHeight="false" outlineLevel="0" collapsed="false">
      <c r="A118" s="34"/>
      <c r="B118" s="36"/>
      <c r="C118" s="36"/>
      <c r="D118" s="36"/>
      <c r="E118" s="36"/>
      <c r="F118" s="36"/>
      <c r="G118" s="36"/>
      <c r="H118" s="37"/>
    </row>
    <row r="119" customFormat="false" ht="14.4" hidden="false" customHeight="false" outlineLevel="0" collapsed="false">
      <c r="A119" s="59" t="s">
        <v>148</v>
      </c>
      <c r="B119" s="36"/>
      <c r="C119" s="36"/>
      <c r="D119" s="36" t="str">
        <f aca="false">Cout</f>
        <v>3200µF</v>
      </c>
      <c r="E119" s="36" t="n">
        <f aca="false">CoutEsr</f>
        <v>0.0258264462809917</v>
      </c>
      <c r="F119" s="36"/>
      <c r="G119" s="36"/>
      <c r="H119" s="37"/>
    </row>
    <row r="120" customFormat="false" ht="14.4" hidden="false" customHeight="false" outlineLevel="0" collapsed="false">
      <c r="A120" s="51" t="s">
        <v>149</v>
      </c>
      <c r="B120" s="57" t="e">
        <f aca="false">SQRT((Rfets+Rdcr+Ro)/(Cout*Lout2*(CoutEsr+Ro)))/(2*Pi)</f>
        <v>#VALUE!</v>
      </c>
      <c r="C120" s="36" t="s">
        <v>49</v>
      </c>
      <c r="D120" s="36" t="s">
        <v>150</v>
      </c>
      <c r="E120" s="36"/>
      <c r="F120" s="36"/>
      <c r="G120" s="36"/>
      <c r="H120" s="37"/>
    </row>
    <row r="121" customFormat="false" ht="14.4" hidden="false" customHeight="false" outlineLevel="0" collapsed="false">
      <c r="A121" s="51" t="s">
        <v>24</v>
      </c>
      <c r="B121" s="57" t="e">
        <f aca="false">(Rfets+Rdcr+Ro)/(Lout2+Cout*(Rdcr+Rfets)*(CoutEsr+Ro)+Cout*CoutEsr*Ro)/(Fo*2*Pi)</f>
        <v>#VALUE!</v>
      </c>
      <c r="C121" s="36" t="s">
        <v>120</v>
      </c>
      <c r="D121" s="36" t="s">
        <v>151</v>
      </c>
      <c r="E121" s="36"/>
      <c r="F121" s="36"/>
      <c r="G121" s="36"/>
      <c r="H121" s="37"/>
    </row>
    <row r="122" customFormat="false" ht="14.4" hidden="false" customHeight="false" outlineLevel="0" collapsed="false">
      <c r="A122" s="51" t="s">
        <v>152</v>
      </c>
      <c r="B122" s="57" t="e">
        <f aca="false">1/(2*Pi*Cout*CoutEsr)</f>
        <v>#VALUE!</v>
      </c>
      <c r="C122" s="36" t="s">
        <v>49</v>
      </c>
      <c r="D122" s="40" t="s">
        <v>153</v>
      </c>
      <c r="E122" s="36"/>
      <c r="F122" s="36"/>
      <c r="G122" s="36"/>
      <c r="H122" s="37"/>
    </row>
    <row r="123" customFormat="false" ht="14.4" hidden="false" customHeight="false" outlineLevel="0" collapsed="false">
      <c r="A123" s="51" t="s">
        <v>154</v>
      </c>
      <c r="B123" s="57" t="n">
        <f aca="false">1/(2*Pi*Rcea1_u*Cc1ea_u)</f>
        <v>7298.00730345545</v>
      </c>
      <c r="C123" s="36" t="s">
        <v>49</v>
      </c>
      <c r="D123" s="40" t="s">
        <v>155</v>
      </c>
      <c r="E123" s="36"/>
      <c r="F123" s="36"/>
      <c r="G123" s="36"/>
      <c r="H123" s="37"/>
    </row>
    <row r="124" customFormat="false" ht="14.4" hidden="false" customHeight="false" outlineLevel="0" collapsed="false">
      <c r="A124" s="51" t="s">
        <v>156</v>
      </c>
      <c r="B124" s="57" t="n">
        <f aca="false">1/(2*Pi*Cc3ea_u*(_RFB1+Rcea2_u))</f>
        <v>1326291.19394797</v>
      </c>
      <c r="C124" s="36" t="s">
        <v>49</v>
      </c>
      <c r="D124" s="40" t="s">
        <v>155</v>
      </c>
      <c r="E124" s="36"/>
      <c r="F124" s="36"/>
      <c r="G124" s="36"/>
      <c r="H124" s="37"/>
    </row>
    <row r="125" customFormat="false" ht="14.4" hidden="false" customHeight="false" outlineLevel="0" collapsed="false">
      <c r="A125" s="51" t="s">
        <v>157</v>
      </c>
      <c r="B125" s="57" t="n">
        <f aca="false">1/(2*Pi*Rcea2_u*Cc3ea_u)</f>
        <v>1414710.60687783</v>
      </c>
      <c r="C125" s="36" t="s">
        <v>49</v>
      </c>
      <c r="D125" s="36" t="s">
        <v>158</v>
      </c>
      <c r="E125" s="36"/>
      <c r="F125" s="36"/>
      <c r="G125" s="36"/>
      <c r="H125" s="37"/>
    </row>
    <row r="126" customFormat="false" ht="14.4" hidden="false" customHeight="false" outlineLevel="0" collapsed="false">
      <c r="A126" s="51" t="s">
        <v>159</v>
      </c>
      <c r="B126" s="57" t="n">
        <f aca="false">1/(2*Pi*Rcea1_u*(Cc1ea_u*Cc2ea_u/(Cc1ea_u+Cc2ea_u)))</f>
        <v>163209.98151364</v>
      </c>
      <c r="C126" s="36" t="s">
        <v>49</v>
      </c>
      <c r="D126" s="36" t="s">
        <v>160</v>
      </c>
      <c r="E126" s="36"/>
      <c r="F126" s="36"/>
      <c r="G126" s="36"/>
      <c r="H126" s="37"/>
    </row>
    <row r="127" customFormat="false" ht="14.4" hidden="false" customHeight="false" outlineLevel="0" collapsed="false">
      <c r="A127" s="51" t="s">
        <v>161</v>
      </c>
      <c r="B127" s="57" t="n">
        <v>4.33331946671104</v>
      </c>
      <c r="C127" s="36"/>
      <c r="D127" s="40" t="s">
        <v>162</v>
      </c>
      <c r="E127" s="36"/>
      <c r="F127" s="36"/>
      <c r="G127" s="36"/>
      <c r="H127" s="37"/>
    </row>
    <row r="128" customFormat="false" ht="14.4" hidden="false" customHeight="false" outlineLevel="0" collapsed="false">
      <c r="A128" s="51" t="s">
        <v>163</v>
      </c>
      <c r="B128" s="57" t="n">
        <v>3.14159265</v>
      </c>
      <c r="C128" s="36"/>
      <c r="D128" s="36" t="s">
        <v>164</v>
      </c>
      <c r="E128" s="36"/>
      <c r="F128" s="36"/>
      <c r="G128" s="36"/>
      <c r="H128" s="37"/>
    </row>
    <row r="129" customFormat="false" ht="14.4" hidden="false" customHeight="false" outlineLevel="0" collapsed="false">
      <c r="A129" s="51" t="s">
        <v>165</v>
      </c>
      <c r="B129" s="62"/>
      <c r="C129" s="36"/>
      <c r="D129" s="36"/>
      <c r="E129" s="36"/>
      <c r="F129" s="36"/>
      <c r="G129" s="36"/>
      <c r="H129" s="37"/>
    </row>
    <row r="130" customFormat="false" ht="14.4" hidden="false" customHeight="false" outlineLevel="0" collapsed="false">
      <c r="A130" s="51" t="s">
        <v>166</v>
      </c>
      <c r="B130" s="62" t="n">
        <v>0</v>
      </c>
      <c r="C130" s="43" t="s">
        <v>54</v>
      </c>
      <c r="D130" s="40" t="s">
        <v>167</v>
      </c>
      <c r="E130" s="36"/>
      <c r="F130" s="36"/>
      <c r="G130" s="36" t="e">
        <f aca="false">_Don2*RdsonTop+Doff2*RdsonBot+B135*Vin^2*Fsw/2/(((Iripple1/SQRT(3))^2))</f>
        <v>#VALUE!</v>
      </c>
      <c r="H130" s="37"/>
    </row>
    <row r="131" customFormat="false" ht="14.4" hidden="false" customHeight="false" outlineLevel="0" collapsed="false">
      <c r="A131" s="34"/>
      <c r="B131" s="36"/>
      <c r="C131" s="36"/>
      <c r="D131" s="36"/>
      <c r="E131" s="36"/>
      <c r="F131" s="36"/>
      <c r="G131" s="36"/>
      <c r="H131" s="37"/>
    </row>
    <row r="132" customFormat="false" ht="14.4" hidden="false" customHeight="false" outlineLevel="0" collapsed="false">
      <c r="A132" s="51" t="s">
        <v>168</v>
      </c>
      <c r="B132" s="29" t="e">
        <f aca="false">0.00000002*Fsw*0.6*4/Iripple1</f>
        <v>#VALUE!</v>
      </c>
      <c r="C132" s="36"/>
      <c r="D132" s="29"/>
      <c r="E132" s="36"/>
      <c r="F132" s="36"/>
      <c r="G132" s="36"/>
      <c r="H132" s="37"/>
    </row>
    <row r="133" customFormat="false" ht="14.4" hidden="false" customHeight="false" outlineLevel="0" collapsed="false">
      <c r="A133" s="51" t="s">
        <v>169</v>
      </c>
      <c r="B133" s="29" t="e">
        <f aca="false">_Don2*RdsonTop+Doff2*RdsonBot</f>
        <v>#VALUE!</v>
      </c>
      <c r="C133" s="36"/>
      <c r="D133" s="29"/>
      <c r="E133" s="36"/>
      <c r="F133" s="36"/>
      <c r="G133" s="36"/>
      <c r="H133" s="37"/>
    </row>
    <row r="134" customFormat="false" ht="14.4" hidden="false" customHeight="false" outlineLevel="0" collapsed="false">
      <c r="A134" s="51" t="s">
        <v>170</v>
      </c>
      <c r="B134" s="29" t="e">
        <f aca="false">B135*Vin^2*Fsw/2/(((Iripple1/SQRT(3))^2))</f>
        <v>#VALUE!</v>
      </c>
      <c r="C134" s="36"/>
      <c r="D134" s="29"/>
      <c r="E134" s="36"/>
      <c r="F134" s="36"/>
      <c r="G134" s="36"/>
      <c r="H134" s="37"/>
    </row>
    <row r="135" customFormat="false" ht="15" hidden="false" customHeight="false" outlineLevel="0" collapsed="false">
      <c r="A135" s="117" t="s">
        <v>171</v>
      </c>
      <c r="B135" s="118" t="n">
        <v>5E-009</v>
      </c>
      <c r="C135" s="47"/>
      <c r="D135" s="118"/>
      <c r="E135" s="47"/>
      <c r="F135" s="47"/>
      <c r="G135" s="47"/>
      <c r="H135" s="48"/>
    </row>
    <row r="136" customFormat="false" ht="14.4" hidden="false" customHeight="false" outlineLevel="0" collapsed="false">
      <c r="A136" s="119"/>
      <c r="B136" s="120"/>
      <c r="D136" s="120"/>
    </row>
    <row r="137" customFormat="false" ht="14.4" hidden="false" customHeight="false" outlineLevel="0" collapsed="false">
      <c r="A137" s="119" t="s">
        <v>172</v>
      </c>
      <c r="B137" s="121" t="n">
        <v>0.073</v>
      </c>
      <c r="D137" s="120"/>
    </row>
    <row r="138" customFormat="false" ht="14.4" hidden="false" customHeight="false" outlineLevel="0" collapsed="false">
      <c r="A138" s="34"/>
      <c r="B138" s="122" t="n">
        <v>0.048</v>
      </c>
      <c r="C138" s="36"/>
      <c r="D138" s="36"/>
      <c r="E138" s="36"/>
      <c r="F138" s="36"/>
      <c r="G138" s="36"/>
      <c r="H138" s="37"/>
    </row>
    <row r="139" customFormat="false" ht="14.4" hidden="false" customHeight="false" outlineLevel="0" collapsed="false">
      <c r="A139" s="34" t="s">
        <v>48</v>
      </c>
      <c r="B139" s="36" t="n">
        <v>2200000</v>
      </c>
      <c r="C139" s="36"/>
      <c r="D139" s="36"/>
      <c r="E139" s="36"/>
      <c r="F139" s="36"/>
      <c r="G139" s="36"/>
      <c r="H139" s="37"/>
    </row>
    <row r="140" customFormat="false" ht="14.4" hidden="false" customHeight="false" outlineLevel="0" collapsed="false">
      <c r="A140" s="34"/>
      <c r="B140" s="36" t="n">
        <v>440000</v>
      </c>
      <c r="C140" s="36"/>
      <c r="D140" s="36"/>
      <c r="E140" s="36"/>
      <c r="F140" s="36"/>
      <c r="G140" s="36"/>
      <c r="H140" s="37"/>
    </row>
    <row r="141" customFormat="false" ht="14.4" hidden="false" customHeight="false" outlineLevel="0" collapsed="false">
      <c r="A141" s="34" t="s">
        <v>43</v>
      </c>
      <c r="B141" s="36" t="n">
        <v>3.3</v>
      </c>
      <c r="C141" s="36"/>
      <c r="D141" s="36"/>
      <c r="E141" s="36"/>
      <c r="F141" s="36"/>
      <c r="G141" s="36"/>
      <c r="H141" s="37"/>
    </row>
    <row r="142" customFormat="false" ht="14.4" hidden="false" customHeight="false" outlineLevel="0" collapsed="false">
      <c r="A142" s="34"/>
      <c r="B142" s="38" t="n">
        <v>5</v>
      </c>
      <c r="C142" s="36"/>
      <c r="D142" s="36"/>
      <c r="E142" s="36"/>
      <c r="F142" s="36"/>
      <c r="G142" s="36"/>
      <c r="H142" s="37"/>
    </row>
    <row r="143" customFormat="false" ht="14.4" hidden="false" customHeight="false" outlineLevel="0" collapsed="false">
      <c r="A143" s="34"/>
      <c r="B143" s="36"/>
      <c r="C143" s="36"/>
      <c r="D143" s="36"/>
      <c r="E143" s="36"/>
      <c r="F143" s="36"/>
      <c r="G143" s="36"/>
      <c r="H143" s="37"/>
    </row>
    <row r="144" customFormat="false" ht="14.4" hidden="false" customHeight="false" outlineLevel="0" collapsed="false">
      <c r="A144" s="34" t="s">
        <v>173</v>
      </c>
      <c r="B144" s="38" t="n">
        <v>5</v>
      </c>
      <c r="C144" s="36"/>
      <c r="D144" s="36"/>
      <c r="E144" s="36"/>
      <c r="F144" s="36"/>
      <c r="G144" s="36"/>
      <c r="H144" s="37"/>
    </row>
    <row r="145" customFormat="false" ht="14.4" hidden="false" customHeight="false" outlineLevel="0" collapsed="false">
      <c r="A145" s="34"/>
      <c r="B145" s="38" t="n">
        <v>8</v>
      </c>
      <c r="C145" s="36"/>
      <c r="D145" s="36"/>
      <c r="E145" s="36"/>
      <c r="F145" s="36"/>
      <c r="G145" s="36"/>
      <c r="H145" s="37"/>
    </row>
    <row r="146" customFormat="false" ht="14.4" hidden="false" customHeight="false" outlineLevel="0" collapsed="false">
      <c r="A146" s="59" t="s">
        <v>174</v>
      </c>
      <c r="B146" s="36"/>
      <c r="C146" s="36"/>
      <c r="D146" s="36"/>
      <c r="E146" s="36"/>
      <c r="F146" s="36"/>
      <c r="G146" s="36"/>
      <c r="H146" s="37"/>
    </row>
    <row r="147" customFormat="false" ht="14.4" hidden="false" customHeight="false" outlineLevel="0" collapsed="false">
      <c r="A147" s="34" t="s">
        <v>175</v>
      </c>
      <c r="B147" s="36"/>
      <c r="C147" s="36"/>
      <c r="D147" s="36"/>
      <c r="E147" s="36"/>
      <c r="F147" s="36"/>
      <c r="G147" s="36"/>
      <c r="H147" s="37"/>
    </row>
    <row r="148" customFormat="false" ht="15" hidden="false" customHeight="false" outlineLevel="0" collapsed="false">
      <c r="A148" s="45" t="s">
        <v>176</v>
      </c>
      <c r="B148" s="47"/>
      <c r="C148" s="47"/>
      <c r="D148" s="47"/>
      <c r="E148" s="47"/>
      <c r="F148" s="47"/>
      <c r="G148" s="47"/>
      <c r="H148" s="48"/>
    </row>
    <row r="149" customFormat="false" ht="14.4" hidden="false" customHeight="false" outlineLevel="0" collapsed="false">
      <c r="A149" s="119"/>
      <c r="B149" s="119"/>
    </row>
    <row r="150" customFormat="false" ht="16.2" hidden="false" customHeight="false" outlineLevel="0" collapsed="false">
      <c r="A150" s="28" t="s">
        <v>177</v>
      </c>
      <c r="B150" s="36"/>
      <c r="C150" s="36"/>
      <c r="D150" s="36"/>
      <c r="E150" s="36"/>
      <c r="F150" s="36"/>
      <c r="G150" s="36"/>
      <c r="H150" s="36"/>
    </row>
    <row r="151" customFormat="false" ht="14.4" hidden="false" customHeight="false" outlineLevel="0" collapsed="false">
      <c r="A151" s="30" t="s">
        <v>178</v>
      </c>
      <c r="B151" s="32" t="s">
        <v>179</v>
      </c>
      <c r="C151" s="32"/>
      <c r="D151" s="123"/>
      <c r="E151" s="123"/>
      <c r="F151" s="123"/>
      <c r="G151" s="123"/>
      <c r="H151" s="33"/>
    </row>
    <row r="152" customFormat="false" ht="14.4" hidden="false" customHeight="false" outlineLevel="0" collapsed="false">
      <c r="A152" s="34" t="s">
        <v>180</v>
      </c>
      <c r="B152" s="36" t="s">
        <v>181</v>
      </c>
      <c r="C152" s="36"/>
      <c r="D152" s="36"/>
      <c r="E152" s="36"/>
      <c r="F152" s="36"/>
      <c r="G152" s="36"/>
      <c r="H152" s="37"/>
    </row>
    <row r="153" customFormat="false" ht="14.4" hidden="false" customHeight="false" outlineLevel="0" collapsed="false">
      <c r="A153" s="34" t="s">
        <v>182</v>
      </c>
      <c r="B153" s="36" t="s">
        <v>183</v>
      </c>
      <c r="C153" s="36"/>
      <c r="D153" s="36"/>
      <c r="E153" s="36"/>
      <c r="F153" s="36"/>
      <c r="G153" s="36"/>
      <c r="H153" s="37"/>
    </row>
    <row r="154" customFormat="false" ht="14.4" hidden="false" customHeight="false" outlineLevel="0" collapsed="false">
      <c r="A154" s="34" t="s">
        <v>184</v>
      </c>
      <c r="B154" s="36" t="s">
        <v>185</v>
      </c>
      <c r="C154" s="36"/>
      <c r="D154" s="36"/>
      <c r="E154" s="36"/>
      <c r="F154" s="36"/>
      <c r="G154" s="36"/>
      <c r="H154" s="37"/>
    </row>
    <row r="155" customFormat="false" ht="14.4" hidden="false" customHeight="false" outlineLevel="0" collapsed="false">
      <c r="A155" s="34"/>
      <c r="B155" s="36"/>
      <c r="C155" s="36"/>
      <c r="D155" s="36"/>
      <c r="E155" s="36"/>
      <c r="F155" s="36"/>
      <c r="G155" s="36"/>
      <c r="H155" s="37"/>
    </row>
    <row r="156" customFormat="false" ht="14.4" hidden="false" customHeight="false" outlineLevel="0" collapsed="false">
      <c r="A156" s="34" t="s">
        <v>186</v>
      </c>
      <c r="B156" s="36" t="s">
        <v>187</v>
      </c>
      <c r="C156" s="36"/>
      <c r="D156" s="36"/>
      <c r="E156" s="36"/>
      <c r="F156" s="36"/>
      <c r="G156" s="36"/>
      <c r="H156" s="37"/>
    </row>
    <row r="157" customFormat="false" ht="14.4" hidden="false" customHeight="false" outlineLevel="0" collapsed="false">
      <c r="A157" s="39" t="s">
        <v>188</v>
      </c>
      <c r="B157" s="36" t="str">
        <f aca="false">"100µF"</f>
        <v>100µF</v>
      </c>
      <c r="C157" s="36"/>
      <c r="D157" s="36"/>
      <c r="E157" s="36"/>
      <c r="F157" s="36"/>
      <c r="G157" s="36"/>
      <c r="H157" s="37"/>
    </row>
    <row r="158" customFormat="false" ht="14.4" hidden="false" customHeight="false" outlineLevel="0" collapsed="false">
      <c r="A158" s="39" t="s">
        <v>189</v>
      </c>
      <c r="B158" s="124" t="e">
        <f aca="false">ROUNDUP(Cout*1000000/100,0)&amp;" x"</f>
        <v>#VALUE!</v>
      </c>
      <c r="C158" s="36"/>
      <c r="D158" s="36"/>
      <c r="E158" s="36"/>
      <c r="F158" s="36"/>
      <c r="G158" s="36"/>
      <c r="H158" s="37"/>
    </row>
    <row r="159" customFormat="false" ht="14.4" hidden="false" customHeight="false" outlineLevel="0" collapsed="false">
      <c r="A159" s="34"/>
      <c r="B159" s="36"/>
      <c r="C159" s="36"/>
      <c r="D159" s="36"/>
      <c r="E159" s="36"/>
      <c r="F159" s="36"/>
      <c r="G159" s="36"/>
      <c r="H159" s="37"/>
    </row>
    <row r="160" customFormat="false" ht="14.4" hidden="false" customHeight="false" outlineLevel="0" collapsed="false">
      <c r="A160" s="34" t="s">
        <v>190</v>
      </c>
      <c r="B160" s="36" t="e">
        <f aca="false">Cin*1000000&amp;"µF"</f>
        <v>#VALUE!</v>
      </c>
      <c r="C160" s="36"/>
      <c r="D160" s="36"/>
      <c r="E160" s="36"/>
      <c r="F160" s="36"/>
      <c r="G160" s="36"/>
      <c r="H160" s="37"/>
    </row>
    <row r="161" customFormat="false" ht="14.4" hidden="false" customHeight="false" outlineLevel="0" collapsed="false">
      <c r="A161" s="39" t="s">
        <v>191</v>
      </c>
      <c r="B161" s="36" t="str">
        <f aca="false">"22µF"</f>
        <v>22µF</v>
      </c>
      <c r="C161" s="36"/>
      <c r="D161" s="36"/>
      <c r="E161" s="36"/>
      <c r="F161" s="36"/>
      <c r="G161" s="36"/>
      <c r="H161" s="37"/>
    </row>
    <row r="162" customFormat="false" ht="14.4" hidden="false" customHeight="false" outlineLevel="0" collapsed="false">
      <c r="A162" s="39" t="s">
        <v>192</v>
      </c>
      <c r="B162" s="124" t="e">
        <f aca="false">ROUNDUP(Cin*1000000/22,0)&amp;" x"</f>
        <v>#VALUE!</v>
      </c>
      <c r="C162" s="36"/>
      <c r="D162" s="36"/>
      <c r="E162" s="36"/>
      <c r="F162" s="36"/>
      <c r="G162" s="36"/>
      <c r="H162" s="37"/>
    </row>
    <row r="163" customFormat="false" ht="14.4" hidden="false" customHeight="false" outlineLevel="0" collapsed="false">
      <c r="A163" s="39"/>
      <c r="B163" s="124"/>
      <c r="C163" s="36"/>
      <c r="D163" s="36"/>
      <c r="E163" s="36"/>
      <c r="F163" s="36"/>
      <c r="G163" s="36"/>
      <c r="H163" s="37"/>
    </row>
    <row r="164" customFormat="false" ht="14.4" hidden="false" customHeight="false" outlineLevel="0" collapsed="false">
      <c r="A164" s="34" t="str">
        <f aca="false">"RC1 = "&amp;Rcea1_u/1000&amp;"kΩ"</f>
        <v>RC1 = 4.64kΩ</v>
      </c>
      <c r="B164" s="36" t="str">
        <f aca="false">ROUND(Rcea1_u/1000,2)&amp;"kΩ"</f>
        <v>4.64kΩ</v>
      </c>
      <c r="C164" s="36"/>
      <c r="D164" s="36"/>
      <c r="E164" s="36"/>
      <c r="F164" s="36"/>
      <c r="G164" s="36"/>
      <c r="H164" s="37"/>
    </row>
    <row r="165" customFormat="false" ht="14.4" hidden="false" customHeight="false" outlineLevel="0" collapsed="false">
      <c r="A165" s="34" t="str">
        <f aca="false">"CC1 = "&amp;Cc1ea_u*10^12&amp;"pF"</f>
        <v>CC1 = 4700pF</v>
      </c>
      <c r="B165" s="36" t="str">
        <f aca="false">ROUND(Cc1ea_u*10^12,0)&amp;"pF"</f>
        <v>4700pF</v>
      </c>
      <c r="C165" s="36"/>
      <c r="D165" s="36"/>
      <c r="E165" s="36"/>
      <c r="F165" s="36"/>
      <c r="G165" s="36"/>
      <c r="H165" s="37"/>
    </row>
    <row r="166" customFormat="false" ht="14.4" hidden="false" customHeight="false" outlineLevel="0" collapsed="false">
      <c r="A166" s="34" t="str">
        <f aca="false">"CC2 = "&amp;Cc2ea_u*10^12&amp;"pF"</f>
        <v>CC2 = 220pF</v>
      </c>
      <c r="B166" s="36" t="str">
        <f aca="false">ROUND(Cc2ea_u*10^12,0)&amp;"pF"</f>
        <v>220pF</v>
      </c>
      <c r="C166" s="36"/>
      <c r="D166" s="36"/>
      <c r="E166" s="36"/>
      <c r="F166" s="36"/>
      <c r="G166" s="36"/>
      <c r="H166" s="37"/>
    </row>
    <row r="167" customFormat="false" ht="14.4" hidden="false" customHeight="false" outlineLevel="0" collapsed="false">
      <c r="A167" s="34" t="str">
        <f aca="false">"RC2 = "&amp;Rcea2_u&amp;"Ω"</f>
        <v>RC2 = 75Ω</v>
      </c>
      <c r="B167" s="36" t="str">
        <f aca="false">ROUND(Rcea2_u,2)&amp;"Ω"</f>
        <v>75Ω</v>
      </c>
      <c r="C167" s="36"/>
      <c r="D167" s="36"/>
      <c r="E167" s="36"/>
      <c r="F167" s="36"/>
      <c r="G167" s="36"/>
      <c r="H167" s="37"/>
    </row>
    <row r="168" customFormat="false" ht="14.4" hidden="false" customHeight="false" outlineLevel="0" collapsed="false">
      <c r="A168" s="34" t="str">
        <f aca="false">"CC3 = "&amp;Cc3ea_u*10^12&amp;"pF"</f>
        <v>CC3 = 1500pF</v>
      </c>
      <c r="B168" s="36" t="str">
        <f aca="false">ROUND(Cc3ea_u*10^12,0)&amp;"pF"</f>
        <v>1500pF</v>
      </c>
      <c r="C168" s="36"/>
      <c r="D168" s="36"/>
      <c r="E168" s="36"/>
      <c r="F168" s="36"/>
      <c r="G168" s="36"/>
      <c r="H168" s="37"/>
    </row>
    <row r="169" customFormat="false" ht="14.4" hidden="false" customHeight="false" outlineLevel="0" collapsed="false">
      <c r="A169" s="34" t="s">
        <v>193</v>
      </c>
      <c r="B169" s="36" t="s">
        <v>194</v>
      </c>
      <c r="C169" s="36"/>
      <c r="D169" s="36"/>
      <c r="E169" s="36"/>
      <c r="F169" s="36"/>
      <c r="G169" s="36"/>
      <c r="H169" s="37"/>
    </row>
    <row r="170" customFormat="false" ht="14.4" hidden="false" customHeight="false" outlineLevel="0" collapsed="false">
      <c r="A170" s="34" t="s">
        <v>195</v>
      </c>
      <c r="B170" s="36" t="str">
        <f aca="false">IF(Vout=Vref,"OPEN",Rfb2_u/1000&amp;"kΩ")</f>
        <v>10kΩ</v>
      </c>
      <c r="C170" s="36"/>
      <c r="D170" s="36"/>
      <c r="E170" s="36"/>
      <c r="F170" s="36"/>
      <c r="G170" s="36"/>
      <c r="H170" s="37"/>
    </row>
    <row r="171" customFormat="false" ht="14.4" hidden="false" customHeight="false" outlineLevel="0" collapsed="false">
      <c r="A171" s="34" t="s">
        <v>196</v>
      </c>
      <c r="B171" s="36" t="s">
        <v>197</v>
      </c>
      <c r="C171" s="125" t="n">
        <v>43.5</v>
      </c>
      <c r="D171" s="36"/>
      <c r="E171" s="36"/>
      <c r="F171" s="36"/>
      <c r="G171" s="36"/>
      <c r="H171" s="37"/>
    </row>
    <row r="172" customFormat="false" ht="14.4" hidden="false" customHeight="false" outlineLevel="0" collapsed="false">
      <c r="A172" s="34" t="s">
        <v>198</v>
      </c>
      <c r="B172" s="124" t="s">
        <v>199</v>
      </c>
      <c r="C172" s="36"/>
      <c r="D172" s="43"/>
      <c r="E172" s="36"/>
      <c r="F172" s="36"/>
      <c r="G172" s="36"/>
      <c r="H172" s="37"/>
    </row>
    <row r="173" customFormat="false" ht="14.4" hidden="false" customHeight="false" outlineLevel="0" collapsed="false">
      <c r="A173" s="34" t="e">
        <f aca="false">"Cs = "&amp;Cs*1000000000&amp;"nF"</f>
        <v>#VALUE!</v>
      </c>
      <c r="B173" s="36" t="e">
        <f aca="false">Cs*1000000&amp;"µF"</f>
        <v>#VALUE!</v>
      </c>
      <c r="C173" s="36"/>
      <c r="D173" s="36"/>
      <c r="E173" s="36"/>
      <c r="F173" s="36"/>
      <c r="G173" s="36"/>
      <c r="H173" s="37"/>
    </row>
    <row r="174" customFormat="false" ht="14.4" hidden="false" customHeight="false" outlineLevel="0" collapsed="false">
      <c r="A174" s="34" t="e">
        <f aca="false">"Rs = "&amp;Rs&amp;"Ω"</f>
        <v>#VALUE!</v>
      </c>
      <c r="B174" s="36" t="s">
        <v>200</v>
      </c>
      <c r="C174" s="36"/>
      <c r="D174" s="36"/>
      <c r="E174" s="36"/>
      <c r="F174" s="36"/>
      <c r="G174" s="36"/>
      <c r="H174" s="37"/>
    </row>
    <row r="175" customFormat="false" ht="14.4" hidden="false" customHeight="false" outlineLevel="0" collapsed="false">
      <c r="A175" s="34" t="s">
        <v>201</v>
      </c>
      <c r="B175" s="36" t="s">
        <v>202</v>
      </c>
      <c r="C175" s="36"/>
      <c r="D175" s="36"/>
      <c r="E175" s="36"/>
      <c r="F175" s="36"/>
      <c r="G175" s="36"/>
      <c r="H175" s="37"/>
    </row>
    <row r="176" customFormat="false" ht="14.4" hidden="false" customHeight="false" outlineLevel="0" collapsed="false">
      <c r="A176" s="34" t="s">
        <v>203</v>
      </c>
      <c r="B176" s="36" t="s">
        <v>200</v>
      </c>
      <c r="C176" s="36"/>
      <c r="D176" s="36"/>
      <c r="E176" s="36"/>
      <c r="F176" s="36"/>
      <c r="G176" s="36"/>
      <c r="H176" s="37"/>
    </row>
    <row r="177" customFormat="false" ht="14.4" hidden="false" customHeight="false" outlineLevel="0" collapsed="false">
      <c r="A177" s="34" t="s">
        <v>204</v>
      </c>
      <c r="B177" s="36" t="s">
        <v>205</v>
      </c>
      <c r="C177" s="36" t="n">
        <v>84.5</v>
      </c>
      <c r="D177" s="36"/>
      <c r="E177" s="36"/>
      <c r="F177" s="36"/>
      <c r="G177" s="36"/>
      <c r="H177" s="37"/>
    </row>
    <row r="178" customFormat="false" ht="14.4" hidden="false" customHeight="false" outlineLevel="0" collapsed="false">
      <c r="A178" s="39" t="s">
        <v>206</v>
      </c>
      <c r="B178" s="40" t="s">
        <v>207</v>
      </c>
      <c r="C178" s="36"/>
      <c r="D178" s="36"/>
      <c r="E178" s="36"/>
      <c r="F178" s="36"/>
      <c r="G178" s="36"/>
      <c r="H178" s="37"/>
    </row>
    <row r="179" customFormat="false" ht="14.4" hidden="false" customHeight="false" outlineLevel="0" collapsed="false">
      <c r="A179" s="34" t="s">
        <v>53</v>
      </c>
      <c r="B179" s="36" t="s">
        <v>208</v>
      </c>
      <c r="C179" s="36"/>
      <c r="D179" s="36"/>
      <c r="E179" s="36"/>
      <c r="F179" s="36"/>
      <c r="G179" s="36"/>
      <c r="H179" s="37"/>
    </row>
    <row r="180" customFormat="false" ht="14.4" hidden="false" customHeight="false" outlineLevel="0" collapsed="false">
      <c r="A180" s="34" t="s">
        <v>105</v>
      </c>
      <c r="B180" s="36" t="s">
        <v>209</v>
      </c>
      <c r="C180" s="36"/>
      <c r="D180" s="36"/>
      <c r="E180" s="36"/>
      <c r="F180" s="36"/>
      <c r="G180" s="36"/>
      <c r="H180" s="37"/>
    </row>
    <row r="181" customFormat="false" ht="14.4" hidden="false" customHeight="false" outlineLevel="0" collapsed="false">
      <c r="A181" s="39" t="s">
        <v>210</v>
      </c>
      <c r="B181" s="40" t="s">
        <v>211</v>
      </c>
      <c r="C181" s="36"/>
      <c r="D181" s="36"/>
      <c r="E181" s="36"/>
      <c r="F181" s="36"/>
      <c r="G181" s="36"/>
      <c r="H181" s="37"/>
    </row>
    <row r="182" customFormat="false" ht="14.4" hidden="false" customHeight="false" outlineLevel="0" collapsed="false">
      <c r="A182" s="34" t="s">
        <v>212</v>
      </c>
      <c r="B182" s="36" t="str">
        <f aca="false">IF(B35="y","","|")</f>
        <v>|</v>
      </c>
      <c r="C182" s="36"/>
      <c r="D182" s="36"/>
      <c r="E182" s="36"/>
      <c r="F182" s="36"/>
      <c r="G182" s="36"/>
      <c r="H182" s="37"/>
    </row>
  </sheetData>
  <mergeCells count="2">
    <mergeCell ref="A1:H1"/>
    <mergeCell ref="D5:G5"/>
  </mergeCells>
  <dataValidations count="1">
    <dataValidation allowBlank="true" operator="between" showDropDown="false" showErrorMessage="true" showInputMessage="true" sqref="B137" type="decimal">
      <formula1>0.048</formula1>
      <formula2>0.073</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BL154"/>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C97" activeCellId="0" sqref="C97"/>
    </sheetView>
  </sheetViews>
  <sheetFormatPr defaultRowHeight="14.4" zeroHeight="false" outlineLevelRow="0" outlineLevelCol="0"/>
  <cols>
    <col collapsed="false" customWidth="true" hidden="false" outlineLevel="0" max="1" min="1" style="126" width="142.44"/>
    <col collapsed="false" customWidth="true" hidden="false" outlineLevel="0" max="2" min="2" style="126" width="48.66"/>
    <col collapsed="false" customWidth="true" hidden="false" outlineLevel="0" max="3" min="3" style="126" width="18.11"/>
    <col collapsed="false" customWidth="true" hidden="false" outlineLevel="0" max="4" min="4" style="126" width="2.66"/>
    <col collapsed="false" customWidth="true" hidden="false" outlineLevel="0" max="5" min="5" style="126" width="12.66"/>
    <col collapsed="false" customWidth="true" hidden="false" outlineLevel="0" max="7" min="6" style="126" width="8.88"/>
    <col collapsed="false" customWidth="true" hidden="false" outlineLevel="0" max="8" min="8" style="126" width="16.55"/>
    <col collapsed="false" customWidth="true" hidden="false" outlineLevel="0" max="11" min="9" style="126" width="8.88"/>
    <col collapsed="false" customWidth="true" hidden="false" outlineLevel="0" max="19" min="12" style="127" width="8.88"/>
    <col collapsed="false" customWidth="true" hidden="false" outlineLevel="0" max="28" min="20" style="126" width="8.88"/>
    <col collapsed="false" customWidth="true" hidden="false" outlineLevel="0" max="29" min="29" style="128" width="8.88"/>
    <col collapsed="false" customWidth="true" hidden="false" outlineLevel="0" max="62" min="30" style="129" width="8.88"/>
    <col collapsed="false" customWidth="true" hidden="false" outlineLevel="0" max="1025" min="63" style="126" width="8.88"/>
  </cols>
  <sheetData>
    <row r="1" customFormat="false" ht="14.4" hidden="false" customHeight="false" outlineLevel="0" collapsed="false">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customFormat="false" ht="14.4" hidden="false" customHeight="false" outlineLevel="0" collapsed="false">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row>
    <row r="3" customFormat="false" ht="14.4" hidden="false" customHeight="false" outlineLevel="0" collapsed="false">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row>
    <row r="4" customFormat="false" ht="14.4" hidden="false" customHeight="false" outlineLevel="0" collapsed="false">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row>
    <row r="5" customFormat="false" ht="14.4" hidden="false" customHeight="false" outlineLevel="0" collapsed="false">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customFormat="false" ht="14.4" hidden="false" customHeight="false" outlineLevel="0" collapsed="false">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customFormat="false" ht="15" hidden="false" customHeight="false" outlineLevel="0" collapsed="false">
      <c r="A7" s="128"/>
      <c r="B7" s="128"/>
      <c r="C7" s="131" t="s">
        <v>213</v>
      </c>
      <c r="D7" s="128"/>
      <c r="E7" s="128"/>
      <c r="F7" s="128"/>
      <c r="G7" s="128"/>
      <c r="H7" s="131" t="s">
        <v>214</v>
      </c>
      <c r="I7" s="128"/>
      <c r="J7" s="128"/>
      <c r="K7" s="128"/>
      <c r="L7" s="128"/>
      <c r="M7" s="128"/>
      <c r="N7" s="128"/>
      <c r="O7" s="128"/>
      <c r="P7" s="128"/>
      <c r="Q7" s="128"/>
      <c r="R7" s="128"/>
      <c r="S7" s="128"/>
      <c r="T7" s="128"/>
      <c r="U7" s="128"/>
      <c r="V7" s="128"/>
      <c r="W7" s="128"/>
      <c r="X7" s="128"/>
      <c r="Y7" s="128"/>
      <c r="Z7" s="128"/>
      <c r="AA7" s="128"/>
      <c r="AB7" s="128"/>
      <c r="AD7" s="128"/>
    </row>
    <row r="8" customFormat="false" ht="14.4" hidden="false" customHeight="false" outlineLevel="0" collapsed="false">
      <c r="A8" s="128"/>
      <c r="B8" s="128"/>
      <c r="C8" s="128"/>
      <c r="D8" s="132"/>
      <c r="E8" s="128"/>
      <c r="F8" s="128"/>
      <c r="G8" s="128"/>
      <c r="H8" s="128"/>
      <c r="I8" s="133"/>
      <c r="J8" s="133"/>
      <c r="K8" s="133"/>
      <c r="L8" s="128"/>
      <c r="M8" s="128"/>
      <c r="N8" s="128"/>
      <c r="O8" s="128"/>
      <c r="P8" s="128"/>
      <c r="Q8" s="128"/>
      <c r="R8" s="128"/>
      <c r="S8" s="128"/>
      <c r="T8" s="128"/>
      <c r="U8" s="128"/>
      <c r="V8" s="128"/>
      <c r="W8" s="128"/>
      <c r="X8" s="128"/>
      <c r="Y8" s="128"/>
      <c r="Z8" s="128"/>
      <c r="AA8" s="128"/>
      <c r="AB8" s="128"/>
      <c r="AD8" s="128"/>
    </row>
    <row r="9" customFormat="false" ht="14.4" hidden="false" customHeight="false" outlineLevel="0" collapsed="false">
      <c r="A9" s="128"/>
      <c r="B9" s="128"/>
      <c r="C9" s="128"/>
      <c r="D9" s="128"/>
      <c r="E9" s="128"/>
      <c r="F9" s="128"/>
      <c r="G9" s="128"/>
      <c r="H9" s="128"/>
      <c r="I9" s="133"/>
      <c r="J9" s="133"/>
      <c r="K9" s="133"/>
      <c r="L9" s="128"/>
      <c r="M9" s="128"/>
      <c r="N9" s="128"/>
      <c r="O9" s="128"/>
      <c r="P9" s="128"/>
      <c r="Q9" s="128"/>
      <c r="R9" s="128"/>
      <c r="S9" s="128"/>
      <c r="T9" s="128"/>
      <c r="U9" s="128"/>
      <c r="V9" s="128"/>
      <c r="W9" s="128"/>
      <c r="X9" s="128"/>
      <c r="Y9" s="128"/>
      <c r="Z9" s="128"/>
      <c r="AA9" s="128"/>
      <c r="AB9" s="128"/>
      <c r="AD9" s="128"/>
    </row>
    <row r="10" customFormat="false" ht="14.4" hidden="false" customHeight="false" outlineLevel="0" collapsed="false">
      <c r="A10" s="134"/>
      <c r="B10" s="128"/>
      <c r="C10" s="135"/>
      <c r="D10" s="128"/>
      <c r="E10" s="128"/>
      <c r="F10" s="128"/>
      <c r="G10" s="128"/>
      <c r="H10" s="128"/>
      <c r="I10" s="133"/>
      <c r="J10" s="133"/>
      <c r="K10" s="133"/>
      <c r="L10" s="128"/>
      <c r="M10" s="128"/>
      <c r="N10" s="128"/>
      <c r="O10" s="128"/>
      <c r="P10" s="128"/>
      <c r="Q10" s="128"/>
      <c r="R10" s="128"/>
      <c r="S10" s="128"/>
      <c r="T10" s="128"/>
      <c r="U10" s="128"/>
      <c r="V10" s="128"/>
      <c r="W10" s="128"/>
      <c r="X10" s="128"/>
      <c r="Y10" s="128"/>
      <c r="Z10" s="128"/>
      <c r="AA10" s="128"/>
      <c r="AB10" s="128"/>
      <c r="AD10" s="128"/>
    </row>
    <row r="11" customFormat="false" ht="14.4" hidden="false" customHeight="false" outlineLevel="0" collapsed="false">
      <c r="A11" s="134"/>
      <c r="B11" s="136"/>
      <c r="C11" s="128"/>
      <c r="D11" s="137"/>
      <c r="E11" s="128"/>
      <c r="F11" s="128"/>
      <c r="G11" s="128"/>
      <c r="H11" s="128"/>
      <c r="I11" s="133"/>
      <c r="J11" s="133"/>
      <c r="K11" s="133"/>
      <c r="L11" s="128"/>
      <c r="M11" s="128"/>
      <c r="N11" s="128"/>
      <c r="O11" s="128"/>
      <c r="P11" s="128"/>
      <c r="Q11" s="128"/>
      <c r="R11" s="128"/>
      <c r="S11" s="128"/>
      <c r="T11" s="128"/>
      <c r="U11" s="128"/>
      <c r="V11" s="128"/>
      <c r="W11" s="128"/>
      <c r="X11" s="128"/>
      <c r="Y11" s="128"/>
      <c r="Z11" s="128"/>
      <c r="AA11" s="128"/>
      <c r="AB11" s="128"/>
      <c r="AD11" s="128"/>
    </row>
    <row r="12" customFormat="false" ht="14.4" hidden="false" customHeight="false" outlineLevel="0" collapsed="false">
      <c r="A12" s="134"/>
      <c r="B12" s="136"/>
      <c r="C12" s="128"/>
      <c r="D12" s="137"/>
      <c r="E12" s="128"/>
      <c r="F12" s="128"/>
      <c r="G12" s="128"/>
      <c r="H12" s="128"/>
      <c r="I12" s="133"/>
      <c r="J12" s="133"/>
      <c r="K12" s="133"/>
      <c r="L12" s="128"/>
      <c r="M12" s="128"/>
      <c r="N12" s="128"/>
      <c r="O12" s="128"/>
      <c r="P12" s="128"/>
      <c r="Q12" s="128"/>
      <c r="R12" s="128"/>
      <c r="S12" s="128"/>
      <c r="T12" s="128"/>
      <c r="U12" s="128"/>
      <c r="V12" s="128"/>
      <c r="W12" s="128"/>
      <c r="X12" s="128"/>
      <c r="Y12" s="128"/>
      <c r="Z12" s="128"/>
      <c r="AA12" s="128"/>
      <c r="AB12" s="128"/>
      <c r="AD12" s="128"/>
    </row>
    <row r="13" customFormat="false" ht="15" hidden="false" customHeight="false" outlineLevel="0" collapsed="false">
      <c r="A13" s="127"/>
      <c r="B13" s="127"/>
      <c r="C13" s="138"/>
      <c r="D13" s="139"/>
      <c r="E13" s="139"/>
      <c r="F13" s="139"/>
      <c r="G13" s="139"/>
      <c r="H13" s="139"/>
      <c r="I13" s="140"/>
      <c r="J13" s="140"/>
      <c r="K13" s="140"/>
      <c r="L13" s="139"/>
      <c r="M13" s="139"/>
      <c r="N13" s="139"/>
      <c r="O13" s="139"/>
      <c r="P13" s="139"/>
      <c r="Q13" s="139"/>
      <c r="R13" s="139"/>
      <c r="S13" s="139"/>
      <c r="T13" s="139"/>
      <c r="U13" s="139"/>
      <c r="V13" s="139"/>
      <c r="W13" s="139"/>
      <c r="X13" s="139"/>
      <c r="Y13" s="139"/>
      <c r="Z13" s="139"/>
      <c r="AA13" s="139"/>
      <c r="AB13" s="139"/>
      <c r="AC13" s="139"/>
      <c r="AD13" s="139"/>
    </row>
    <row r="14" customFormat="false" ht="18" hidden="false" customHeight="false" outlineLevel="0" collapsed="false">
      <c r="A14" s="141" t="s">
        <v>215</v>
      </c>
      <c r="B14" s="142" t="s">
        <v>216</v>
      </c>
      <c r="C14" s="143" t="n">
        <v>10</v>
      </c>
      <c r="D14" s="139"/>
      <c r="E14" s="139"/>
      <c r="F14" s="139"/>
      <c r="G14" s="139"/>
      <c r="H14" s="139"/>
      <c r="I14" s="140"/>
      <c r="J14" s="140"/>
      <c r="K14" s="140"/>
      <c r="L14" s="139"/>
      <c r="M14" s="139"/>
      <c r="N14" s="139"/>
      <c r="O14" s="139"/>
      <c r="P14" s="139"/>
      <c r="Q14" s="139"/>
      <c r="R14" s="139"/>
      <c r="S14" s="139"/>
      <c r="T14" s="139"/>
      <c r="U14" s="139"/>
      <c r="V14" s="139"/>
      <c r="W14" s="139"/>
      <c r="X14" s="139"/>
      <c r="Y14" s="139"/>
      <c r="Z14" s="139"/>
      <c r="AA14" s="139"/>
      <c r="AB14" s="139"/>
      <c r="AC14" s="139"/>
      <c r="AD14" s="139"/>
    </row>
    <row r="15" customFormat="false" ht="18" hidden="false" customHeight="false" outlineLevel="0" collapsed="false">
      <c r="A15" s="144"/>
      <c r="B15" s="145" t="s">
        <v>217</v>
      </c>
      <c r="C15" s="146" t="n">
        <v>12</v>
      </c>
      <c r="D15" s="139"/>
      <c r="E15" s="139"/>
      <c r="F15" s="139"/>
      <c r="G15" s="139"/>
      <c r="H15" s="139"/>
      <c r="I15" s="140"/>
      <c r="J15" s="140"/>
      <c r="K15" s="140"/>
      <c r="L15" s="139"/>
      <c r="M15" s="139"/>
      <c r="N15" s="139"/>
      <c r="O15" s="139"/>
      <c r="P15" s="139"/>
      <c r="Q15" s="139"/>
      <c r="R15" s="139"/>
      <c r="S15" s="139"/>
      <c r="T15" s="139"/>
      <c r="U15" s="139"/>
      <c r="V15" s="139"/>
      <c r="W15" s="139"/>
      <c r="X15" s="139"/>
      <c r="Y15" s="139"/>
      <c r="Z15" s="139"/>
      <c r="AA15" s="139"/>
      <c r="AB15" s="139"/>
      <c r="AC15" s="139"/>
      <c r="AD15" s="139"/>
    </row>
    <row r="16" customFormat="false" ht="15.6" hidden="false" customHeight="false" outlineLevel="0" collapsed="false">
      <c r="A16" s="147"/>
      <c r="B16" s="145" t="s">
        <v>218</v>
      </c>
      <c r="C16" s="148" t="n">
        <v>30</v>
      </c>
      <c r="D16" s="139"/>
      <c r="E16" s="139"/>
      <c r="F16" s="139"/>
      <c r="G16" s="139"/>
      <c r="H16" s="139"/>
      <c r="I16" s="140"/>
      <c r="J16" s="140"/>
      <c r="K16" s="140"/>
      <c r="L16" s="139"/>
      <c r="M16" s="139"/>
      <c r="N16" s="139"/>
      <c r="O16" s="139"/>
      <c r="P16" s="139"/>
      <c r="Q16" s="139"/>
      <c r="R16" s="139"/>
      <c r="S16" s="139"/>
      <c r="T16" s="139"/>
      <c r="U16" s="139"/>
      <c r="V16" s="139"/>
      <c r="W16" s="139"/>
      <c r="X16" s="139"/>
      <c r="Y16" s="139"/>
      <c r="Z16" s="139"/>
      <c r="AA16" s="139"/>
      <c r="AB16" s="139"/>
      <c r="AC16" s="139"/>
      <c r="AD16" s="139"/>
    </row>
    <row r="17" customFormat="false" ht="15.6" hidden="false" customHeight="false" outlineLevel="0" collapsed="false">
      <c r="A17" s="149" t="s">
        <v>219</v>
      </c>
      <c r="B17" s="150" t="s">
        <v>220</v>
      </c>
      <c r="C17" s="151" t="n">
        <v>5</v>
      </c>
      <c r="D17" s="139"/>
      <c r="E17" s="139"/>
      <c r="F17" s="139"/>
      <c r="G17" s="139"/>
      <c r="H17" s="139"/>
      <c r="I17" s="140"/>
      <c r="J17" s="140"/>
      <c r="K17" s="140"/>
      <c r="L17" s="139"/>
      <c r="M17" s="139"/>
      <c r="N17" s="139"/>
      <c r="O17" s="139"/>
      <c r="P17" s="139"/>
      <c r="Q17" s="139"/>
      <c r="R17" s="139"/>
      <c r="S17" s="139"/>
      <c r="T17" s="139"/>
      <c r="U17" s="139"/>
      <c r="V17" s="139"/>
      <c r="W17" s="139"/>
      <c r="X17" s="139"/>
      <c r="Y17" s="139"/>
      <c r="Z17" s="139"/>
      <c r="AA17" s="139"/>
      <c r="AB17" s="139"/>
      <c r="AC17" s="139"/>
      <c r="AD17" s="139"/>
    </row>
    <row r="18" customFormat="false" ht="14.4" hidden="false" customHeight="false" outlineLevel="0" collapsed="false">
      <c r="A18" s="149"/>
      <c r="B18" s="145" t="s">
        <v>221</v>
      </c>
      <c r="C18" s="152" t="n">
        <v>9</v>
      </c>
      <c r="D18" s="139"/>
      <c r="E18" s="139"/>
      <c r="F18" s="139"/>
      <c r="G18" s="139"/>
      <c r="H18" s="140"/>
      <c r="I18" s="140"/>
      <c r="J18" s="140"/>
      <c r="K18" s="139"/>
      <c r="L18" s="139"/>
      <c r="M18" s="139"/>
      <c r="N18" s="139"/>
      <c r="O18" s="139"/>
      <c r="P18" s="139"/>
      <c r="Q18" s="139"/>
      <c r="R18" s="139"/>
      <c r="S18" s="139"/>
      <c r="T18" s="139"/>
      <c r="U18" s="139"/>
      <c r="V18" s="139"/>
      <c r="W18" s="139"/>
      <c r="X18" s="139"/>
      <c r="Y18" s="139"/>
      <c r="Z18" s="139"/>
      <c r="AA18" s="139"/>
      <c r="AB18" s="139"/>
      <c r="AC18" s="139"/>
      <c r="AD18" s="139"/>
    </row>
    <row r="19" customFormat="false" ht="14.4" hidden="false" customHeight="false" outlineLevel="0" collapsed="false">
      <c r="A19" s="147"/>
      <c r="B19" s="145" t="s">
        <v>222</v>
      </c>
      <c r="C19" s="153" t="n">
        <f aca="false">C17/C16</f>
        <v>0.166666666666667</v>
      </c>
      <c r="D19" s="139"/>
      <c r="E19" s="139"/>
      <c r="F19" s="139"/>
      <c r="G19" s="139"/>
      <c r="H19" s="139"/>
      <c r="I19" s="140"/>
      <c r="J19" s="140"/>
      <c r="K19" s="140"/>
      <c r="L19" s="139"/>
      <c r="M19" s="139"/>
      <c r="N19" s="139"/>
      <c r="O19" s="139"/>
      <c r="P19" s="139"/>
      <c r="Q19" s="139"/>
      <c r="R19" s="139"/>
      <c r="S19" s="139"/>
      <c r="T19" s="139"/>
      <c r="U19" s="139"/>
      <c r="V19" s="139"/>
      <c r="W19" s="139"/>
      <c r="X19" s="139"/>
      <c r="Y19" s="139"/>
      <c r="Z19" s="139"/>
      <c r="AA19" s="139"/>
      <c r="AB19" s="139"/>
      <c r="AC19" s="139"/>
      <c r="AD19" s="139"/>
    </row>
    <row r="20" customFormat="false" ht="14.4" hidden="false" customHeight="false" outlineLevel="0" collapsed="false">
      <c r="A20" s="147"/>
      <c r="B20" s="154" t="s">
        <v>223</v>
      </c>
      <c r="C20" s="155" t="n">
        <f aca="false">C17/C14</f>
        <v>0.5</v>
      </c>
      <c r="D20" s="139"/>
      <c r="E20" s="139"/>
      <c r="F20" s="139"/>
      <c r="G20" s="139"/>
      <c r="H20" s="139"/>
      <c r="I20" s="140"/>
      <c r="J20" s="140"/>
      <c r="K20" s="140"/>
      <c r="L20" s="139"/>
      <c r="M20" s="139"/>
      <c r="N20" s="139"/>
      <c r="O20" s="139"/>
      <c r="P20" s="139"/>
      <c r="Q20" s="139"/>
      <c r="R20" s="139"/>
      <c r="S20" s="139"/>
      <c r="T20" s="139"/>
      <c r="U20" s="139"/>
      <c r="V20" s="139"/>
      <c r="W20" s="139"/>
      <c r="X20" s="139"/>
      <c r="Y20" s="139"/>
      <c r="Z20" s="139"/>
      <c r="AA20" s="139"/>
      <c r="AB20" s="139"/>
      <c r="AC20" s="139"/>
      <c r="AD20" s="139"/>
    </row>
    <row r="21" customFormat="false" ht="17.4" hidden="false" customHeight="false" outlineLevel="0" collapsed="false">
      <c r="A21" s="144" t="s">
        <v>224</v>
      </c>
      <c r="B21" s="156" t="s">
        <v>225</v>
      </c>
      <c r="C21" s="157" t="n">
        <v>0.075</v>
      </c>
      <c r="D21" s="139"/>
      <c r="E21" s="139"/>
      <c r="F21" s="139"/>
      <c r="G21" s="139"/>
      <c r="H21" s="139"/>
      <c r="I21" s="140"/>
      <c r="J21" s="140"/>
      <c r="K21" s="140"/>
      <c r="L21" s="139"/>
      <c r="M21" s="139"/>
      <c r="N21" s="139"/>
      <c r="O21" s="139"/>
      <c r="P21" s="139"/>
      <c r="Q21" s="139"/>
      <c r="R21" s="139"/>
      <c r="S21" s="139"/>
      <c r="T21" s="139"/>
      <c r="U21" s="139"/>
      <c r="V21" s="139"/>
      <c r="W21" s="139"/>
      <c r="X21" s="139"/>
      <c r="Y21" s="139"/>
      <c r="Z21" s="139"/>
      <c r="AA21" s="139"/>
      <c r="AB21" s="139"/>
      <c r="AC21" s="139"/>
      <c r="AD21" s="139"/>
    </row>
    <row r="22" customFormat="false" ht="17.4" hidden="false" customHeight="false" outlineLevel="0" collapsed="false">
      <c r="A22" s="144" t="s">
        <v>226</v>
      </c>
      <c r="B22" s="158"/>
      <c r="C22" s="159"/>
      <c r="D22" s="139"/>
      <c r="E22" s="139"/>
      <c r="F22" s="139"/>
      <c r="G22" s="139"/>
      <c r="H22" s="139"/>
      <c r="I22" s="140"/>
      <c r="J22" s="140"/>
      <c r="K22" s="140"/>
      <c r="L22" s="139"/>
      <c r="M22" s="139"/>
      <c r="N22" s="139"/>
      <c r="O22" s="139"/>
      <c r="P22" s="139"/>
      <c r="Q22" s="139"/>
      <c r="R22" s="139"/>
      <c r="S22" s="139"/>
      <c r="T22" s="139"/>
      <c r="U22" s="139"/>
      <c r="V22" s="139"/>
      <c r="W22" s="139"/>
      <c r="X22" s="139"/>
      <c r="Y22" s="139"/>
      <c r="Z22" s="139"/>
      <c r="AA22" s="139"/>
      <c r="AB22" s="139"/>
      <c r="AC22" s="139"/>
      <c r="AD22" s="139"/>
    </row>
    <row r="23" customFormat="false" ht="17.4" hidden="false" customHeight="false" outlineLevel="0" collapsed="false">
      <c r="A23" s="160" t="s">
        <v>227</v>
      </c>
      <c r="B23" s="161" t="s">
        <v>228</v>
      </c>
      <c r="C23" s="162" t="n">
        <v>1.8</v>
      </c>
      <c r="D23" s="139"/>
      <c r="E23" s="139"/>
      <c r="F23" s="139"/>
      <c r="G23" s="139"/>
      <c r="H23" s="139"/>
      <c r="I23" s="140"/>
      <c r="J23" s="140"/>
      <c r="K23" s="140"/>
      <c r="L23" s="139"/>
      <c r="M23" s="139"/>
      <c r="N23" s="139"/>
      <c r="O23" s="139"/>
      <c r="P23" s="139"/>
      <c r="Q23" s="139"/>
      <c r="R23" s="139"/>
      <c r="S23" s="139"/>
      <c r="T23" s="139"/>
      <c r="U23" s="139"/>
      <c r="V23" s="139"/>
      <c r="W23" s="139"/>
      <c r="X23" s="139"/>
      <c r="Y23" s="139"/>
      <c r="Z23" s="139"/>
      <c r="AA23" s="139"/>
      <c r="AB23" s="139"/>
      <c r="AC23" s="139"/>
      <c r="AD23" s="139"/>
    </row>
    <row r="24" customFormat="false" ht="17.4" hidden="false" customHeight="false" outlineLevel="0" collapsed="false">
      <c r="A24" s="160"/>
      <c r="B24" s="161" t="s">
        <v>229</v>
      </c>
      <c r="C24" s="163" t="n">
        <f aca="false">((1/C23)-0.02616)/0.0086</f>
        <v>61.5576227390181</v>
      </c>
      <c r="D24" s="139"/>
      <c r="E24" s="139"/>
      <c r="F24" s="139"/>
      <c r="G24" s="139"/>
      <c r="H24" s="139"/>
      <c r="I24" s="140"/>
      <c r="J24" s="140"/>
      <c r="K24" s="140"/>
      <c r="L24" s="139"/>
      <c r="M24" s="139"/>
      <c r="N24" s="139"/>
      <c r="O24" s="139"/>
      <c r="P24" s="139"/>
      <c r="Q24" s="139"/>
      <c r="R24" s="139"/>
      <c r="S24" s="139"/>
      <c r="T24" s="139"/>
      <c r="U24" s="139"/>
      <c r="V24" s="139"/>
      <c r="W24" s="139"/>
      <c r="X24" s="139"/>
      <c r="Y24" s="139"/>
      <c r="Z24" s="139"/>
      <c r="AA24" s="139"/>
      <c r="AB24" s="139"/>
      <c r="AC24" s="139"/>
      <c r="AD24" s="139"/>
    </row>
    <row r="25" customFormat="false" ht="17.4" hidden="false" customHeight="false" outlineLevel="0" collapsed="false">
      <c r="A25" s="164" t="s">
        <v>230</v>
      </c>
      <c r="B25" s="145" t="s">
        <v>231</v>
      </c>
      <c r="C25" s="165" t="n">
        <v>300</v>
      </c>
      <c r="D25" s="139"/>
      <c r="E25" s="139"/>
      <c r="F25" s="139"/>
      <c r="G25" s="139"/>
      <c r="H25" s="139"/>
      <c r="I25" s="140"/>
      <c r="J25" s="140"/>
      <c r="K25" s="140"/>
      <c r="L25" s="139"/>
      <c r="M25" s="139"/>
      <c r="N25" s="139"/>
      <c r="O25" s="139"/>
      <c r="P25" s="139"/>
      <c r="Q25" s="139"/>
      <c r="R25" s="139"/>
      <c r="S25" s="139"/>
      <c r="T25" s="139"/>
      <c r="U25" s="139"/>
      <c r="V25" s="139"/>
      <c r="W25" s="139"/>
      <c r="X25" s="139"/>
      <c r="Y25" s="139"/>
      <c r="Z25" s="139"/>
      <c r="AA25" s="139"/>
      <c r="AB25" s="139"/>
      <c r="AC25" s="139"/>
      <c r="AD25" s="139"/>
    </row>
    <row r="26" customFormat="false" ht="17.4" hidden="false" customHeight="false" outlineLevel="0" collapsed="false">
      <c r="A26" s="160"/>
      <c r="B26" s="145" t="s">
        <v>232</v>
      </c>
      <c r="C26" s="166" t="n">
        <f aca="false">((1/C25)-0.0000138)/0.000045</f>
        <v>73.7674074074074</v>
      </c>
      <c r="D26" s="139"/>
      <c r="E26" s="139"/>
      <c r="F26" s="167"/>
      <c r="G26" s="139"/>
      <c r="H26" s="139"/>
      <c r="I26" s="140"/>
      <c r="J26" s="140"/>
      <c r="K26" s="140"/>
      <c r="L26" s="139"/>
      <c r="M26" s="139"/>
      <c r="N26" s="139"/>
      <c r="O26" s="139"/>
      <c r="P26" s="139"/>
      <c r="Q26" s="139"/>
      <c r="R26" s="139"/>
      <c r="S26" s="139"/>
      <c r="T26" s="139"/>
      <c r="U26" s="139"/>
      <c r="V26" s="139"/>
      <c r="W26" s="139"/>
      <c r="X26" s="139"/>
      <c r="Y26" s="139"/>
      <c r="Z26" s="139"/>
      <c r="AA26" s="139"/>
      <c r="AB26" s="139"/>
      <c r="AC26" s="139"/>
      <c r="AD26" s="139"/>
    </row>
    <row r="27" customFormat="false" ht="18" hidden="false" customHeight="false" outlineLevel="0" collapsed="false">
      <c r="A27" s="168" t="s">
        <v>233</v>
      </c>
      <c r="B27" s="154" t="s">
        <v>234</v>
      </c>
      <c r="C27" s="169" t="n">
        <v>2200000</v>
      </c>
      <c r="D27" s="139"/>
      <c r="E27" s="167"/>
      <c r="F27" s="139"/>
      <c r="G27" s="139"/>
      <c r="H27" s="139"/>
      <c r="I27" s="140"/>
      <c r="J27" s="140"/>
      <c r="K27" s="140"/>
      <c r="L27" s="139"/>
      <c r="M27" s="139"/>
      <c r="N27" s="139"/>
      <c r="O27" s="139"/>
      <c r="P27" s="139"/>
      <c r="Q27" s="139"/>
      <c r="R27" s="139"/>
      <c r="S27" s="139"/>
      <c r="T27" s="139"/>
      <c r="U27" s="139"/>
      <c r="V27" s="139"/>
      <c r="W27" s="139"/>
      <c r="X27" s="139"/>
      <c r="Y27" s="139"/>
      <c r="Z27" s="139"/>
      <c r="AA27" s="139"/>
      <c r="AB27" s="139"/>
      <c r="AC27" s="139"/>
      <c r="AD27" s="139"/>
    </row>
    <row r="28" customFormat="false" ht="21" hidden="false" customHeight="false" outlineLevel="0" collapsed="false">
      <c r="A28" s="170" t="s">
        <v>235</v>
      </c>
      <c r="B28" s="145" t="s">
        <v>49</v>
      </c>
      <c r="C28" s="171" t="n">
        <v>10000</v>
      </c>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customFormat="false" ht="18" hidden="false" customHeight="false" outlineLevel="0" collapsed="false">
      <c r="A29" s="164"/>
      <c r="B29" s="145" t="s">
        <v>236</v>
      </c>
      <c r="C29" s="172" t="n">
        <f aca="false">20/(2*C28*0.12)</f>
        <v>0.00833333333333333</v>
      </c>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row>
    <row r="30" customFormat="false" ht="18.6" hidden="false" customHeight="false" outlineLevel="0" collapsed="false">
      <c r="A30" s="164"/>
      <c r="B30" s="145" t="s">
        <v>237</v>
      </c>
      <c r="C30" s="173" t="n">
        <v>0.0082</v>
      </c>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row>
    <row r="31" customFormat="false" ht="18" hidden="false" customHeight="false" outlineLevel="0" collapsed="false">
      <c r="A31" s="141" t="s">
        <v>238</v>
      </c>
      <c r="B31" s="142" t="s">
        <v>239</v>
      </c>
      <c r="C31" s="174" t="n">
        <f aca="false">(C17/(C27*(0.3*C18)))*1000000</f>
        <v>0.841750841750842</v>
      </c>
      <c r="D31" s="139"/>
      <c r="E31" s="139"/>
      <c r="F31" s="139"/>
      <c r="G31" s="139"/>
      <c r="H31" s="139"/>
      <c r="I31" s="140"/>
      <c r="J31" s="140"/>
      <c r="K31" s="140"/>
      <c r="L31" s="139"/>
      <c r="M31" s="139"/>
      <c r="N31" s="139"/>
      <c r="O31" s="139"/>
      <c r="P31" s="139"/>
      <c r="Q31" s="139"/>
      <c r="R31" s="139"/>
      <c r="S31" s="139"/>
      <c r="T31" s="139"/>
      <c r="U31" s="139"/>
      <c r="V31" s="139"/>
      <c r="W31" s="139"/>
      <c r="X31" s="139"/>
      <c r="Y31" s="139"/>
      <c r="Z31" s="139"/>
      <c r="AA31" s="139"/>
      <c r="AB31" s="139"/>
      <c r="AC31" s="139"/>
      <c r="AD31" s="139"/>
    </row>
    <row r="32" customFormat="false" ht="15.6" hidden="false" customHeight="false" outlineLevel="0" collapsed="false">
      <c r="A32" s="147"/>
      <c r="B32" s="145" t="s">
        <v>240</v>
      </c>
      <c r="C32" s="175" t="n">
        <v>2.2</v>
      </c>
      <c r="D32" s="139"/>
      <c r="E32" s="139"/>
      <c r="F32" s="139"/>
      <c r="G32" s="139"/>
      <c r="H32" s="139"/>
      <c r="I32" s="140"/>
      <c r="J32" s="140"/>
      <c r="K32" s="140"/>
      <c r="L32" s="139"/>
      <c r="M32" s="139"/>
      <c r="N32" s="139"/>
      <c r="O32" s="139"/>
      <c r="P32" s="139"/>
      <c r="Q32" s="139"/>
      <c r="R32" s="139"/>
      <c r="S32" s="139"/>
      <c r="T32" s="139"/>
      <c r="U32" s="139"/>
      <c r="V32" s="139"/>
      <c r="W32" s="139"/>
      <c r="X32" s="139"/>
      <c r="Y32" s="139"/>
      <c r="Z32" s="139"/>
      <c r="AA32" s="139"/>
      <c r="AB32" s="139"/>
      <c r="AC32" s="139"/>
      <c r="AD32" s="139"/>
    </row>
    <row r="33" customFormat="false" ht="15" hidden="false" customHeight="false" outlineLevel="0" collapsed="false">
      <c r="A33" s="176"/>
      <c r="B33" s="177" t="s">
        <v>241</v>
      </c>
      <c r="C33" s="178" t="n">
        <v>0.0046</v>
      </c>
      <c r="D33" s="139"/>
      <c r="E33" s="139"/>
      <c r="F33" s="139"/>
      <c r="G33" s="139"/>
      <c r="H33" s="139"/>
      <c r="I33" s="140"/>
      <c r="J33" s="140"/>
      <c r="K33" s="140"/>
      <c r="L33" s="139"/>
      <c r="M33" s="139"/>
      <c r="N33" s="139"/>
      <c r="O33" s="139"/>
      <c r="P33" s="139"/>
      <c r="Q33" s="139"/>
      <c r="R33" s="139"/>
      <c r="S33" s="139"/>
      <c r="T33" s="139"/>
      <c r="U33" s="139"/>
      <c r="V33" s="139"/>
      <c r="W33" s="139"/>
      <c r="X33" s="139"/>
      <c r="Y33" s="139"/>
      <c r="Z33" s="139"/>
      <c r="AA33" s="139"/>
      <c r="AB33" s="139"/>
      <c r="AC33" s="139"/>
      <c r="AD33" s="139"/>
    </row>
    <row r="34" customFormat="false" ht="15" hidden="false" customHeight="false" outlineLevel="0" collapsed="false">
      <c r="A34" s="127"/>
      <c r="B34" s="179"/>
      <c r="C34" s="127"/>
      <c r="D34" s="139"/>
      <c r="E34" s="139"/>
      <c r="F34" s="139"/>
      <c r="G34" s="139"/>
      <c r="H34" s="139"/>
      <c r="I34" s="140"/>
      <c r="J34" s="140"/>
      <c r="K34" s="140"/>
      <c r="L34" s="139"/>
      <c r="M34" s="139"/>
      <c r="N34" s="139"/>
      <c r="O34" s="139"/>
      <c r="P34" s="139"/>
      <c r="Q34" s="139"/>
      <c r="R34" s="139"/>
      <c r="S34" s="139"/>
      <c r="T34" s="139"/>
      <c r="U34" s="139"/>
      <c r="V34" s="139"/>
      <c r="W34" s="139"/>
      <c r="X34" s="139"/>
      <c r="Y34" s="139"/>
      <c r="Z34" s="139"/>
      <c r="AA34" s="139"/>
      <c r="AB34" s="139"/>
      <c r="AC34" s="139"/>
      <c r="AD34" s="139"/>
    </row>
    <row r="35" customFormat="false" ht="17.4" hidden="false" customHeight="false" outlineLevel="0" collapsed="false">
      <c r="A35" s="141" t="s">
        <v>242</v>
      </c>
      <c r="B35" s="142" t="s">
        <v>243</v>
      </c>
      <c r="C35" s="180" t="n">
        <v>0.2</v>
      </c>
      <c r="D35" s="139"/>
      <c r="E35" s="139"/>
      <c r="F35" s="139"/>
      <c r="G35" s="139"/>
      <c r="H35" s="139"/>
      <c r="I35" s="140"/>
      <c r="J35" s="140"/>
      <c r="K35" s="140"/>
      <c r="L35" s="139"/>
      <c r="M35" s="139"/>
      <c r="N35" s="139"/>
      <c r="O35" s="139"/>
      <c r="P35" s="139"/>
      <c r="Q35" s="139"/>
      <c r="R35" s="139"/>
      <c r="S35" s="139"/>
      <c r="T35" s="139"/>
      <c r="U35" s="139"/>
      <c r="V35" s="139"/>
      <c r="W35" s="139"/>
      <c r="X35" s="139"/>
      <c r="Y35" s="139"/>
      <c r="Z35" s="139"/>
      <c r="AA35" s="139"/>
      <c r="AB35" s="139"/>
      <c r="AC35" s="139"/>
      <c r="AD35" s="139"/>
    </row>
    <row r="36" customFormat="false" ht="14.4" hidden="false" customHeight="false" outlineLevel="0" collapsed="false">
      <c r="A36" s="147"/>
      <c r="B36" s="145" t="s">
        <v>244</v>
      </c>
      <c r="C36" s="181" t="n">
        <f aca="false">(1+C35)*C18</f>
        <v>10.8</v>
      </c>
      <c r="D36" s="139"/>
      <c r="E36" s="139"/>
      <c r="F36" s="139"/>
      <c r="G36" s="139"/>
      <c r="H36" s="139"/>
      <c r="I36" s="140"/>
      <c r="J36" s="140"/>
      <c r="K36" s="140"/>
      <c r="L36" s="139"/>
      <c r="M36" s="139"/>
      <c r="N36" s="139"/>
      <c r="O36" s="139"/>
      <c r="P36" s="139"/>
      <c r="Q36" s="139"/>
      <c r="R36" s="139"/>
      <c r="S36" s="139"/>
      <c r="T36" s="139"/>
      <c r="U36" s="139"/>
      <c r="V36" s="139"/>
      <c r="W36" s="139"/>
      <c r="X36" s="139"/>
      <c r="Y36" s="139"/>
      <c r="Z36" s="139"/>
      <c r="AA36" s="139"/>
      <c r="AB36" s="139"/>
      <c r="AC36" s="139"/>
      <c r="AD36" s="139"/>
    </row>
    <row r="37" customFormat="false" ht="14.4" hidden="false" customHeight="false" outlineLevel="0" collapsed="false">
      <c r="A37" s="147"/>
      <c r="B37" s="145" t="s">
        <v>245</v>
      </c>
      <c r="C37" s="155" t="n">
        <f aca="false">((C16-C17)/(C32*0.000001))*(C19/C27)</f>
        <v>0.860881542699724</v>
      </c>
      <c r="D37" s="139"/>
      <c r="E37" s="139"/>
      <c r="F37" s="139"/>
      <c r="G37" s="139"/>
      <c r="H37" s="139"/>
      <c r="I37" s="140"/>
      <c r="J37" s="140"/>
      <c r="K37" s="140"/>
      <c r="L37" s="139"/>
      <c r="M37" s="139"/>
      <c r="N37" s="139"/>
      <c r="O37" s="139"/>
      <c r="P37" s="139"/>
      <c r="Q37" s="139"/>
      <c r="R37" s="139"/>
      <c r="S37" s="139"/>
      <c r="T37" s="139"/>
      <c r="U37" s="139"/>
      <c r="V37" s="139"/>
      <c r="W37" s="139"/>
      <c r="X37" s="139"/>
      <c r="Y37" s="139"/>
      <c r="Z37" s="139"/>
      <c r="AA37" s="139"/>
      <c r="AB37" s="139"/>
      <c r="AC37" s="139"/>
      <c r="AD37" s="139"/>
    </row>
    <row r="38" customFormat="false" ht="14.4" hidden="false" customHeight="false" outlineLevel="0" collapsed="false">
      <c r="A38" s="147"/>
      <c r="B38" s="145" t="s">
        <v>246</v>
      </c>
      <c r="C38" s="155" t="n">
        <f aca="false">C18+(C37/2)</f>
        <v>9.43044077134986</v>
      </c>
      <c r="D38" s="139"/>
      <c r="E38" s="139"/>
      <c r="F38" s="139"/>
      <c r="G38" s="139"/>
      <c r="H38" s="139"/>
      <c r="I38" s="140"/>
      <c r="J38" s="140"/>
      <c r="K38" s="140"/>
      <c r="L38" s="139"/>
      <c r="M38" s="139"/>
      <c r="N38" s="139"/>
      <c r="O38" s="139"/>
      <c r="P38" s="139"/>
      <c r="Q38" s="139"/>
      <c r="R38" s="139"/>
      <c r="S38" s="139"/>
      <c r="T38" s="139"/>
      <c r="U38" s="139"/>
      <c r="V38" s="139"/>
      <c r="W38" s="139"/>
      <c r="X38" s="139"/>
      <c r="Y38" s="139"/>
      <c r="Z38" s="139"/>
      <c r="AA38" s="139"/>
      <c r="AB38" s="139"/>
      <c r="AC38" s="139"/>
      <c r="AD38" s="139"/>
    </row>
    <row r="39" customFormat="false" ht="15.6" hidden="false" customHeight="false" outlineLevel="0" collapsed="false">
      <c r="A39" s="147"/>
      <c r="B39" s="145" t="s">
        <v>247</v>
      </c>
      <c r="C39" s="182" t="n">
        <f aca="false">C21/(C38*1.2)</f>
        <v>0.00662747389176952</v>
      </c>
      <c r="D39" s="139"/>
      <c r="E39" s="139"/>
      <c r="F39" s="139"/>
      <c r="G39" s="139"/>
      <c r="H39" s="139"/>
      <c r="I39" s="140"/>
      <c r="J39" s="140"/>
      <c r="K39" s="140"/>
      <c r="L39" s="139"/>
      <c r="M39" s="139"/>
      <c r="N39" s="139"/>
      <c r="O39" s="139"/>
      <c r="P39" s="139"/>
      <c r="Q39" s="139"/>
      <c r="R39" s="139"/>
      <c r="S39" s="139"/>
      <c r="T39" s="139"/>
      <c r="U39" s="139"/>
      <c r="V39" s="139"/>
      <c r="W39" s="139"/>
      <c r="X39" s="139"/>
      <c r="Y39" s="139"/>
      <c r="Z39" s="139"/>
      <c r="AA39" s="139"/>
      <c r="AB39" s="139"/>
      <c r="AC39" s="139"/>
      <c r="AD39" s="139"/>
    </row>
    <row r="40" customFormat="false" ht="14.4" hidden="false" customHeight="false" outlineLevel="0" collapsed="false">
      <c r="A40" s="147"/>
      <c r="B40" s="145" t="s">
        <v>248</v>
      </c>
      <c r="C40" s="183" t="n">
        <v>0.009</v>
      </c>
      <c r="D40" s="139"/>
      <c r="E40" s="139"/>
      <c r="F40" s="139"/>
      <c r="G40" s="139"/>
      <c r="H40" s="139"/>
      <c r="I40" s="140"/>
      <c r="J40" s="140"/>
      <c r="K40" s="140"/>
      <c r="L40" s="139"/>
      <c r="M40" s="139"/>
      <c r="N40" s="139"/>
      <c r="O40" s="139"/>
      <c r="P40" s="139"/>
      <c r="Q40" s="139"/>
      <c r="R40" s="139"/>
      <c r="S40" s="139"/>
      <c r="T40" s="139"/>
      <c r="U40" s="139"/>
      <c r="V40" s="139"/>
      <c r="W40" s="139"/>
      <c r="X40" s="139"/>
      <c r="Y40" s="139"/>
      <c r="Z40" s="139"/>
      <c r="AA40" s="139"/>
      <c r="AB40" s="139"/>
      <c r="AC40" s="139"/>
      <c r="AD40" s="139"/>
    </row>
    <row r="41" customFormat="false" ht="15" hidden="false" customHeight="false" outlineLevel="0" collapsed="false">
      <c r="A41" s="176"/>
      <c r="B41" s="177" t="s">
        <v>249</v>
      </c>
      <c r="C41" s="184" t="n">
        <f aca="false">(C21/C40)+(C16*0.00000004)/(C32*0.000001)</f>
        <v>8.87878787878788</v>
      </c>
      <c r="D41" s="139"/>
      <c r="E41" s="185"/>
      <c r="F41" s="139"/>
      <c r="G41" s="139"/>
      <c r="H41" s="139"/>
      <c r="I41" s="140"/>
      <c r="J41" s="140"/>
      <c r="K41" s="140"/>
      <c r="L41" s="139"/>
      <c r="M41" s="139"/>
      <c r="N41" s="139"/>
      <c r="O41" s="139"/>
      <c r="P41" s="139"/>
      <c r="Q41" s="139"/>
      <c r="R41" s="139"/>
      <c r="S41" s="139"/>
      <c r="T41" s="139"/>
      <c r="U41" s="139"/>
      <c r="V41" s="139"/>
      <c r="W41" s="139"/>
      <c r="X41" s="139"/>
      <c r="Y41" s="139"/>
      <c r="Z41" s="139"/>
      <c r="AA41" s="139"/>
      <c r="AB41" s="139"/>
      <c r="AC41" s="139"/>
      <c r="AD41" s="139"/>
    </row>
    <row r="42" customFormat="false" ht="14.4" hidden="false" customHeight="false" outlineLevel="0" collapsed="false">
      <c r="A42" s="127"/>
      <c r="B42" s="127"/>
      <c r="C42" s="127"/>
      <c r="D42" s="139"/>
      <c r="E42" s="139"/>
      <c r="F42" s="139"/>
      <c r="G42" s="139"/>
      <c r="H42" s="139"/>
      <c r="I42" s="140"/>
      <c r="J42" s="140"/>
      <c r="K42" s="140"/>
      <c r="L42" s="139"/>
      <c r="M42" s="139"/>
      <c r="N42" s="139"/>
      <c r="O42" s="139"/>
      <c r="P42" s="139"/>
      <c r="Q42" s="139"/>
      <c r="R42" s="139"/>
      <c r="S42" s="139"/>
      <c r="T42" s="139"/>
      <c r="U42" s="139"/>
      <c r="V42" s="139"/>
      <c r="W42" s="139"/>
      <c r="X42" s="139"/>
      <c r="Y42" s="139"/>
      <c r="Z42" s="139"/>
      <c r="AA42" s="139"/>
      <c r="AB42" s="139"/>
      <c r="AC42" s="139"/>
      <c r="AD42" s="139"/>
    </row>
    <row r="43" customFormat="false" ht="14.4" hidden="false" customHeight="false" outlineLevel="0" collapsed="false">
      <c r="A43" s="127"/>
      <c r="B43" s="127"/>
      <c r="C43" s="127"/>
      <c r="D43" s="139"/>
      <c r="E43" s="139"/>
      <c r="F43" s="139"/>
      <c r="G43" s="139"/>
      <c r="H43" s="139"/>
      <c r="I43" s="140"/>
      <c r="J43" s="140"/>
      <c r="K43" s="140"/>
      <c r="L43" s="139"/>
      <c r="M43" s="139"/>
      <c r="N43" s="139"/>
      <c r="O43" s="139"/>
      <c r="P43" s="139"/>
      <c r="Q43" s="139"/>
      <c r="R43" s="139"/>
      <c r="S43" s="139"/>
      <c r="T43" s="139"/>
      <c r="U43" s="139"/>
      <c r="V43" s="139"/>
      <c r="W43" s="139"/>
      <c r="X43" s="139"/>
      <c r="Y43" s="139"/>
      <c r="Z43" s="139"/>
      <c r="AA43" s="139"/>
      <c r="AB43" s="139"/>
      <c r="AC43" s="139"/>
      <c r="AD43" s="139"/>
    </row>
    <row r="44" customFormat="false" ht="15" hidden="false" customHeight="false" outlineLevel="0" collapsed="false">
      <c r="A44" s="127"/>
      <c r="B44" s="127"/>
      <c r="C44" s="127"/>
      <c r="D44" s="139"/>
      <c r="E44" s="139"/>
      <c r="F44" s="139"/>
      <c r="G44" s="139"/>
      <c r="H44" s="139"/>
      <c r="I44" s="140"/>
      <c r="J44" s="140"/>
      <c r="K44" s="140"/>
      <c r="L44" s="139"/>
      <c r="M44" s="139"/>
      <c r="N44" s="139"/>
      <c r="O44" s="139"/>
      <c r="P44" s="139"/>
      <c r="Q44" s="139"/>
      <c r="R44" s="139"/>
      <c r="S44" s="139"/>
      <c r="T44" s="139"/>
      <c r="U44" s="139"/>
      <c r="V44" s="139"/>
      <c r="W44" s="139"/>
      <c r="X44" s="139"/>
      <c r="Y44" s="139"/>
      <c r="Z44" s="139"/>
      <c r="AA44" s="139"/>
      <c r="AB44" s="139"/>
      <c r="AC44" s="139"/>
      <c r="AD44" s="139"/>
    </row>
    <row r="45" customFormat="false" ht="17.4" hidden="false" customHeight="false" outlineLevel="0" collapsed="false">
      <c r="A45" s="141" t="s">
        <v>250</v>
      </c>
      <c r="B45" s="186" t="s">
        <v>251</v>
      </c>
      <c r="C45" s="187" t="n">
        <v>5</v>
      </c>
      <c r="D45" s="139"/>
      <c r="E45" s="139"/>
      <c r="F45" s="139"/>
      <c r="G45" s="139"/>
      <c r="H45" s="139"/>
      <c r="I45" s="140"/>
      <c r="J45" s="140"/>
      <c r="K45" s="140"/>
      <c r="L45" s="139"/>
      <c r="M45" s="139"/>
      <c r="N45" s="139"/>
      <c r="O45" s="139"/>
      <c r="P45" s="139"/>
      <c r="Q45" s="139"/>
      <c r="R45" s="139"/>
      <c r="S45" s="139"/>
      <c r="T45" s="139"/>
      <c r="U45" s="139"/>
      <c r="V45" s="139"/>
      <c r="W45" s="139"/>
      <c r="X45" s="139"/>
      <c r="Y45" s="139"/>
      <c r="Z45" s="139"/>
      <c r="AA45" s="139"/>
      <c r="AB45" s="139"/>
      <c r="AC45" s="139"/>
      <c r="AD45" s="139"/>
    </row>
    <row r="46" customFormat="false" ht="15.6" hidden="false" customHeight="false" outlineLevel="0" collapsed="false">
      <c r="A46" s="147"/>
      <c r="B46" s="145" t="s">
        <v>252</v>
      </c>
      <c r="C46" s="188" t="n">
        <f aca="false">(((C32*0.000001)*C45^2)/(2*(C17*0.01)*C19*(C16-C17)))*1000000</f>
        <v>132</v>
      </c>
      <c r="D46" s="139"/>
      <c r="E46" s="139"/>
      <c r="F46" s="139"/>
      <c r="G46" s="139"/>
      <c r="H46" s="139"/>
      <c r="I46" s="140"/>
      <c r="J46" s="140"/>
      <c r="K46" s="140"/>
      <c r="L46" s="139"/>
      <c r="M46" s="139"/>
      <c r="N46" s="139"/>
      <c r="O46" s="139"/>
      <c r="P46" s="139"/>
      <c r="Q46" s="139"/>
      <c r="R46" s="139"/>
      <c r="S46" s="139"/>
      <c r="T46" s="139"/>
      <c r="U46" s="139"/>
      <c r="V46" s="139"/>
      <c r="W46" s="139"/>
      <c r="X46" s="139"/>
      <c r="Y46" s="139"/>
      <c r="Z46" s="139"/>
      <c r="AA46" s="139"/>
      <c r="AB46" s="139"/>
      <c r="AC46" s="139"/>
      <c r="AD46" s="139"/>
    </row>
    <row r="47" customFormat="false" ht="15.6" hidden="false" customHeight="false" outlineLevel="0" collapsed="false">
      <c r="A47" s="147"/>
      <c r="B47" s="145" t="s">
        <v>253</v>
      </c>
      <c r="C47" s="189" t="n">
        <v>3200</v>
      </c>
      <c r="D47" s="139"/>
      <c r="E47" s="139"/>
      <c r="F47" s="139"/>
      <c r="G47" s="139"/>
      <c r="H47" s="139"/>
      <c r="I47" s="140"/>
      <c r="J47" s="140"/>
      <c r="K47" s="140"/>
      <c r="L47" s="139"/>
      <c r="M47" s="139"/>
      <c r="N47" s="139"/>
      <c r="O47" s="139"/>
      <c r="P47" s="139"/>
      <c r="Q47" s="139"/>
      <c r="R47" s="139"/>
      <c r="S47" s="139"/>
      <c r="T47" s="139"/>
      <c r="U47" s="139"/>
      <c r="V47" s="139"/>
      <c r="W47" s="139"/>
      <c r="X47" s="139"/>
      <c r="Y47" s="139"/>
      <c r="Z47" s="139"/>
      <c r="AA47" s="139"/>
      <c r="AB47" s="139"/>
      <c r="AC47" s="139"/>
      <c r="AD47" s="139"/>
    </row>
    <row r="48" customFormat="false" ht="15.6" hidden="false" customHeight="false" outlineLevel="0" collapsed="false">
      <c r="A48" s="147"/>
      <c r="B48" s="145" t="s">
        <v>254</v>
      </c>
      <c r="C48" s="189" t="n">
        <v>47</v>
      </c>
      <c r="D48" s="139"/>
      <c r="E48" s="139"/>
      <c r="F48" s="139"/>
      <c r="G48" s="139"/>
      <c r="H48" s="139"/>
      <c r="I48" s="140"/>
      <c r="J48" s="140"/>
      <c r="K48" s="140"/>
      <c r="L48" s="139"/>
      <c r="M48" s="139"/>
      <c r="N48" s="139"/>
      <c r="O48" s="139"/>
      <c r="P48" s="139"/>
      <c r="Q48" s="139"/>
      <c r="R48" s="139"/>
      <c r="S48" s="139"/>
      <c r="T48" s="139"/>
      <c r="U48" s="139"/>
      <c r="V48" s="139"/>
      <c r="W48" s="139"/>
      <c r="X48" s="139"/>
      <c r="Y48" s="139"/>
      <c r="Z48" s="139"/>
      <c r="AA48" s="139"/>
      <c r="AB48" s="139"/>
      <c r="AC48" s="139"/>
      <c r="AD48" s="139"/>
    </row>
    <row r="49" customFormat="false" ht="14.4" hidden="false" customHeight="false" outlineLevel="0" collapsed="false">
      <c r="A49" s="147"/>
      <c r="B49" s="145" t="s">
        <v>255</v>
      </c>
      <c r="C49" s="190" t="n">
        <v>0.03</v>
      </c>
      <c r="D49" s="139"/>
      <c r="E49" s="139"/>
      <c r="F49" s="139"/>
      <c r="G49" s="139"/>
      <c r="H49" s="139"/>
      <c r="I49" s="140"/>
      <c r="J49" s="140"/>
      <c r="K49" s="140"/>
      <c r="L49" s="139"/>
      <c r="M49" s="139"/>
      <c r="N49" s="139"/>
      <c r="O49" s="139"/>
      <c r="P49" s="139"/>
      <c r="Q49" s="139"/>
      <c r="R49" s="139"/>
      <c r="S49" s="139"/>
      <c r="T49" s="139"/>
      <c r="U49" s="139"/>
      <c r="V49" s="139"/>
      <c r="W49" s="139"/>
      <c r="X49" s="139"/>
      <c r="Y49" s="139"/>
      <c r="Z49" s="139"/>
      <c r="AA49" s="139"/>
      <c r="AB49" s="139"/>
      <c r="AC49" s="139"/>
      <c r="AD49" s="139"/>
    </row>
    <row r="50" customFormat="false" ht="15.6" hidden="false" customHeight="false" outlineLevel="0" collapsed="false">
      <c r="A50" s="147"/>
      <c r="B50" s="191" t="s">
        <v>256</v>
      </c>
      <c r="C50" s="192" t="n">
        <f aca="false">C47+C48</f>
        <v>3247</v>
      </c>
      <c r="D50" s="139"/>
      <c r="E50" s="139"/>
      <c r="F50" s="139"/>
      <c r="G50" s="140"/>
      <c r="H50" s="140"/>
      <c r="I50" s="140"/>
      <c r="J50" s="139"/>
      <c r="K50" s="139"/>
      <c r="L50" s="139"/>
      <c r="M50" s="139"/>
      <c r="N50" s="139"/>
      <c r="O50" s="139"/>
      <c r="P50" s="139"/>
      <c r="Q50" s="139"/>
      <c r="R50" s="139"/>
      <c r="S50" s="139"/>
      <c r="T50" s="139"/>
      <c r="U50" s="139"/>
      <c r="V50" s="139"/>
      <c r="W50" s="139"/>
      <c r="X50" s="139"/>
      <c r="Y50" s="139"/>
      <c r="Z50" s="139"/>
      <c r="AA50" s="139"/>
      <c r="AB50" s="139"/>
      <c r="AC50" s="139"/>
      <c r="AD50" s="139"/>
    </row>
    <row r="51" customFormat="false" ht="15" hidden="false" customHeight="false" outlineLevel="0" collapsed="false">
      <c r="A51" s="176"/>
      <c r="B51" s="177" t="s">
        <v>257</v>
      </c>
      <c r="C51" s="193" t="n">
        <f aca="false">C37*SQRT(C49^2+((1/(8*C27*C46))^2))</f>
        <v>0.0258264462809917</v>
      </c>
      <c r="D51" s="139"/>
      <c r="E51" s="139"/>
      <c r="F51" s="139"/>
      <c r="G51" s="139"/>
      <c r="H51" s="139"/>
      <c r="I51" s="140"/>
      <c r="J51" s="140"/>
      <c r="K51" s="140"/>
      <c r="L51" s="139"/>
      <c r="M51" s="139"/>
      <c r="N51" s="139"/>
      <c r="O51" s="139"/>
      <c r="P51" s="139"/>
      <c r="Q51" s="139"/>
      <c r="R51" s="139"/>
      <c r="S51" s="139"/>
      <c r="T51" s="139"/>
      <c r="U51" s="139"/>
      <c r="V51" s="139"/>
      <c r="W51" s="139"/>
      <c r="X51" s="139"/>
      <c r="Y51" s="139"/>
      <c r="Z51" s="139"/>
      <c r="AA51" s="139"/>
      <c r="AB51" s="139"/>
      <c r="AC51" s="139"/>
      <c r="AD51" s="139"/>
    </row>
    <row r="52" customFormat="false" ht="14.4" hidden="false" customHeight="false" outlineLevel="0" collapsed="false">
      <c r="A52" s="127"/>
      <c r="B52" s="127"/>
      <c r="C52" s="194"/>
      <c r="D52" s="139"/>
      <c r="E52" s="139"/>
      <c r="F52" s="139"/>
      <c r="G52" s="139"/>
      <c r="H52" s="139"/>
      <c r="I52" s="140"/>
      <c r="J52" s="140"/>
      <c r="K52" s="140"/>
      <c r="L52" s="139"/>
      <c r="M52" s="139"/>
      <c r="N52" s="139"/>
      <c r="O52" s="139"/>
      <c r="P52" s="139"/>
      <c r="Q52" s="139"/>
      <c r="R52" s="139"/>
      <c r="S52" s="139"/>
      <c r="T52" s="139"/>
      <c r="U52" s="139"/>
      <c r="V52" s="139"/>
      <c r="W52" s="139"/>
      <c r="X52" s="139"/>
      <c r="Y52" s="139"/>
      <c r="Z52" s="139"/>
      <c r="AA52" s="139"/>
      <c r="AB52" s="139"/>
      <c r="AC52" s="139"/>
      <c r="AD52" s="139"/>
    </row>
    <row r="53" customFormat="false" ht="15" hidden="false" customHeight="false" outlineLevel="0" collapsed="false">
      <c r="A53" s="127"/>
      <c r="B53" s="127"/>
      <c r="C53" s="194"/>
      <c r="D53" s="139"/>
      <c r="E53" s="139"/>
      <c r="F53" s="139"/>
      <c r="G53" s="139"/>
      <c r="H53" s="139"/>
      <c r="I53" s="140"/>
      <c r="J53" s="140"/>
      <c r="K53" s="140"/>
      <c r="L53" s="139"/>
      <c r="M53" s="139"/>
      <c r="N53" s="139"/>
      <c r="O53" s="139"/>
      <c r="P53" s="139"/>
      <c r="Q53" s="139"/>
      <c r="R53" s="139"/>
      <c r="S53" s="139"/>
      <c r="T53" s="139"/>
      <c r="U53" s="139"/>
      <c r="V53" s="139"/>
      <c r="W53" s="139"/>
      <c r="X53" s="139"/>
      <c r="Y53" s="139"/>
      <c r="Z53" s="139"/>
      <c r="AA53" s="139"/>
      <c r="AB53" s="139"/>
      <c r="AC53" s="139"/>
      <c r="AD53" s="139"/>
    </row>
    <row r="54" customFormat="false" ht="17.4" hidden="false" customHeight="false" outlineLevel="0" collapsed="false">
      <c r="A54" s="141" t="s">
        <v>258</v>
      </c>
      <c r="B54" s="142" t="s">
        <v>259</v>
      </c>
      <c r="C54" s="195" t="n">
        <f aca="false">C18*SQRT(C20-C20^2)</f>
        <v>4.5</v>
      </c>
      <c r="D54" s="139"/>
      <c r="E54" s="139"/>
      <c r="F54" s="139"/>
      <c r="G54" s="139"/>
      <c r="H54" s="139"/>
      <c r="I54" s="140"/>
      <c r="J54" s="140"/>
      <c r="K54" s="140"/>
      <c r="L54" s="139"/>
      <c r="M54" s="139"/>
      <c r="N54" s="139"/>
      <c r="O54" s="139"/>
      <c r="P54" s="139"/>
      <c r="Q54" s="139"/>
      <c r="R54" s="139"/>
      <c r="S54" s="139"/>
      <c r="T54" s="139"/>
      <c r="U54" s="139"/>
      <c r="V54" s="139"/>
      <c r="W54" s="139"/>
      <c r="X54" s="139"/>
      <c r="Y54" s="139"/>
      <c r="Z54" s="139"/>
      <c r="AA54" s="139"/>
      <c r="AB54" s="139"/>
      <c r="AC54" s="139"/>
      <c r="AD54" s="139"/>
    </row>
    <row r="55" customFormat="false" ht="15.6" hidden="false" customHeight="false" outlineLevel="0" collapsed="false">
      <c r="A55" s="196" t="s">
        <v>260</v>
      </c>
      <c r="B55" s="145" t="s">
        <v>261</v>
      </c>
      <c r="C55" s="197" t="n">
        <v>22</v>
      </c>
      <c r="D55" s="139"/>
      <c r="E55" s="139"/>
      <c r="F55" s="139"/>
      <c r="G55" s="139"/>
      <c r="H55" s="139"/>
      <c r="I55" s="140"/>
      <c r="J55" s="140"/>
      <c r="K55" s="140"/>
      <c r="L55" s="139"/>
      <c r="M55" s="139"/>
      <c r="N55" s="139"/>
      <c r="O55" s="139"/>
      <c r="P55" s="139"/>
      <c r="Q55" s="139"/>
      <c r="R55" s="139"/>
      <c r="S55" s="139"/>
      <c r="T55" s="139"/>
      <c r="U55" s="139"/>
      <c r="V55" s="139"/>
      <c r="W55" s="139"/>
      <c r="X55" s="139"/>
      <c r="Y55" s="139"/>
      <c r="Z55" s="139"/>
      <c r="AA55" s="139"/>
      <c r="AB55" s="139"/>
      <c r="AC55" s="139"/>
      <c r="AD55" s="139"/>
    </row>
    <row r="56" customFormat="false" ht="15" hidden="false" customHeight="false" outlineLevel="0" collapsed="false">
      <c r="A56" s="198"/>
      <c r="B56" s="177" t="s">
        <v>262</v>
      </c>
      <c r="C56" s="199" t="n">
        <f aca="false">IOUT/(4*C27*C55*10^-6)</f>
        <v>0.0258264462809917</v>
      </c>
      <c r="D56" s="139"/>
      <c r="E56" s="139"/>
      <c r="F56" s="139"/>
      <c r="G56" s="139"/>
      <c r="H56" s="139"/>
      <c r="I56" s="140"/>
      <c r="J56" s="140"/>
      <c r="K56" s="140"/>
      <c r="L56" s="139"/>
      <c r="M56" s="139"/>
      <c r="N56" s="139"/>
      <c r="O56" s="139"/>
      <c r="P56" s="139"/>
      <c r="Q56" s="139"/>
      <c r="R56" s="139"/>
      <c r="S56" s="139"/>
      <c r="T56" s="139"/>
      <c r="U56" s="139"/>
      <c r="V56" s="139"/>
      <c r="W56" s="139"/>
      <c r="X56" s="139"/>
      <c r="Y56" s="139"/>
      <c r="Z56" s="139"/>
      <c r="AA56" s="139"/>
      <c r="AB56" s="139"/>
      <c r="AC56" s="139"/>
      <c r="AD56" s="139"/>
    </row>
    <row r="57" customFormat="false" ht="14.4" hidden="false" customHeight="false" outlineLevel="0" collapsed="false">
      <c r="A57" s="179"/>
      <c r="B57" s="161"/>
      <c r="C57" s="200"/>
      <c r="D57" s="139"/>
      <c r="E57" s="139"/>
      <c r="F57" s="139"/>
      <c r="G57" s="139"/>
      <c r="H57" s="139"/>
      <c r="I57" s="140"/>
      <c r="J57" s="140"/>
      <c r="K57" s="140"/>
      <c r="L57" s="139"/>
      <c r="M57" s="139"/>
      <c r="N57" s="139"/>
      <c r="O57" s="139"/>
      <c r="P57" s="139"/>
      <c r="Q57" s="139"/>
      <c r="R57" s="139"/>
      <c r="S57" s="139"/>
      <c r="T57" s="139"/>
      <c r="U57" s="139"/>
      <c r="V57" s="139"/>
      <c r="W57" s="139"/>
      <c r="X57" s="139"/>
      <c r="Y57" s="139"/>
      <c r="Z57" s="139"/>
      <c r="AA57" s="139"/>
      <c r="AB57" s="139"/>
      <c r="AC57" s="139"/>
      <c r="AD57" s="139"/>
    </row>
    <row r="58" customFormat="false" ht="15" hidden="false" customHeight="false" outlineLevel="0" collapsed="false">
      <c r="A58" s="179"/>
      <c r="B58" s="161"/>
      <c r="C58" s="200"/>
      <c r="D58" s="139"/>
      <c r="E58" s="139"/>
      <c r="F58" s="139"/>
      <c r="G58" s="139"/>
      <c r="H58" s="139"/>
      <c r="I58" s="140"/>
      <c r="J58" s="140"/>
      <c r="K58" s="140"/>
      <c r="L58" s="139"/>
      <c r="M58" s="139"/>
      <c r="N58" s="139"/>
      <c r="O58" s="139"/>
      <c r="P58" s="139"/>
      <c r="Q58" s="139"/>
      <c r="R58" s="139"/>
      <c r="S58" s="139"/>
      <c r="T58" s="139"/>
      <c r="U58" s="139"/>
      <c r="V58" s="139"/>
      <c r="W58" s="139"/>
      <c r="X58" s="139"/>
      <c r="Y58" s="139"/>
      <c r="Z58" s="139"/>
      <c r="AA58" s="139"/>
      <c r="AB58" s="139"/>
      <c r="AC58" s="139"/>
      <c r="AD58" s="139"/>
    </row>
    <row r="59" customFormat="false" ht="17.4" hidden="false" customHeight="false" outlineLevel="0" collapsed="false">
      <c r="A59" s="141" t="s">
        <v>263</v>
      </c>
      <c r="B59" s="142"/>
      <c r="C59" s="201"/>
      <c r="D59" s="139"/>
      <c r="E59" s="139"/>
      <c r="F59" s="139"/>
      <c r="G59" s="139"/>
      <c r="H59" s="139"/>
      <c r="I59" s="140"/>
      <c r="J59" s="140"/>
      <c r="K59" s="140"/>
      <c r="L59" s="139"/>
      <c r="M59" s="139"/>
      <c r="N59" s="139"/>
      <c r="O59" s="139"/>
      <c r="P59" s="139"/>
      <c r="Q59" s="139"/>
      <c r="R59" s="139"/>
      <c r="S59" s="139"/>
      <c r="T59" s="139"/>
      <c r="U59" s="139"/>
      <c r="V59" s="139"/>
      <c r="W59" s="139"/>
      <c r="X59" s="139"/>
      <c r="Y59" s="139"/>
      <c r="Z59" s="139"/>
      <c r="AA59" s="139"/>
      <c r="AB59" s="139"/>
      <c r="AC59" s="139"/>
      <c r="AD59" s="139"/>
    </row>
    <row r="60" customFormat="false" ht="18" hidden="false" customHeight="false" outlineLevel="0" collapsed="false">
      <c r="A60" s="202" t="s">
        <v>264</v>
      </c>
      <c r="B60" s="203" t="s">
        <v>265</v>
      </c>
      <c r="C60" s="204" t="n">
        <v>5</v>
      </c>
      <c r="D60" s="139"/>
      <c r="E60" s="139"/>
      <c r="F60" s="139"/>
      <c r="G60" s="139"/>
      <c r="H60" s="139"/>
      <c r="I60" s="140"/>
      <c r="J60" s="140"/>
      <c r="K60" s="140"/>
      <c r="L60" s="139"/>
      <c r="M60" s="139"/>
      <c r="N60" s="139"/>
      <c r="O60" s="139"/>
      <c r="P60" s="139"/>
      <c r="Q60" s="139"/>
      <c r="R60" s="139"/>
      <c r="S60" s="139"/>
      <c r="T60" s="139"/>
      <c r="U60" s="139"/>
      <c r="V60" s="139"/>
      <c r="W60" s="139"/>
      <c r="X60" s="139"/>
      <c r="Y60" s="139"/>
      <c r="Z60" s="139"/>
      <c r="AA60" s="139"/>
      <c r="AB60" s="139"/>
      <c r="AC60" s="139"/>
      <c r="AD60" s="139"/>
    </row>
    <row r="61" customFormat="false" ht="21" hidden="false" customHeight="false" outlineLevel="0" collapsed="false">
      <c r="A61" s="205" t="s">
        <v>266</v>
      </c>
      <c r="B61" s="145" t="s">
        <v>267</v>
      </c>
      <c r="C61" s="151" t="n">
        <v>10000</v>
      </c>
      <c r="D61" s="139"/>
      <c r="E61" s="139"/>
      <c r="F61" s="139"/>
      <c r="G61" s="139"/>
      <c r="H61" s="139"/>
      <c r="I61" s="140"/>
      <c r="J61" s="140"/>
      <c r="K61" s="140"/>
      <c r="L61" s="139"/>
      <c r="M61" s="139"/>
      <c r="N61" s="139"/>
      <c r="O61" s="139"/>
      <c r="P61" s="139"/>
      <c r="Q61" s="139"/>
      <c r="R61" s="139"/>
      <c r="S61" s="139"/>
      <c r="T61" s="139"/>
      <c r="U61" s="139"/>
      <c r="V61" s="139"/>
      <c r="W61" s="139"/>
      <c r="X61" s="139"/>
      <c r="Y61" s="139"/>
      <c r="Z61" s="139"/>
      <c r="AA61" s="139"/>
      <c r="AB61" s="139"/>
      <c r="AC61" s="139"/>
      <c r="AD61" s="139"/>
    </row>
    <row r="62" customFormat="false" ht="15.6" hidden="false" customHeight="false" outlineLevel="0" collapsed="false">
      <c r="A62" s="206"/>
      <c r="B62" s="145" t="s">
        <v>268</v>
      </c>
      <c r="C62" s="207" t="n">
        <f aca="false">((C60/1.2)-1)*C61</f>
        <v>31666.6666666667</v>
      </c>
      <c r="D62" s="139"/>
      <c r="E62" s="139"/>
      <c r="F62" s="139"/>
      <c r="G62" s="139"/>
      <c r="H62" s="139"/>
      <c r="I62" s="140"/>
      <c r="J62" s="140"/>
      <c r="K62" s="140"/>
      <c r="L62" s="139"/>
      <c r="M62" s="139"/>
      <c r="N62" s="139"/>
      <c r="O62" s="139"/>
      <c r="P62" s="139"/>
      <c r="Q62" s="139"/>
      <c r="R62" s="139"/>
      <c r="S62" s="139"/>
      <c r="T62" s="139"/>
      <c r="U62" s="139"/>
      <c r="V62" s="139"/>
      <c r="W62" s="139"/>
      <c r="X62" s="139"/>
      <c r="Y62" s="139"/>
      <c r="Z62" s="139"/>
      <c r="AA62" s="139"/>
      <c r="AB62" s="139"/>
      <c r="AC62" s="139"/>
      <c r="AD62" s="139"/>
    </row>
    <row r="63" customFormat="false" ht="16.2" hidden="false" customHeight="false" outlineLevel="0" collapsed="false">
      <c r="A63" s="206"/>
      <c r="B63" s="145" t="s">
        <v>269</v>
      </c>
      <c r="C63" s="208" t="n">
        <v>65</v>
      </c>
      <c r="D63" s="139"/>
      <c r="E63" s="139"/>
      <c r="F63" s="139"/>
      <c r="G63" s="139"/>
      <c r="H63" s="139"/>
      <c r="I63" s="140"/>
      <c r="J63" s="140"/>
      <c r="K63" s="140"/>
      <c r="L63" s="139"/>
      <c r="M63" s="139"/>
      <c r="N63" s="139"/>
      <c r="O63" s="139"/>
      <c r="P63" s="139"/>
      <c r="Q63" s="139"/>
      <c r="R63" s="139"/>
      <c r="S63" s="139"/>
      <c r="T63" s="139"/>
      <c r="U63" s="139"/>
      <c r="V63" s="139"/>
      <c r="W63" s="139"/>
      <c r="X63" s="139"/>
      <c r="Y63" s="139"/>
      <c r="Z63" s="139"/>
      <c r="AA63" s="139"/>
      <c r="AB63" s="139"/>
      <c r="AC63" s="139"/>
      <c r="AD63" s="139"/>
    </row>
    <row r="64" customFormat="false" ht="17.4" hidden="false" customHeight="false" outlineLevel="0" collapsed="false">
      <c r="A64" s="141" t="s">
        <v>270</v>
      </c>
      <c r="B64" s="142" t="s">
        <v>271</v>
      </c>
      <c r="C64" s="209" t="n">
        <f aca="false">(C17/C18)/((C40+C33)*12)</f>
        <v>3.4041394335512</v>
      </c>
      <c r="D64" s="139"/>
      <c r="E64" s="139"/>
      <c r="F64" s="139"/>
      <c r="G64" s="139"/>
      <c r="H64" s="139"/>
      <c r="I64" s="140"/>
      <c r="J64" s="140"/>
      <c r="K64" s="140"/>
      <c r="L64" s="139"/>
      <c r="M64" s="139"/>
      <c r="N64" s="139"/>
      <c r="O64" s="139"/>
      <c r="P64" s="139"/>
      <c r="Q64" s="139"/>
      <c r="R64" s="139"/>
      <c r="S64" s="139"/>
      <c r="T64" s="139"/>
      <c r="U64" s="139"/>
      <c r="V64" s="139"/>
      <c r="W64" s="139"/>
      <c r="X64" s="139"/>
      <c r="Y64" s="139"/>
      <c r="Z64" s="139"/>
      <c r="AA64" s="139"/>
      <c r="AB64" s="139"/>
      <c r="AC64" s="139"/>
      <c r="AD64" s="139"/>
    </row>
    <row r="65" customFormat="false" ht="14.4" hidden="false" customHeight="false" outlineLevel="0" collapsed="false">
      <c r="A65" s="210"/>
      <c r="B65" s="145" t="s">
        <v>272</v>
      </c>
      <c r="C65" s="151" t="n">
        <v>25</v>
      </c>
      <c r="D65" s="139"/>
      <c r="E65" s="139"/>
      <c r="F65" s="139"/>
      <c r="G65" s="139"/>
      <c r="H65" s="139"/>
      <c r="I65" s="140"/>
      <c r="J65" s="140"/>
      <c r="K65" s="140"/>
      <c r="L65" s="139"/>
      <c r="M65" s="139"/>
      <c r="N65" s="139"/>
      <c r="O65" s="139"/>
      <c r="P65" s="139"/>
      <c r="Q65" s="139"/>
      <c r="R65" s="139"/>
      <c r="S65" s="139"/>
      <c r="T65" s="139"/>
      <c r="U65" s="139"/>
      <c r="V65" s="139"/>
      <c r="W65" s="139"/>
      <c r="X65" s="139"/>
      <c r="Y65" s="139"/>
      <c r="Z65" s="139"/>
      <c r="AA65" s="139"/>
      <c r="AB65" s="139"/>
      <c r="AC65" s="139"/>
      <c r="AD65" s="139"/>
    </row>
    <row r="66" customFormat="false" ht="15.6" hidden="false" customHeight="false" outlineLevel="0" collapsed="false">
      <c r="A66" s="147"/>
      <c r="B66" s="145" t="s">
        <v>273</v>
      </c>
      <c r="C66" s="188" t="n">
        <f aca="false">(C65*1000)*(C17/1.2)*((2*3.14*C40*C50*0.000001*12)/0.0012)</f>
        <v>191167.125</v>
      </c>
      <c r="D66" s="139"/>
      <c r="E66" s="139"/>
      <c r="F66" s="139"/>
      <c r="G66" s="139"/>
      <c r="H66" s="139"/>
      <c r="I66" s="140"/>
      <c r="J66" s="140"/>
      <c r="K66" s="140"/>
      <c r="L66" s="139"/>
      <c r="M66" s="139"/>
      <c r="N66" s="139"/>
      <c r="O66" s="139"/>
      <c r="P66" s="139"/>
      <c r="Q66" s="139"/>
      <c r="R66" s="139"/>
      <c r="S66" s="139"/>
      <c r="T66" s="139"/>
      <c r="U66" s="139"/>
      <c r="V66" s="139"/>
      <c r="W66" s="139"/>
      <c r="X66" s="139"/>
      <c r="Y66" s="139"/>
      <c r="Z66" s="139"/>
      <c r="AA66" s="139"/>
      <c r="AB66" s="139"/>
      <c r="AC66" s="139"/>
      <c r="AD66" s="139"/>
    </row>
    <row r="67" customFormat="false" ht="15.6" hidden="false" customHeight="false" outlineLevel="0" collapsed="false">
      <c r="A67" s="147"/>
      <c r="B67" s="145" t="s">
        <v>274</v>
      </c>
      <c r="C67" s="189" t="n">
        <v>190000</v>
      </c>
      <c r="D67" s="139"/>
      <c r="E67" s="139"/>
      <c r="F67" s="139"/>
      <c r="G67" s="139"/>
      <c r="H67" s="139"/>
      <c r="I67" s="140"/>
      <c r="J67" s="140"/>
      <c r="K67" s="140"/>
      <c r="L67" s="139"/>
      <c r="M67" s="139"/>
      <c r="N67" s="139"/>
      <c r="O67" s="139"/>
      <c r="P67" s="139"/>
      <c r="Q67" s="139"/>
      <c r="R67" s="139"/>
      <c r="S67" s="139"/>
      <c r="T67" s="139"/>
      <c r="U67" s="139"/>
      <c r="V67" s="139"/>
      <c r="W67" s="139"/>
      <c r="X67" s="139"/>
      <c r="Y67" s="139"/>
      <c r="Z67" s="139"/>
      <c r="AA67" s="139"/>
      <c r="AB67" s="139"/>
      <c r="AC67" s="139"/>
      <c r="AD67" s="139"/>
    </row>
    <row r="68" customFormat="false" ht="15.6" hidden="false" customHeight="false" outlineLevel="0" collapsed="false">
      <c r="A68" s="147"/>
      <c r="B68" s="150" t="s">
        <v>275</v>
      </c>
      <c r="C68" s="192" t="n">
        <f aca="false">(((C17/C18)*C50)/C67)*1000</f>
        <v>9.49415204678363</v>
      </c>
      <c r="D68" s="139"/>
      <c r="E68" s="139"/>
      <c r="F68" s="139"/>
      <c r="G68" s="139"/>
      <c r="H68" s="139"/>
      <c r="I68" s="140"/>
      <c r="J68" s="140"/>
      <c r="K68" s="140"/>
      <c r="L68" s="139"/>
      <c r="M68" s="139"/>
      <c r="N68" s="139"/>
      <c r="O68" s="139"/>
      <c r="P68" s="139"/>
      <c r="Q68" s="139"/>
      <c r="R68" s="139"/>
      <c r="S68" s="139"/>
      <c r="T68" s="139"/>
      <c r="U68" s="139"/>
      <c r="V68" s="139"/>
      <c r="W68" s="139"/>
      <c r="X68" s="139"/>
      <c r="Y68" s="139"/>
      <c r="Z68" s="139"/>
      <c r="AA68" s="139"/>
      <c r="AB68" s="139"/>
      <c r="AC68" s="139"/>
      <c r="AD68" s="139"/>
    </row>
    <row r="69" customFormat="false" ht="16.2" hidden="false" customHeight="false" outlineLevel="0" collapsed="false">
      <c r="A69" s="176"/>
      <c r="B69" s="177" t="s">
        <v>276</v>
      </c>
      <c r="C69" s="211" t="n">
        <v>10</v>
      </c>
      <c r="D69" s="139"/>
      <c r="E69" s="139"/>
      <c r="F69" s="139"/>
      <c r="G69" s="139"/>
      <c r="H69" s="139"/>
      <c r="I69" s="140"/>
      <c r="J69" s="140"/>
      <c r="K69" s="140"/>
      <c r="L69" s="139"/>
      <c r="M69" s="139"/>
      <c r="N69" s="139"/>
      <c r="O69" s="139"/>
      <c r="P69" s="139"/>
      <c r="Q69" s="139"/>
      <c r="R69" s="139"/>
      <c r="S69" s="139"/>
      <c r="T69" s="139"/>
      <c r="U69" s="139"/>
      <c r="V69" s="139"/>
      <c r="W69" s="139"/>
      <c r="X69" s="139"/>
      <c r="Y69" s="139"/>
      <c r="Z69" s="139"/>
      <c r="AA69" s="139"/>
      <c r="AB69" s="139"/>
      <c r="AC69" s="139"/>
      <c r="AD69" s="139"/>
    </row>
    <row r="70" customFormat="false" ht="15" hidden="false" customHeight="false" outlineLevel="0" collapsed="false">
      <c r="A70" s="127"/>
      <c r="B70" s="161"/>
      <c r="C70" s="127"/>
      <c r="D70" s="139"/>
      <c r="E70" s="139"/>
      <c r="F70" s="139"/>
      <c r="G70" s="139"/>
      <c r="H70" s="139"/>
      <c r="I70" s="140"/>
      <c r="J70" s="140"/>
      <c r="K70" s="140"/>
      <c r="L70" s="139"/>
      <c r="M70" s="139"/>
      <c r="N70" s="139"/>
      <c r="O70" s="139"/>
      <c r="P70" s="139"/>
      <c r="Q70" s="139"/>
      <c r="R70" s="139"/>
      <c r="S70" s="139"/>
      <c r="T70" s="139"/>
      <c r="U70" s="139"/>
      <c r="V70" s="139"/>
      <c r="W70" s="139"/>
      <c r="X70" s="139"/>
      <c r="Y70" s="139"/>
      <c r="Z70" s="139"/>
      <c r="AA70" s="139"/>
      <c r="AB70" s="139"/>
      <c r="AC70" s="139"/>
      <c r="AD70" s="139"/>
    </row>
    <row r="71" customFormat="false" ht="17.4" hidden="false" customHeight="false" outlineLevel="0" collapsed="false">
      <c r="A71" s="141" t="s">
        <v>277</v>
      </c>
      <c r="B71" s="142" t="s">
        <v>278</v>
      </c>
      <c r="C71" s="187" t="n">
        <v>3500</v>
      </c>
      <c r="D71" s="139"/>
      <c r="E71" s="139"/>
      <c r="F71" s="139"/>
      <c r="G71" s="139"/>
      <c r="H71" s="140"/>
      <c r="I71" s="140"/>
      <c r="J71" s="140"/>
      <c r="K71" s="139"/>
      <c r="L71" s="139"/>
      <c r="M71" s="139"/>
      <c r="N71" s="139"/>
      <c r="O71" s="139"/>
      <c r="P71" s="139"/>
      <c r="Q71" s="139"/>
      <c r="R71" s="139"/>
      <c r="S71" s="139"/>
      <c r="T71" s="139"/>
      <c r="U71" s="139"/>
      <c r="V71" s="139"/>
      <c r="W71" s="139"/>
      <c r="X71" s="139"/>
      <c r="Y71" s="139"/>
      <c r="Z71" s="139"/>
      <c r="AA71" s="139"/>
      <c r="AB71" s="139"/>
      <c r="AC71" s="139"/>
      <c r="AD71" s="139"/>
    </row>
    <row r="72" customFormat="false" ht="15.6" hidden="false" customHeight="false" outlineLevel="0" collapsed="false">
      <c r="A72" s="212"/>
      <c r="B72" s="145" t="s">
        <v>279</v>
      </c>
      <c r="C72" s="213" t="n">
        <f aca="false">((20*10^-6*C71*10^-3)/0.8)*1000000</f>
        <v>87.5</v>
      </c>
      <c r="D72" s="139"/>
      <c r="E72" s="139"/>
      <c r="F72" s="139"/>
      <c r="G72" s="139"/>
      <c r="H72" s="139"/>
      <c r="I72" s="140"/>
      <c r="J72" s="140"/>
      <c r="K72" s="140"/>
      <c r="L72" s="139"/>
      <c r="M72" s="139"/>
      <c r="N72" s="139"/>
      <c r="O72" s="139"/>
      <c r="P72" s="139"/>
      <c r="Q72" s="139"/>
      <c r="R72" s="139"/>
      <c r="S72" s="139"/>
      <c r="T72" s="139"/>
      <c r="U72" s="139"/>
      <c r="V72" s="139"/>
      <c r="W72" s="139"/>
      <c r="X72" s="139"/>
      <c r="Y72" s="139"/>
      <c r="Z72" s="139"/>
      <c r="AA72" s="139"/>
      <c r="AB72" s="139"/>
      <c r="AC72" s="139"/>
      <c r="AD72" s="139"/>
    </row>
    <row r="73" customFormat="false" ht="15" hidden="false" customHeight="false" outlineLevel="0" collapsed="false">
      <c r="A73" s="214"/>
      <c r="B73" s="177" t="s">
        <v>280</v>
      </c>
      <c r="C73" s="215" t="n">
        <v>100</v>
      </c>
      <c r="D73" s="139"/>
      <c r="E73" s="139"/>
      <c r="F73" s="139"/>
      <c r="G73" s="139"/>
      <c r="H73" s="139"/>
      <c r="I73" s="140"/>
      <c r="J73" s="140"/>
      <c r="K73" s="140"/>
      <c r="L73" s="139"/>
      <c r="M73" s="139"/>
      <c r="N73" s="139"/>
      <c r="O73" s="139"/>
      <c r="P73" s="139"/>
      <c r="Q73" s="139"/>
      <c r="R73" s="139"/>
      <c r="S73" s="139"/>
      <c r="T73" s="139"/>
      <c r="U73" s="139"/>
      <c r="V73" s="139"/>
      <c r="W73" s="139"/>
      <c r="X73" s="139"/>
      <c r="Y73" s="139"/>
      <c r="Z73" s="139"/>
      <c r="AA73" s="139"/>
      <c r="AB73" s="139"/>
      <c r="AC73" s="139"/>
      <c r="AD73" s="139"/>
    </row>
    <row r="74" customFormat="false" ht="15" hidden="false" customHeight="false" outlineLevel="0" collapsed="false">
      <c r="A74" s="179"/>
      <c r="C74" s="127"/>
      <c r="D74" s="139"/>
      <c r="E74" s="139"/>
      <c r="F74" s="139"/>
      <c r="G74" s="139"/>
      <c r="H74" s="139"/>
      <c r="I74" s="140"/>
      <c r="J74" s="140"/>
      <c r="K74" s="140"/>
      <c r="L74" s="139"/>
      <c r="M74" s="139"/>
      <c r="N74" s="139"/>
      <c r="O74" s="139"/>
      <c r="P74" s="139"/>
      <c r="Q74" s="139"/>
      <c r="R74" s="139"/>
      <c r="S74" s="139"/>
      <c r="T74" s="139"/>
      <c r="U74" s="139"/>
      <c r="V74" s="139"/>
      <c r="W74" s="139"/>
      <c r="X74" s="139"/>
      <c r="Y74" s="139"/>
      <c r="Z74" s="139"/>
      <c r="AA74" s="139"/>
      <c r="AB74" s="139"/>
      <c r="AC74" s="139"/>
      <c r="AD74" s="139"/>
    </row>
    <row r="75" customFormat="false" ht="17.4" hidden="false" customHeight="false" outlineLevel="0" collapsed="false">
      <c r="A75" s="141" t="s">
        <v>281</v>
      </c>
      <c r="B75" s="142" t="s">
        <v>282</v>
      </c>
      <c r="C75" s="216" t="n">
        <v>3.6</v>
      </c>
      <c r="D75" s="139"/>
      <c r="E75" s="139"/>
      <c r="F75" s="139"/>
      <c r="G75" s="139"/>
      <c r="H75" s="139"/>
      <c r="I75" s="140"/>
      <c r="J75" s="140"/>
      <c r="K75" s="140"/>
      <c r="L75" s="139"/>
      <c r="M75" s="139"/>
      <c r="N75" s="139"/>
      <c r="O75" s="139"/>
      <c r="P75" s="139"/>
      <c r="Q75" s="139"/>
      <c r="R75" s="139"/>
      <c r="S75" s="139"/>
      <c r="T75" s="139"/>
      <c r="U75" s="139"/>
      <c r="V75" s="139"/>
      <c r="W75" s="139"/>
      <c r="X75" s="139"/>
      <c r="Y75" s="139"/>
      <c r="Z75" s="139"/>
      <c r="AA75" s="139"/>
      <c r="AB75" s="139"/>
      <c r="AC75" s="139"/>
      <c r="AD75" s="139"/>
    </row>
    <row r="76" customFormat="false" ht="14.4" hidden="false" customHeight="false" outlineLevel="0" collapsed="false">
      <c r="A76" s="147"/>
      <c r="B76" s="145" t="s">
        <v>283</v>
      </c>
      <c r="C76" s="189" t="n">
        <v>25</v>
      </c>
      <c r="D76" s="139"/>
      <c r="E76" s="139"/>
      <c r="F76" s="139"/>
      <c r="G76" s="139"/>
      <c r="H76" s="139"/>
      <c r="I76" s="140"/>
      <c r="J76" s="140"/>
      <c r="K76" s="140"/>
      <c r="L76" s="139"/>
      <c r="M76" s="139"/>
      <c r="N76" s="139"/>
      <c r="O76" s="139"/>
      <c r="P76" s="139"/>
      <c r="Q76" s="139"/>
      <c r="R76" s="139"/>
      <c r="S76" s="139"/>
      <c r="T76" s="139"/>
      <c r="U76" s="139"/>
      <c r="V76" s="139"/>
      <c r="W76" s="139"/>
      <c r="X76" s="139"/>
      <c r="Y76" s="139"/>
      <c r="Z76" s="139"/>
      <c r="AA76" s="139"/>
      <c r="AB76" s="139"/>
      <c r="AC76" s="139"/>
      <c r="AD76" s="139"/>
    </row>
    <row r="77" customFormat="false" ht="17.4" hidden="false" customHeight="false" outlineLevel="0" collapsed="false">
      <c r="A77" s="144"/>
      <c r="B77" s="145" t="s">
        <v>284</v>
      </c>
      <c r="C77" s="151" t="n">
        <v>25</v>
      </c>
      <c r="D77" s="139"/>
      <c r="E77" s="139"/>
      <c r="F77" s="139"/>
      <c r="G77" s="139"/>
      <c r="H77" s="139"/>
      <c r="I77" s="140"/>
      <c r="J77" s="140"/>
      <c r="K77" s="140"/>
      <c r="L77" s="139"/>
      <c r="M77" s="139"/>
      <c r="N77" s="139"/>
      <c r="O77" s="139"/>
      <c r="P77" s="139"/>
      <c r="Q77" s="139"/>
      <c r="R77" s="139"/>
      <c r="S77" s="139"/>
      <c r="T77" s="139"/>
      <c r="U77" s="139"/>
      <c r="V77" s="139"/>
      <c r="W77" s="139"/>
      <c r="X77" s="139"/>
      <c r="Y77" s="139"/>
      <c r="Z77" s="139"/>
      <c r="AA77" s="139"/>
      <c r="AB77" s="139"/>
      <c r="AC77" s="139"/>
      <c r="AD77" s="139"/>
    </row>
    <row r="78" customFormat="false" ht="18" hidden="false" customHeight="false" outlineLevel="0" collapsed="false">
      <c r="A78" s="144"/>
      <c r="B78" s="145" t="s">
        <v>285</v>
      </c>
      <c r="C78" s="151" t="n">
        <v>0.02</v>
      </c>
      <c r="D78" s="139"/>
      <c r="E78" s="139"/>
      <c r="F78" s="139"/>
      <c r="G78" s="139"/>
      <c r="H78" s="139"/>
      <c r="I78" s="140"/>
      <c r="J78" s="140"/>
      <c r="K78" s="140"/>
      <c r="L78" s="139"/>
      <c r="M78" s="139"/>
      <c r="N78" s="139"/>
      <c r="O78" s="139"/>
      <c r="P78" s="139"/>
      <c r="Q78" s="139"/>
      <c r="R78" s="139"/>
      <c r="S78" s="139"/>
      <c r="T78" s="139"/>
      <c r="U78" s="139"/>
      <c r="V78" s="139"/>
      <c r="W78" s="139"/>
      <c r="X78" s="139"/>
      <c r="Y78" s="139"/>
      <c r="Z78" s="139"/>
      <c r="AA78" s="139"/>
      <c r="AB78" s="139"/>
      <c r="AC78" s="139"/>
      <c r="AD78" s="139"/>
    </row>
    <row r="79" customFormat="false" ht="14.4" hidden="false" customHeight="false" outlineLevel="0" collapsed="false">
      <c r="A79" s="147"/>
      <c r="B79" s="145" t="s">
        <v>286</v>
      </c>
      <c r="C79" s="217" t="n">
        <v>0.84</v>
      </c>
      <c r="D79" s="139"/>
      <c r="E79" s="139"/>
      <c r="F79" s="139"/>
      <c r="G79" s="139"/>
      <c r="H79" s="139"/>
      <c r="I79" s="140"/>
      <c r="J79" s="140"/>
      <c r="K79" s="140"/>
      <c r="L79" s="139"/>
      <c r="M79" s="139"/>
      <c r="N79" s="139"/>
      <c r="O79" s="139"/>
      <c r="P79" s="139"/>
      <c r="Q79" s="139"/>
      <c r="R79" s="139"/>
      <c r="S79" s="139"/>
      <c r="T79" s="139"/>
      <c r="U79" s="139"/>
      <c r="V79" s="139"/>
      <c r="W79" s="139"/>
      <c r="X79" s="139"/>
      <c r="Y79" s="139"/>
      <c r="Z79" s="139"/>
      <c r="AA79" s="139"/>
      <c r="AB79" s="139"/>
      <c r="AC79" s="139"/>
      <c r="AD79" s="139"/>
    </row>
    <row r="80" customFormat="false" ht="15" hidden="false" customHeight="false" outlineLevel="0" collapsed="false">
      <c r="A80" s="176"/>
      <c r="B80" s="177" t="s">
        <v>287</v>
      </c>
      <c r="C80" s="189" t="n">
        <v>37</v>
      </c>
      <c r="D80" s="139"/>
      <c r="E80" s="139"/>
      <c r="F80" s="139"/>
      <c r="G80" s="139"/>
      <c r="H80" s="139"/>
      <c r="I80" s="140"/>
      <c r="J80" s="140"/>
      <c r="K80" s="140"/>
      <c r="L80" s="139"/>
      <c r="M80" s="139"/>
      <c r="N80" s="139"/>
      <c r="O80" s="139"/>
      <c r="P80" s="139"/>
      <c r="Q80" s="139"/>
      <c r="R80" s="139"/>
      <c r="S80" s="139"/>
      <c r="T80" s="139"/>
      <c r="U80" s="139"/>
      <c r="V80" s="139"/>
      <c r="W80" s="139"/>
      <c r="X80" s="139"/>
      <c r="Y80" s="139"/>
      <c r="Z80" s="139"/>
      <c r="AA80" s="139"/>
      <c r="AB80" s="139"/>
      <c r="AC80" s="139"/>
      <c r="AD80" s="139"/>
    </row>
    <row r="81" customFormat="false" ht="17.4" hidden="false" customHeight="false" outlineLevel="0" collapsed="false">
      <c r="A81" s="141" t="s">
        <v>288</v>
      </c>
      <c r="B81" s="142" t="s">
        <v>289</v>
      </c>
      <c r="C81" s="151" t="n">
        <v>3.6</v>
      </c>
      <c r="D81" s="139"/>
      <c r="E81" s="139"/>
      <c r="F81" s="139"/>
      <c r="G81" s="139"/>
      <c r="H81" s="139"/>
      <c r="I81" s="140"/>
      <c r="J81" s="140"/>
      <c r="K81" s="140"/>
      <c r="L81" s="139"/>
      <c r="M81" s="139"/>
      <c r="N81" s="139"/>
      <c r="O81" s="139"/>
      <c r="P81" s="139"/>
      <c r="Q81" s="139"/>
      <c r="R81" s="139"/>
      <c r="S81" s="139"/>
      <c r="T81" s="139"/>
      <c r="U81" s="139"/>
      <c r="V81" s="139"/>
      <c r="W81" s="139"/>
      <c r="X81" s="139"/>
      <c r="Y81" s="139"/>
      <c r="Z81" s="139"/>
      <c r="AA81" s="139"/>
      <c r="AB81" s="139"/>
      <c r="AC81" s="139"/>
      <c r="AD81" s="139"/>
    </row>
    <row r="82" customFormat="false" ht="18" hidden="false" customHeight="false" outlineLevel="0" collapsed="false">
      <c r="A82" s="144"/>
      <c r="B82" s="145" t="s">
        <v>285</v>
      </c>
      <c r="C82" s="151" t="n">
        <v>0.02</v>
      </c>
      <c r="D82" s="139"/>
      <c r="E82" s="139"/>
      <c r="F82" s="139"/>
      <c r="G82" s="139"/>
      <c r="H82" s="139"/>
      <c r="I82" s="140"/>
      <c r="J82" s="140"/>
      <c r="K82" s="140"/>
      <c r="L82" s="139"/>
      <c r="M82" s="139"/>
      <c r="N82" s="139"/>
      <c r="O82" s="139"/>
      <c r="P82" s="139"/>
      <c r="Q82" s="139"/>
      <c r="R82" s="139"/>
      <c r="S82" s="139"/>
      <c r="T82" s="139"/>
      <c r="U82" s="139"/>
      <c r="V82" s="139"/>
      <c r="W82" s="139"/>
      <c r="X82" s="139"/>
      <c r="Y82" s="139"/>
      <c r="Z82" s="139"/>
      <c r="AA82" s="139"/>
      <c r="AB82" s="139"/>
      <c r="AC82" s="139"/>
      <c r="AD82" s="139"/>
    </row>
    <row r="83" customFormat="false" ht="14.4" hidden="false" customHeight="false" outlineLevel="0" collapsed="false">
      <c r="A83" s="147"/>
      <c r="B83" s="145" t="s">
        <v>282</v>
      </c>
      <c r="C83" s="189" t="n">
        <v>25</v>
      </c>
      <c r="D83" s="139"/>
      <c r="E83" s="139"/>
      <c r="F83" s="139"/>
      <c r="G83" s="139"/>
      <c r="H83" s="139"/>
      <c r="I83" s="140"/>
      <c r="J83" s="140"/>
      <c r="K83" s="140"/>
      <c r="L83" s="139"/>
      <c r="M83" s="139"/>
      <c r="N83" s="139"/>
      <c r="O83" s="139"/>
      <c r="P83" s="139"/>
      <c r="Q83" s="139"/>
      <c r="R83" s="139"/>
      <c r="S83" s="139"/>
      <c r="T83" s="139"/>
      <c r="U83" s="139"/>
      <c r="V83" s="139"/>
      <c r="W83" s="139"/>
      <c r="X83" s="139"/>
      <c r="Y83" s="139"/>
      <c r="Z83" s="139"/>
      <c r="AA83" s="139"/>
      <c r="AB83" s="139"/>
      <c r="AC83" s="139"/>
      <c r="AD83" s="139"/>
    </row>
    <row r="84" customFormat="false" ht="14.4" hidden="false" customHeight="false" outlineLevel="0" collapsed="false">
      <c r="A84" s="147"/>
      <c r="B84" s="145" t="s">
        <v>290</v>
      </c>
      <c r="C84" s="217" t="n">
        <v>0.84</v>
      </c>
      <c r="D84" s="139"/>
      <c r="E84" s="139"/>
      <c r="F84" s="139"/>
      <c r="G84" s="139"/>
      <c r="H84" s="139"/>
      <c r="I84" s="140"/>
      <c r="J84" s="140"/>
      <c r="K84" s="140"/>
      <c r="L84" s="139"/>
      <c r="M84" s="139"/>
      <c r="N84" s="139"/>
      <c r="O84" s="139"/>
      <c r="P84" s="139"/>
      <c r="Q84" s="139"/>
      <c r="R84" s="139"/>
      <c r="S84" s="139"/>
      <c r="T84" s="139"/>
      <c r="U84" s="139"/>
      <c r="V84" s="139"/>
      <c r="W84" s="139"/>
      <c r="X84" s="139"/>
      <c r="Y84" s="139"/>
      <c r="Z84" s="139"/>
      <c r="AA84" s="139"/>
      <c r="AB84" s="139"/>
      <c r="AC84" s="139"/>
      <c r="AD84" s="139"/>
    </row>
    <row r="85" customFormat="false" ht="14.4" hidden="false" customHeight="false" outlineLevel="0" collapsed="false">
      <c r="A85" s="147"/>
      <c r="B85" s="145" t="s">
        <v>291</v>
      </c>
      <c r="C85" s="189" t="n">
        <v>37</v>
      </c>
      <c r="D85" s="139"/>
      <c r="E85" s="139"/>
      <c r="F85" s="139"/>
      <c r="G85" s="139"/>
      <c r="H85" s="139"/>
      <c r="I85" s="140"/>
      <c r="J85" s="140"/>
      <c r="K85" s="140"/>
      <c r="L85" s="139"/>
      <c r="M85" s="139"/>
      <c r="N85" s="139"/>
      <c r="O85" s="139"/>
      <c r="P85" s="139"/>
      <c r="Q85" s="139"/>
      <c r="R85" s="139"/>
      <c r="S85" s="139"/>
      <c r="T85" s="139"/>
      <c r="U85" s="139"/>
      <c r="V85" s="139"/>
      <c r="W85" s="139"/>
      <c r="X85" s="139"/>
      <c r="Y85" s="139"/>
      <c r="Z85" s="139"/>
      <c r="AA85" s="139"/>
      <c r="AB85" s="139"/>
      <c r="AC85" s="139"/>
      <c r="AD85" s="139"/>
    </row>
    <row r="86" customFormat="false" ht="15.6" hidden="false" customHeight="false" outlineLevel="0" collapsed="false">
      <c r="A86" s="218"/>
      <c r="B86" s="145" t="s">
        <v>292</v>
      </c>
      <c r="C86" s="219" t="n">
        <f aca="false">(C77*10^-9/0.25)*1000000</f>
        <v>0.1</v>
      </c>
      <c r="D86" s="139"/>
      <c r="E86" s="139"/>
      <c r="F86" s="139"/>
      <c r="G86" s="139"/>
      <c r="H86" s="139"/>
      <c r="I86" s="140"/>
      <c r="J86" s="140"/>
      <c r="K86" s="140"/>
      <c r="L86" s="139"/>
      <c r="M86" s="139"/>
      <c r="N86" s="139"/>
      <c r="O86" s="139"/>
      <c r="P86" s="139"/>
      <c r="Q86" s="139"/>
      <c r="R86" s="139"/>
      <c r="S86" s="139"/>
      <c r="T86" s="139"/>
      <c r="U86" s="139"/>
      <c r="V86" s="139"/>
      <c r="W86" s="139"/>
      <c r="X86" s="139"/>
      <c r="Y86" s="139"/>
      <c r="Z86" s="139"/>
      <c r="AA86" s="139"/>
      <c r="AB86" s="139"/>
      <c r="AC86" s="139"/>
      <c r="AD86" s="139"/>
    </row>
    <row r="87" customFormat="false" ht="16.2" hidden="false" customHeight="false" outlineLevel="0" collapsed="false">
      <c r="A87" s="220"/>
      <c r="B87" s="177" t="s">
        <v>293</v>
      </c>
      <c r="C87" s="173" t="n">
        <f aca="false">((C77*C27)+0.012)*0.000000001</f>
        <v>0.055000000012</v>
      </c>
      <c r="D87" s="139"/>
      <c r="E87" s="139"/>
      <c r="F87" s="139"/>
      <c r="G87" s="139"/>
      <c r="H87" s="139"/>
      <c r="I87" s="140"/>
      <c r="J87" s="140"/>
      <c r="K87" s="140"/>
      <c r="L87" s="139"/>
      <c r="M87" s="139"/>
      <c r="N87" s="139"/>
      <c r="O87" s="139"/>
      <c r="P87" s="139"/>
      <c r="Q87" s="139"/>
      <c r="R87" s="139"/>
      <c r="S87" s="139"/>
      <c r="T87" s="139"/>
      <c r="U87" s="139"/>
      <c r="V87" s="139"/>
      <c r="W87" s="139"/>
      <c r="X87" s="139"/>
      <c r="Y87" s="139"/>
      <c r="Z87" s="139"/>
      <c r="AA87" s="139"/>
      <c r="AB87" s="139"/>
      <c r="AC87" s="139"/>
      <c r="AD87" s="139"/>
    </row>
    <row r="88" customFormat="false" ht="14.4" hidden="false" customHeight="false" outlineLevel="0" collapsed="false">
      <c r="A88" s="127"/>
      <c r="B88" s="127"/>
      <c r="C88" s="221"/>
      <c r="D88" s="139"/>
      <c r="E88" s="139"/>
      <c r="F88" s="139"/>
      <c r="G88" s="139"/>
      <c r="H88" s="139"/>
      <c r="I88" s="140"/>
      <c r="J88" s="140"/>
      <c r="K88" s="140"/>
      <c r="L88" s="139"/>
      <c r="M88" s="139"/>
      <c r="N88" s="139"/>
      <c r="O88" s="139"/>
      <c r="P88" s="139"/>
      <c r="Q88" s="139"/>
      <c r="R88" s="139"/>
      <c r="S88" s="139"/>
      <c r="T88" s="139"/>
      <c r="U88" s="139"/>
      <c r="V88" s="139"/>
      <c r="W88" s="139"/>
      <c r="X88" s="139"/>
      <c r="Y88" s="139"/>
      <c r="Z88" s="139"/>
      <c r="AA88" s="139"/>
      <c r="AB88" s="139"/>
      <c r="AC88" s="139"/>
      <c r="AD88" s="139"/>
    </row>
    <row r="89" customFormat="false" ht="15" hidden="false" customHeight="false" outlineLevel="0" collapsed="false">
      <c r="A89" s="222"/>
      <c r="B89" s="161"/>
      <c r="C89" s="127"/>
      <c r="D89" s="139"/>
      <c r="E89" s="139"/>
      <c r="F89" s="139"/>
      <c r="G89" s="139"/>
      <c r="H89" s="139"/>
      <c r="I89" s="140"/>
      <c r="J89" s="140"/>
      <c r="K89" s="140"/>
      <c r="L89" s="139"/>
      <c r="M89" s="139"/>
      <c r="N89" s="139"/>
      <c r="O89" s="139"/>
      <c r="P89" s="139"/>
      <c r="Q89" s="139"/>
      <c r="R89" s="139"/>
      <c r="S89" s="139"/>
      <c r="T89" s="139"/>
      <c r="U89" s="139"/>
      <c r="V89" s="139"/>
      <c r="W89" s="139"/>
      <c r="X89" s="139"/>
      <c r="Y89" s="139"/>
      <c r="Z89" s="139"/>
      <c r="AA89" s="139"/>
      <c r="AB89" s="139"/>
      <c r="AC89" s="139"/>
      <c r="AD89" s="139"/>
    </row>
    <row r="90" customFormat="false" ht="17.4" hidden="false" customHeight="false" outlineLevel="0" collapsed="false">
      <c r="A90" s="141" t="s">
        <v>294</v>
      </c>
      <c r="B90" s="142" t="s">
        <v>295</v>
      </c>
      <c r="C90" s="187" t="n">
        <v>10</v>
      </c>
      <c r="D90" s="139"/>
      <c r="E90" s="139"/>
      <c r="F90" s="139"/>
      <c r="G90" s="139"/>
      <c r="H90" s="140"/>
      <c r="I90" s="140"/>
      <c r="J90" s="139"/>
      <c r="K90" s="139"/>
      <c r="L90" s="139"/>
      <c r="M90" s="139"/>
      <c r="N90" s="139"/>
      <c r="O90" s="139"/>
      <c r="P90" s="139"/>
      <c r="Q90" s="139"/>
      <c r="R90" s="139"/>
      <c r="S90" s="139"/>
      <c r="T90" s="139"/>
      <c r="U90" s="139"/>
      <c r="V90" s="139"/>
      <c r="W90" s="139"/>
      <c r="X90" s="139"/>
      <c r="Y90" s="139"/>
      <c r="Z90" s="139"/>
      <c r="AA90" s="139"/>
      <c r="AB90" s="139"/>
      <c r="AC90" s="139"/>
      <c r="AD90" s="139"/>
    </row>
    <row r="91" customFormat="false" ht="15.6" hidden="false" customHeight="false" outlineLevel="0" collapsed="false">
      <c r="A91" s="218"/>
      <c r="B91" s="145" t="s">
        <v>296</v>
      </c>
      <c r="C91" s="223" t="n">
        <f aca="false">10*10^-6*C90*10^-3/1.2*10^6</f>
        <v>0.0833333333333333</v>
      </c>
      <c r="D91" s="139"/>
      <c r="E91" s="139"/>
      <c r="F91" s="139"/>
      <c r="G91" s="139"/>
      <c r="H91" s="139"/>
      <c r="I91" s="140"/>
      <c r="J91" s="140"/>
      <c r="K91" s="139"/>
      <c r="L91" s="139"/>
      <c r="M91" s="139"/>
      <c r="N91" s="139"/>
      <c r="O91" s="139"/>
      <c r="P91" s="139"/>
      <c r="Q91" s="139"/>
      <c r="R91" s="139"/>
      <c r="S91" s="139"/>
      <c r="T91" s="139"/>
      <c r="U91" s="139"/>
      <c r="V91" s="139"/>
      <c r="W91" s="139"/>
      <c r="X91" s="139"/>
      <c r="Y91" s="139"/>
      <c r="Z91" s="139"/>
      <c r="AA91" s="139"/>
      <c r="AB91" s="139"/>
      <c r="AC91" s="139"/>
      <c r="AD91" s="139"/>
    </row>
    <row r="92" customFormat="false" ht="15" hidden="false" customHeight="false" outlineLevel="0" collapsed="false">
      <c r="A92" s="220"/>
      <c r="B92" s="177" t="s">
        <v>297</v>
      </c>
      <c r="C92" s="224" t="n">
        <v>0.1</v>
      </c>
      <c r="D92" s="139"/>
      <c r="E92" s="139"/>
      <c r="F92" s="139"/>
      <c r="G92" s="139"/>
      <c r="H92" s="139"/>
      <c r="I92" s="140"/>
      <c r="J92" s="140"/>
      <c r="K92" s="139"/>
      <c r="L92" s="139"/>
      <c r="M92" s="139"/>
      <c r="N92" s="139"/>
      <c r="O92" s="139"/>
      <c r="P92" s="139"/>
      <c r="Q92" s="139"/>
      <c r="R92" s="139"/>
      <c r="S92" s="139"/>
      <c r="T92" s="139"/>
      <c r="U92" s="139"/>
      <c r="V92" s="139"/>
      <c r="W92" s="139"/>
      <c r="X92" s="139"/>
      <c r="Y92" s="139"/>
      <c r="Z92" s="139"/>
      <c r="AA92" s="139"/>
      <c r="AB92" s="139"/>
      <c r="AC92" s="139"/>
      <c r="AD92" s="139"/>
    </row>
    <row r="93" customFormat="false" ht="15" hidden="false" customHeight="false" outlineLevel="0" collapsed="false">
      <c r="A93" s="127"/>
      <c r="B93" s="127"/>
      <c r="C93" s="127"/>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row>
    <row r="94" customFormat="false" ht="17.4" hidden="false" customHeight="false" outlineLevel="0" collapsed="false">
      <c r="A94" s="141" t="s">
        <v>298</v>
      </c>
      <c r="B94" s="225"/>
      <c r="C94" s="201"/>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row>
    <row r="95" customFormat="false" ht="14.4" hidden="false" customHeight="false" outlineLevel="0" collapsed="false">
      <c r="A95" s="147"/>
      <c r="B95" s="226"/>
      <c r="C95" s="227"/>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row>
    <row r="96" customFormat="false" ht="15.6" hidden="false" customHeight="false" outlineLevel="0" collapsed="false">
      <c r="A96" s="210" t="s">
        <v>299</v>
      </c>
      <c r="B96" s="228" t="s">
        <v>300</v>
      </c>
      <c r="C96" s="227"/>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row>
    <row r="97" customFormat="false" ht="18.6" hidden="false" customHeight="false" outlineLevel="0" collapsed="false">
      <c r="A97" s="147" t="s">
        <v>301</v>
      </c>
      <c r="B97" s="229" t="s">
        <v>302</v>
      </c>
      <c r="C97" s="230" t="n">
        <f aca="false">'Variable Management'!B84</f>
        <v>0.675</v>
      </c>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row>
    <row r="98" customFormat="false" ht="18.6" hidden="false" customHeight="false" outlineLevel="0" collapsed="false">
      <c r="A98" s="147"/>
      <c r="B98" s="229" t="s">
        <v>303</v>
      </c>
      <c r="C98" s="213" t="n">
        <f aca="false">'Variable Management'!B85</f>
        <v>0.945</v>
      </c>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row>
    <row r="99" customFormat="false" ht="18.6" hidden="false" customHeight="false" outlineLevel="0" collapsed="false">
      <c r="A99" s="147"/>
      <c r="B99" s="229" t="s">
        <v>304</v>
      </c>
      <c r="C99" s="213" t="n">
        <f aca="false">'Variable Management'!B86</f>
        <v>0.42768</v>
      </c>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row>
    <row r="100" customFormat="false" ht="15.6" hidden="false" customHeight="false" outlineLevel="0" collapsed="false">
      <c r="A100" s="147" t="s">
        <v>305</v>
      </c>
      <c r="B100" s="229" t="s">
        <v>306</v>
      </c>
      <c r="C100" s="213" t="n">
        <f aca="false">'Variable Management'!B87</f>
        <v>0.615384</v>
      </c>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row>
    <row r="101" customFormat="false" ht="18" hidden="false" customHeight="false" outlineLevel="0" collapsed="false">
      <c r="A101" s="147"/>
      <c r="B101" s="231" t="s">
        <v>307</v>
      </c>
      <c r="C101" s="213" t="n">
        <f aca="false">SUM(C97:C100)</f>
        <v>2.663064</v>
      </c>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row>
    <row r="102" customFormat="false" ht="14.4" hidden="false" customHeight="false" outlineLevel="0" collapsed="false">
      <c r="A102" s="147"/>
      <c r="B102" s="191"/>
      <c r="C102" s="15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row>
    <row r="103" customFormat="false" ht="14.4" hidden="false" customHeight="false" outlineLevel="0" collapsed="false">
      <c r="A103" s="147"/>
      <c r="B103" s="228" t="s">
        <v>308</v>
      </c>
      <c r="C103" s="15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row>
    <row r="104" customFormat="false" ht="18.6" hidden="false" customHeight="false" outlineLevel="0" collapsed="false">
      <c r="A104" s="147"/>
      <c r="B104" s="229" t="s">
        <v>309</v>
      </c>
      <c r="C104" s="232" t="n">
        <f aca="false">C18^2*C33</f>
        <v>0.3726</v>
      </c>
      <c r="D104" s="233"/>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row>
    <row r="105" customFormat="false" ht="14.4" hidden="false" customHeight="false" outlineLevel="0" collapsed="false">
      <c r="A105" s="147"/>
      <c r="B105" s="234" t="s">
        <v>310</v>
      </c>
      <c r="C105" s="15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row>
    <row r="106" customFormat="false" ht="14.4" hidden="false" customHeight="false" outlineLevel="0" collapsed="false">
      <c r="A106" s="147"/>
      <c r="B106" s="191" t="s">
        <v>311</v>
      </c>
      <c r="C106" s="232" t="n">
        <f aca="false">C18^2*C40</f>
        <v>0.729</v>
      </c>
      <c r="D106" s="235"/>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row>
    <row r="107" customFormat="false" ht="14.4" hidden="false" customHeight="false" outlineLevel="0" collapsed="false">
      <c r="A107" s="147"/>
      <c r="B107" s="234" t="s">
        <v>312</v>
      </c>
      <c r="C107" s="15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row>
    <row r="108" customFormat="false" ht="14.4" hidden="false" customHeight="false" outlineLevel="0" collapsed="false">
      <c r="A108" s="147"/>
      <c r="B108" s="191" t="s">
        <v>313</v>
      </c>
      <c r="C108" s="223" t="n">
        <f aca="false">(C15-5)*C77*C27*2*0.000000001</f>
        <v>0.77</v>
      </c>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row>
    <row r="109" customFormat="false" ht="14.4" hidden="false" customHeight="false" outlineLevel="0" collapsed="false">
      <c r="A109" s="147"/>
      <c r="B109" s="191" t="s">
        <v>314</v>
      </c>
      <c r="C109" s="223" t="n">
        <f aca="false">5*C77*C27*2*0.000000001</f>
        <v>0.55</v>
      </c>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row>
    <row r="110" customFormat="false" ht="14.4" hidden="false" customHeight="false" outlineLevel="0" collapsed="false">
      <c r="A110" s="147"/>
      <c r="B110" s="228" t="s">
        <v>315</v>
      </c>
      <c r="C110" s="223" t="n">
        <f aca="false">C101+C104+C109+C106</f>
        <v>4.314664</v>
      </c>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row>
    <row r="111" customFormat="false" ht="14.4" hidden="false" customHeight="false" outlineLevel="0" collapsed="false">
      <c r="A111" s="147"/>
      <c r="B111" s="191"/>
      <c r="C111" s="15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row>
    <row r="112" customFormat="false" ht="15" hidden="false" customHeight="false" outlineLevel="0" collapsed="false">
      <c r="A112" s="176"/>
      <c r="B112" s="236" t="s">
        <v>316</v>
      </c>
      <c r="C112" s="184" t="n">
        <f aca="false">((C17*C18)/((C17*C18)+(C110)))*100</f>
        <v>91.2507484589168</v>
      </c>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row>
    <row r="113" customFormat="false" ht="14.4" hidden="false" customHeight="false" outlineLevel="0" collapsed="false">
      <c r="A113" s="226"/>
      <c r="B113" s="191"/>
      <c r="C113" s="226"/>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BK113" s="129"/>
      <c r="BL113" s="129"/>
    </row>
    <row r="114" s="128" customFormat="true" ht="14.4" hidden="false" customHeight="false" outlineLevel="0" collapsed="false">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29"/>
      <c r="AF114" s="129"/>
      <c r="AG114" s="129"/>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29"/>
      <c r="BD114" s="129"/>
      <c r="BE114" s="129"/>
      <c r="BF114" s="129"/>
      <c r="BG114" s="129"/>
      <c r="BH114" s="129"/>
      <c r="BI114" s="129"/>
      <c r="BJ114" s="129"/>
      <c r="BK114" s="129"/>
      <c r="BL114" s="129"/>
    </row>
    <row r="115" customFormat="false" ht="14.4" hidden="false" customHeight="false" outlineLevel="0" collapsed="false">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row>
    <row r="116" customFormat="false" ht="14.4" hidden="false" customHeight="false" outlineLevel="0" collapsed="false">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row>
    <row r="117" s="129" customFormat="true" ht="14.4" hidden="false" customHeight="false" outlineLevel="0" collapsed="false"/>
    <row r="118" s="129" customFormat="true" ht="14.4" hidden="false" customHeight="false" outlineLevel="0" collapsed="false"/>
    <row r="119" s="129" customFormat="true" ht="14.4" hidden="false" customHeight="false" outlineLevel="0" collapsed="false"/>
    <row r="120" s="129" customFormat="true" ht="14.4" hidden="false" customHeight="false" outlineLevel="0" collapsed="false"/>
    <row r="121" s="129" customFormat="true" ht="14.4" hidden="false" customHeight="false" outlineLevel="0" collapsed="false"/>
    <row r="122" s="129" customFormat="true" ht="14.4" hidden="false" customHeight="false" outlineLevel="0" collapsed="false"/>
    <row r="123" s="129" customFormat="true" ht="14.4" hidden="false" customHeight="false" outlineLevel="0" collapsed="false"/>
    <row r="124" s="129" customFormat="true" ht="14.4" hidden="false" customHeight="false" outlineLevel="0" collapsed="false"/>
    <row r="125" s="129" customFormat="true" ht="14.4" hidden="false" customHeight="false" outlineLevel="0" collapsed="false"/>
    <row r="126" s="129" customFormat="true" ht="14.4" hidden="false" customHeight="false" outlineLevel="0" collapsed="false"/>
    <row r="127" s="129" customFormat="true" ht="14.4" hidden="false" customHeight="false" outlineLevel="0" collapsed="false"/>
    <row r="128" s="129" customFormat="true" ht="14.4" hidden="false" customHeight="false" outlineLevel="0" collapsed="false"/>
    <row r="129" s="129" customFormat="true" ht="14.4" hidden="false" customHeight="false" outlineLevel="0" collapsed="false"/>
    <row r="130" s="129" customFormat="true" ht="14.4" hidden="false" customHeight="false" outlineLevel="0" collapsed="false"/>
    <row r="131" s="129" customFormat="true" ht="14.4" hidden="false" customHeight="false" outlineLevel="0" collapsed="false"/>
    <row r="132" s="129" customFormat="true" ht="14.4" hidden="false" customHeight="false" outlineLevel="0" collapsed="false"/>
    <row r="133" s="129" customFormat="true" ht="14.4" hidden="false" customHeight="false" outlineLevel="0" collapsed="false"/>
    <row r="134" s="129" customFormat="true" ht="14.4" hidden="false" customHeight="false" outlineLevel="0" collapsed="false"/>
    <row r="135" s="129" customFormat="true" ht="14.4" hidden="false" customHeight="false" outlineLevel="0" collapsed="false"/>
    <row r="136" s="129" customFormat="true" ht="14.4" hidden="false" customHeight="false" outlineLevel="0" collapsed="false"/>
    <row r="137" s="129" customFormat="true" ht="14.4" hidden="false" customHeight="false" outlineLevel="0" collapsed="false"/>
    <row r="138" s="129" customFormat="true" ht="14.4" hidden="false" customHeight="false" outlineLevel="0" collapsed="false"/>
    <row r="139" s="129" customFormat="true" ht="14.4" hidden="false" customHeight="false" outlineLevel="0" collapsed="false"/>
    <row r="140" s="129" customFormat="true" ht="14.4" hidden="false" customHeight="false" outlineLevel="0" collapsed="false"/>
    <row r="141" s="129" customFormat="true" ht="14.4" hidden="false" customHeight="false" outlineLevel="0" collapsed="false"/>
    <row r="142" s="129" customFormat="true" ht="14.4" hidden="false" customHeight="false" outlineLevel="0" collapsed="false"/>
    <row r="143" s="129" customFormat="true" ht="14.4" hidden="false" customHeight="false" outlineLevel="0" collapsed="false"/>
    <row r="144" s="129" customFormat="true" ht="14.4" hidden="false" customHeight="false" outlineLevel="0" collapsed="false"/>
    <row r="145" s="129" customFormat="true" ht="14.4" hidden="false" customHeight="false" outlineLevel="0" collapsed="false"/>
    <row r="146" s="129" customFormat="true" ht="14.4" hidden="false" customHeight="false" outlineLevel="0" collapsed="false"/>
    <row r="147" s="129" customFormat="true" ht="14.4" hidden="false" customHeight="false" outlineLevel="0" collapsed="false"/>
    <row r="148" s="129" customFormat="true" ht="14.4" hidden="false" customHeight="false" outlineLevel="0" collapsed="false"/>
    <row r="149" s="129" customFormat="true" ht="14.4" hidden="false" customHeight="false" outlineLevel="0" collapsed="false"/>
    <row r="150" s="129" customFormat="true" ht="14.4" hidden="false" customHeight="false" outlineLevel="0" collapsed="false"/>
    <row r="151" s="129" customFormat="true" ht="14.4" hidden="false" customHeight="false" outlineLevel="0" collapsed="false"/>
    <row r="152" s="129" customFormat="true" ht="14.4" hidden="false" customHeight="false" outlineLevel="0" collapsed="false"/>
    <row r="153" customFormat="false" ht="14.4" hidden="false" customHeight="false" outlineLevel="0" collapsed="false">
      <c r="T153" s="127"/>
      <c r="U153" s="127"/>
      <c r="V153" s="127"/>
      <c r="W153" s="127"/>
      <c r="X153" s="127"/>
      <c r="Y153" s="127"/>
      <c r="Z153" s="127"/>
      <c r="AA153" s="127"/>
      <c r="AB153" s="127"/>
    </row>
    <row r="154" customFormat="false" ht="14.4" hidden="false" customHeight="false" outlineLevel="0" collapsed="false">
      <c r="T154" s="127"/>
      <c r="U154" s="127"/>
      <c r="V154" s="127"/>
      <c r="W154" s="127"/>
      <c r="X154" s="127"/>
      <c r="Y154" s="127"/>
      <c r="Z154" s="127"/>
      <c r="AA154" s="127"/>
      <c r="AB154" s="127"/>
    </row>
  </sheetData>
  <sheetProtection sheet="true" password="c799" objects="true" scenarios="true"/>
  <protectedRanges>
    <protectedRange name="Range13" password="c7d9" sqref="C90"/>
    <protectedRange name="Range3" password="c7d9" sqref="C32:C33"/>
    <protectedRange name="Range2" password="c7d9" sqref="C27 H7 C7"/>
    <protectedRange name="Range1" password="c7d9" sqref="C14:C18"/>
    <protectedRange name="Range4" password="c7d9" sqref="C35"/>
    <protectedRange name="Range5" password="c7d9" sqref="C37:C38"/>
    <protectedRange name="Range6" password="c7d9" sqref="C40"/>
    <protectedRange name="Range7" password="c7d9" sqref="C45:C49"/>
    <protectedRange name="Range8" password="c7d9" sqref="C55"/>
    <protectedRange name="Range9" password="c7d9" sqref="C61"/>
    <protectedRange name="Range10" password="c7d9" sqref="C65:C67"/>
    <protectedRange name="Range11" password="c7d9" sqref="C71"/>
    <protectedRange name="Range12" password="c7d9" sqref="C81 C77"/>
    <protectedRange name="Range14" password="c7d9" sqref="C75:C85"/>
  </protectedRanges>
  <conditionalFormatting sqref="C36">
    <cfRule type="expression" priority="2" aboveAverage="0" equalAverage="0" bottom="0" percent="0" rank="0" text="" dxfId="0">
      <formula>#ref!="Vout too large"</formula>
    </cfRule>
  </conditionalFormatting>
  <dataValidations count="5">
    <dataValidation allowBlank="true" operator="between" promptTitle="Vsense" showDropDown="false" showErrorMessage="true" showInputMessage="true" sqref="C22" type="decimal">
      <formula1>0.048</formula1>
      <formula2>0.073</formula2>
    </dataValidation>
    <dataValidation allowBlank="false" error="VOUT minimum is 1.5V, Vout maximum is 15V." operator="between" showDropDown="false" showErrorMessage="true" showInputMessage="true" sqref="C17" type="decimal">
      <formula1>1.5</formula1>
      <formula2>15</formula2>
    </dataValidation>
    <dataValidation allowBlank="true" error="Vout must be between 1.5V and 15V" operator="between" showDropDown="false" showErrorMessage="true" showInputMessage="true" sqref="C60" type="decimal">
      <formula1>1.5</formula1>
      <formula2>15</formula2>
    </dataValidation>
    <dataValidation allowBlank="true" error="Frequency must be between 1.8MHz and 2.53MHz" operator="between" showDropDown="false" showErrorMessage="true" showInputMessage="true" sqref="C23" type="decimal">
      <formula1>1.8</formula1>
      <formula2>2.53</formula2>
    </dataValidation>
    <dataValidation allowBlank="true" error="Oscillator must be between 300kHz and 500kHz" operator="between" showDropDown="false" showErrorMessage="true" showInputMessage="true" sqref="C25" type="decimal">
      <formula1>300</formula1>
      <formula2>500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7:J81"/>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G84" activeCellId="0" sqref="G84"/>
    </sheetView>
  </sheetViews>
  <sheetFormatPr defaultRowHeight="14.4" zeroHeight="false" outlineLevelRow="0" outlineLevelCol="0"/>
  <cols>
    <col collapsed="false" customWidth="true" hidden="false" outlineLevel="0" max="1" min="1" style="237" width="10.22"/>
    <col collapsed="false" customWidth="true" hidden="false" outlineLevel="0" max="2" min="2" style="237" width="14.89"/>
    <col collapsed="false" customWidth="true" hidden="false" outlineLevel="0" max="3" min="3" style="237" width="37.11"/>
    <col collapsed="false" customWidth="true" hidden="false" outlineLevel="0" max="4" min="4" style="237" width="20.11"/>
    <col collapsed="false" customWidth="true" hidden="false" outlineLevel="0" max="5" min="5" style="237" width="17.33"/>
    <col collapsed="false" customWidth="true" hidden="false" outlineLevel="0" max="6" min="6" style="237" width="20.55"/>
    <col collapsed="false" customWidth="true" hidden="false" outlineLevel="0" max="7" min="7" style="237" width="9.66"/>
    <col collapsed="false" customWidth="true" hidden="false" outlineLevel="0" max="8" min="8" style="237" width="16.11"/>
    <col collapsed="false" customWidth="true" hidden="false" outlineLevel="0" max="9" min="9" style="237" width="18.11"/>
    <col collapsed="false" customWidth="true" hidden="false" outlineLevel="0" max="10" min="10" style="237" width="17.33"/>
    <col collapsed="false" customWidth="true" hidden="false" outlineLevel="0" max="11" min="11" style="1" width="10"/>
    <col collapsed="false" customWidth="true" hidden="false" outlineLevel="0" max="39" min="12" style="1" width="8.88"/>
    <col collapsed="false" customWidth="true" hidden="false" outlineLevel="0" max="1025" min="40" style="0" width="8.53"/>
  </cols>
  <sheetData>
    <row r="17" customFormat="false" ht="14.4" hidden="false" customHeight="false" outlineLevel="0" collapsed="false">
      <c r="C17" s="237" t="n">
        <v>5</v>
      </c>
    </row>
    <row r="53" customFormat="false" ht="14.4" hidden="false" customHeight="false" outlineLevel="0" collapsed="false">
      <c r="B53" s="238" t="s">
        <v>317</v>
      </c>
    </row>
    <row r="54" customFormat="false" ht="15.6" hidden="false" customHeight="false" outlineLevel="0" collapsed="false">
      <c r="A54" s="239"/>
    </row>
    <row r="55" customFormat="false" ht="21.6" hidden="false" customHeight="false" outlineLevel="0" collapsed="false">
      <c r="A55" s="240" t="s">
        <v>318</v>
      </c>
    </row>
    <row r="56" customFormat="false" ht="14.4" hidden="false" customHeight="false" outlineLevel="0" collapsed="false">
      <c r="A56" s="241" t="s">
        <v>319</v>
      </c>
      <c r="B56" s="242" t="s">
        <v>320</v>
      </c>
      <c r="C56" s="242" t="s">
        <v>35</v>
      </c>
      <c r="D56" s="243" t="s">
        <v>321</v>
      </c>
      <c r="E56" s="243"/>
      <c r="F56" s="243"/>
      <c r="G56" s="243"/>
      <c r="H56" s="243" t="s">
        <v>322</v>
      </c>
      <c r="I56" s="243" t="s">
        <v>323</v>
      </c>
      <c r="J56" s="243" t="s">
        <v>324</v>
      </c>
    </row>
    <row r="57" customFormat="false" ht="15.6" hidden="false" customHeight="false" outlineLevel="0" collapsed="false">
      <c r="A57" s="244" t="n">
        <v>2</v>
      </c>
      <c r="B57" s="245" t="s">
        <v>325</v>
      </c>
      <c r="C57" s="246" t="n">
        <v>0.1</v>
      </c>
      <c r="D57" s="247" t="n">
        <f aca="false">C57</f>
        <v>0.1</v>
      </c>
      <c r="E57" s="247"/>
      <c r="F57" s="247"/>
      <c r="G57" s="248"/>
      <c r="H57" s="249" t="s">
        <v>326</v>
      </c>
      <c r="I57" s="250" t="s">
        <v>327</v>
      </c>
      <c r="J57" s="250" t="s">
        <v>327</v>
      </c>
    </row>
    <row r="58" customFormat="false" ht="15.6" hidden="false" customHeight="false" outlineLevel="0" collapsed="false">
      <c r="A58" s="251" t="n">
        <f aca="false">'Variable Management'!D44</f>
        <v>39.0243902439024</v>
      </c>
      <c r="B58" s="252" t="s">
        <v>328</v>
      </c>
      <c r="C58" s="253" t="n">
        <f aca="false">'Variable Management'!E44</f>
        <v>82</v>
      </c>
      <c r="D58" s="254" t="n">
        <f aca="false">C58</f>
        <v>82</v>
      </c>
      <c r="E58" s="254"/>
      <c r="F58" s="254"/>
      <c r="G58" s="255"/>
      <c r="H58" s="256" t="s">
        <v>326</v>
      </c>
      <c r="I58" s="256" t="s">
        <v>327</v>
      </c>
      <c r="J58" s="256" t="s">
        <v>327</v>
      </c>
    </row>
    <row r="59" customFormat="false" ht="15.6" hidden="false" customHeight="false" outlineLevel="0" collapsed="false">
      <c r="A59" s="251" t="n">
        <f aca="false">'Variable Management'!D46</f>
        <v>1</v>
      </c>
      <c r="B59" s="252" t="s">
        <v>329</v>
      </c>
      <c r="C59" s="257" t="n">
        <f aca="false">'Variable Management'!E46</f>
        <v>47</v>
      </c>
      <c r="D59" s="254" t="n">
        <f aca="false">C59</f>
        <v>47</v>
      </c>
      <c r="E59" s="254"/>
      <c r="F59" s="254"/>
      <c r="G59" s="255"/>
      <c r="H59" s="256" t="s">
        <v>326</v>
      </c>
      <c r="I59" s="256" t="s">
        <v>327</v>
      </c>
      <c r="J59" s="256" t="s">
        <v>327</v>
      </c>
    </row>
    <row r="60" customFormat="false" ht="15.6" hidden="false" customHeight="false" outlineLevel="0" collapsed="false">
      <c r="A60" s="258" t="n">
        <f aca="false">'Variable Management'!D58</f>
        <v>10</v>
      </c>
      <c r="B60" s="252" t="s">
        <v>330</v>
      </c>
      <c r="C60" s="253" t="n">
        <f aca="false">'Variable Management'!C58</f>
        <v>2.2</v>
      </c>
      <c r="D60" s="259" t="n">
        <f aca="false">C60</f>
        <v>2.2</v>
      </c>
      <c r="E60" s="259"/>
      <c r="F60" s="259"/>
      <c r="G60" s="255"/>
      <c r="H60" s="256" t="s">
        <v>326</v>
      </c>
      <c r="I60" s="256" t="s">
        <v>327</v>
      </c>
      <c r="J60" s="256" t="s">
        <v>327</v>
      </c>
    </row>
    <row r="61" customFormat="false" ht="15.6" hidden="false" customHeight="false" outlineLevel="0" collapsed="false">
      <c r="A61" s="244" t="n">
        <v>1</v>
      </c>
      <c r="B61" s="245" t="s">
        <v>331</v>
      </c>
      <c r="C61" s="246" t="n">
        <v>2.2</v>
      </c>
      <c r="D61" s="247" t="n">
        <f aca="false">C61</f>
        <v>2.2</v>
      </c>
      <c r="E61" s="247"/>
      <c r="F61" s="247"/>
      <c r="G61" s="248"/>
      <c r="H61" s="250" t="s">
        <v>326</v>
      </c>
      <c r="I61" s="250" t="s">
        <v>327</v>
      </c>
      <c r="J61" s="250" t="s">
        <v>327</v>
      </c>
    </row>
    <row r="62" customFormat="false" ht="15.6" hidden="false" customHeight="false" outlineLevel="0" collapsed="false">
      <c r="A62" s="244" t="n">
        <v>1</v>
      </c>
      <c r="B62" s="245" t="s">
        <v>332</v>
      </c>
      <c r="C62" s="260" t="n">
        <v>0.1</v>
      </c>
      <c r="D62" s="261" t="n">
        <f aca="false">C62</f>
        <v>0.1</v>
      </c>
      <c r="E62" s="261"/>
      <c r="F62" s="261"/>
      <c r="G62" s="248"/>
      <c r="H62" s="250" t="s">
        <v>326</v>
      </c>
      <c r="I62" s="250" t="s">
        <v>327</v>
      </c>
      <c r="J62" s="250" t="s">
        <v>327</v>
      </c>
    </row>
    <row r="63" customFormat="false" ht="15.6" hidden="false" customHeight="false" outlineLevel="0" collapsed="false">
      <c r="A63" s="251" t="n">
        <v>1</v>
      </c>
      <c r="B63" s="252" t="s">
        <v>333</v>
      </c>
      <c r="C63" s="253" t="n">
        <f aca="false">'Variable Management'!C67</f>
        <v>100</v>
      </c>
      <c r="D63" s="262" t="n">
        <f aca="false">C63</f>
        <v>100</v>
      </c>
      <c r="E63" s="262"/>
      <c r="F63" s="262"/>
      <c r="G63" s="255"/>
      <c r="H63" s="256" t="n">
        <v>1210</v>
      </c>
      <c r="I63" s="256" t="s">
        <v>327</v>
      </c>
      <c r="J63" s="256" t="s">
        <v>327</v>
      </c>
    </row>
    <row r="64" customFormat="false" ht="15.6" hidden="false" customHeight="false" outlineLevel="0" collapsed="false">
      <c r="A64" s="244" t="n">
        <v>1</v>
      </c>
      <c r="B64" s="245" t="s">
        <v>334</v>
      </c>
      <c r="C64" s="260" t="n">
        <f aca="false">'Variable Management'!C74</f>
        <v>10</v>
      </c>
      <c r="D64" s="247" t="n">
        <f aca="false">C64</f>
        <v>10</v>
      </c>
      <c r="E64" s="247"/>
      <c r="F64" s="247"/>
      <c r="G64" s="248"/>
      <c r="H64" s="250" t="s">
        <v>326</v>
      </c>
      <c r="I64" s="250" t="s">
        <v>327</v>
      </c>
      <c r="J64" s="250" t="s">
        <v>327</v>
      </c>
    </row>
    <row r="65" customFormat="false" ht="15.6" hidden="false" customHeight="false" outlineLevel="0" collapsed="false">
      <c r="A65" s="244" t="n">
        <v>1</v>
      </c>
      <c r="B65" s="245" t="s">
        <v>335</v>
      </c>
      <c r="C65" s="260" t="n">
        <f aca="false">'Variable Management'!C76</f>
        <v>0.1</v>
      </c>
      <c r="D65" s="263" t="n">
        <f aca="false">C65</f>
        <v>0.1</v>
      </c>
      <c r="E65" s="263"/>
      <c r="F65" s="263"/>
      <c r="G65" s="248"/>
      <c r="H65" s="250" t="s">
        <v>326</v>
      </c>
      <c r="I65" s="250" t="s">
        <v>327</v>
      </c>
      <c r="J65" s="250" t="s">
        <v>327</v>
      </c>
    </row>
    <row r="66" customFormat="false" ht="15.6" hidden="false" customHeight="false" outlineLevel="0" collapsed="false">
      <c r="A66" s="244" t="n">
        <v>1</v>
      </c>
      <c r="B66" s="245" t="s">
        <v>336</v>
      </c>
      <c r="C66" s="253" t="n">
        <f aca="false">'Variable Management'!C15</f>
        <v>0.0082</v>
      </c>
      <c r="D66" s="254" t="n">
        <f aca="false">C66</f>
        <v>0.0082</v>
      </c>
      <c r="E66" s="254"/>
      <c r="F66" s="254"/>
      <c r="G66" s="255"/>
      <c r="H66" s="256" t="n">
        <v>1210</v>
      </c>
      <c r="I66" s="256" t="s">
        <v>327</v>
      </c>
      <c r="J66" s="256" t="s">
        <v>327</v>
      </c>
    </row>
    <row r="67" customFormat="false" ht="15.6" hidden="false" customHeight="false" outlineLevel="0" collapsed="false">
      <c r="A67" s="244" t="n">
        <v>1</v>
      </c>
      <c r="B67" s="245" t="s">
        <v>337</v>
      </c>
      <c r="C67" s="264" t="str">
        <f aca="false">'Variable Management'!C26</f>
        <v>9mΩ</v>
      </c>
      <c r="D67" s="265" t="str">
        <f aca="false">C67</f>
        <v>9mΩ</v>
      </c>
      <c r="E67" s="265"/>
      <c r="F67" s="265"/>
      <c r="G67" s="248"/>
      <c r="H67" s="250" t="s">
        <v>326</v>
      </c>
      <c r="I67" s="250" t="s">
        <v>327</v>
      </c>
      <c r="J67" s="250" t="s">
        <v>327</v>
      </c>
    </row>
    <row r="68" customFormat="false" ht="15.6" hidden="false" customHeight="false" outlineLevel="0" collapsed="false">
      <c r="A68" s="251" t="n">
        <v>1</v>
      </c>
      <c r="B68" s="252" t="s">
        <v>338</v>
      </c>
      <c r="C68" s="260" t="str">
        <f aca="false">'Variable Management'!B24</f>
        <v>2,2µH</v>
      </c>
      <c r="D68" s="266" t="str">
        <f aca="false">C68</f>
        <v>2,2µH</v>
      </c>
      <c r="E68" s="266"/>
      <c r="F68" s="266"/>
      <c r="G68" s="266"/>
      <c r="H68" s="256" t="s">
        <v>339</v>
      </c>
      <c r="I68" s="256" t="s">
        <v>339</v>
      </c>
      <c r="J68" s="256"/>
    </row>
    <row r="69" customFormat="false" ht="14.4" hidden="false" customHeight="false" outlineLevel="0" collapsed="false">
      <c r="A69" s="244" t="n">
        <v>4</v>
      </c>
      <c r="B69" s="245" t="s">
        <v>340</v>
      </c>
      <c r="C69" s="267" t="s">
        <v>341</v>
      </c>
      <c r="D69" s="268" t="s">
        <v>342</v>
      </c>
      <c r="E69" s="268"/>
      <c r="F69" s="268"/>
      <c r="G69" s="268"/>
      <c r="H69" s="250" t="s">
        <v>343</v>
      </c>
      <c r="I69" s="250" t="s">
        <v>344</v>
      </c>
      <c r="J69" s="250"/>
    </row>
    <row r="70" customFormat="false" ht="15.6" hidden="false" customHeight="false" outlineLevel="0" collapsed="false">
      <c r="A70" s="251" t="n">
        <v>2</v>
      </c>
      <c r="B70" s="252" t="s">
        <v>345</v>
      </c>
      <c r="C70" s="269" t="n">
        <f aca="false">'Variable Management'!C72</f>
        <v>190</v>
      </c>
      <c r="D70" s="270" t="n">
        <f aca="false">C70</f>
        <v>190</v>
      </c>
      <c r="E70" s="270"/>
      <c r="F70" s="270"/>
      <c r="G70" s="270"/>
      <c r="H70" s="256" t="s">
        <v>326</v>
      </c>
      <c r="I70" s="256" t="s">
        <v>327</v>
      </c>
      <c r="J70" s="256" t="s">
        <v>327</v>
      </c>
    </row>
    <row r="71" customFormat="false" ht="15.6" hidden="false" customHeight="false" outlineLevel="0" collapsed="false">
      <c r="A71" s="251" t="n">
        <v>1</v>
      </c>
      <c r="B71" s="252" t="s">
        <v>346</v>
      </c>
      <c r="C71" s="271" t="n">
        <f aca="false">'Variable Management'!C79</f>
        <v>10</v>
      </c>
      <c r="D71" s="270" t="n">
        <f aca="false">C71</f>
        <v>10</v>
      </c>
      <c r="E71" s="270"/>
      <c r="F71" s="270"/>
      <c r="G71" s="270"/>
      <c r="H71" s="256" t="s">
        <v>326</v>
      </c>
      <c r="I71" s="256" t="s">
        <v>327</v>
      </c>
      <c r="J71" s="256" t="s">
        <v>327</v>
      </c>
    </row>
    <row r="72" customFormat="false" ht="15.6" hidden="false" customHeight="false" outlineLevel="0" collapsed="false">
      <c r="A72" s="251" t="n">
        <v>1</v>
      </c>
      <c r="B72" s="252" t="s">
        <v>347</v>
      </c>
      <c r="C72" s="271" t="n">
        <f aca="false">Calculator!C63</f>
        <v>65</v>
      </c>
      <c r="D72" s="270" t="n">
        <f aca="false">C72</f>
        <v>65</v>
      </c>
      <c r="E72" s="270"/>
      <c r="F72" s="270"/>
      <c r="G72" s="270"/>
      <c r="H72" s="256" t="s">
        <v>326</v>
      </c>
      <c r="I72" s="256" t="s">
        <v>327</v>
      </c>
      <c r="J72" s="256" t="s">
        <v>327</v>
      </c>
    </row>
    <row r="73" customFormat="false" ht="15.6" hidden="false" customHeight="false" outlineLevel="0" collapsed="false">
      <c r="A73" s="244" t="n">
        <v>1</v>
      </c>
      <c r="B73" s="245" t="s">
        <v>348</v>
      </c>
      <c r="C73" s="269" t="n">
        <v>10</v>
      </c>
      <c r="D73" s="272" t="n">
        <f aca="false">C73</f>
        <v>10</v>
      </c>
      <c r="E73" s="272"/>
      <c r="F73" s="272"/>
      <c r="G73" s="272"/>
      <c r="H73" s="250" t="s">
        <v>326</v>
      </c>
      <c r="I73" s="250" t="s">
        <v>327</v>
      </c>
      <c r="J73" s="250" t="s">
        <v>327</v>
      </c>
    </row>
    <row r="74" customFormat="false" ht="15.6" hidden="false" customHeight="false" outlineLevel="0" collapsed="false">
      <c r="A74" s="251" t="n">
        <v>1</v>
      </c>
      <c r="B74" s="252" t="s">
        <v>349</v>
      </c>
      <c r="C74" s="273" t="s">
        <v>350</v>
      </c>
      <c r="D74" s="270" t="s">
        <v>351</v>
      </c>
      <c r="E74" s="270"/>
      <c r="F74" s="270"/>
      <c r="G74" s="270"/>
      <c r="H74" s="256" t="s">
        <v>326</v>
      </c>
      <c r="I74" s="256" t="s">
        <v>327</v>
      </c>
      <c r="J74" s="256" t="s">
        <v>327</v>
      </c>
    </row>
    <row r="75" customFormat="false" ht="15.6" hidden="false" customHeight="false" outlineLevel="0" collapsed="false">
      <c r="A75" s="274" t="n">
        <v>1</v>
      </c>
      <c r="B75" s="275" t="s">
        <v>352</v>
      </c>
      <c r="C75" s="276" t="s">
        <v>353</v>
      </c>
      <c r="D75" s="277" t="s">
        <v>354</v>
      </c>
      <c r="E75" s="277"/>
      <c r="F75" s="277"/>
      <c r="G75" s="277"/>
      <c r="H75" s="277" t="s">
        <v>355</v>
      </c>
      <c r="I75" s="277" t="s">
        <v>356</v>
      </c>
      <c r="J75" s="277" t="s">
        <v>357</v>
      </c>
    </row>
    <row r="78" customFormat="false" ht="14.4" hidden="false" customHeight="false" outlineLevel="0" collapsed="false">
      <c r="A78" s="278" t="s">
        <v>358</v>
      </c>
    </row>
    <row r="79" customFormat="false" ht="14.4" hidden="false" customHeight="false" outlineLevel="0" collapsed="false">
      <c r="A79" s="206"/>
    </row>
    <row r="80" customFormat="false" ht="14.4" hidden="false" customHeight="false" outlineLevel="0" collapsed="false">
      <c r="A80" s="237" t="s">
        <v>359</v>
      </c>
    </row>
    <row r="81" customFormat="false" ht="14.4" hidden="false" customHeight="false" outlineLevel="0" collapsed="false">
      <c r="A81" s="237" t="s">
        <v>360</v>
      </c>
    </row>
  </sheetData>
  <mergeCells count="20">
    <mergeCell ref="D56:G56"/>
    <mergeCell ref="D57:F57"/>
    <mergeCell ref="D58:F58"/>
    <mergeCell ref="D59:F59"/>
    <mergeCell ref="D60:F60"/>
    <mergeCell ref="D61:F61"/>
    <mergeCell ref="D62:F62"/>
    <mergeCell ref="D63:F63"/>
    <mergeCell ref="D64:F64"/>
    <mergeCell ref="D65:F65"/>
    <mergeCell ref="D66:F66"/>
    <mergeCell ref="D67:F67"/>
    <mergeCell ref="D68:G68"/>
    <mergeCell ref="D69:G69"/>
    <mergeCell ref="D70:G70"/>
    <mergeCell ref="D71:G71"/>
    <mergeCell ref="D72:G72"/>
    <mergeCell ref="D73:G73"/>
    <mergeCell ref="D74:G74"/>
    <mergeCell ref="D75:G75"/>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A1" activeCellId="0" sqref="A1"/>
    </sheetView>
  </sheetViews>
  <sheetFormatPr defaultRowHeight="14.4" zeroHeight="false" outlineLevelRow="0" outlineLevelCol="0"/>
  <cols>
    <col collapsed="false" customWidth="true" hidden="false" outlineLevel="0" max="1025" min="1" style="0" width="8.53"/>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LibreOffice/6.2.1.2$Linux_X86_64 LibreOffice_project/20$Build-2</Application>
  <Company>Texas Instruments Incorporated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2014-07-23T14:59:43Z</dcterms:created>
  <dc:creator>Allinder, Terry</dc:creator>
  <dc:description/>
  <dc:language>de-DE</dc:language>
  <cp:lastModifiedBy>Arndt Kritzner</cp:lastModifiedBy>
  <cp:lastPrinted>2015-12-08T22:32:20Z</cp:lastPrinted>
  <dcterms:modified xsi:type="dcterms:W3CDTF">2019-03-14T13:34:51Z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Texas Instruments Incorporated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