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6" yWindow="180" windowWidth="9156" windowHeight="11760" tabRatio="695" activeTab="1"/>
  </bookViews>
  <sheets>
    <sheet name="Instructions" sheetId="14" r:id="rId1"/>
    <sheet name="Design Calculator" sheetId="1" r:id="rId2"/>
    <sheet name="Device Parmaters" sheetId="6" state="hidden" r:id="rId3"/>
    <sheet name="Equations" sheetId="3" r:id="rId4"/>
    <sheet name="Start_up" sheetId="13" state="hidden" r:id="rId5"/>
    <sheet name="SOA" sheetId="7" state="hidden" r:id="rId6"/>
    <sheet name="WorstCaseAnalysis" sheetId="16" state="hidden" r:id="rId7"/>
    <sheet name="RMS_Analysis" sheetId="18" state="hidden" r:id="rId8"/>
    <sheet name="comparison" sheetId="19" state="hidden" r:id="rId9"/>
  </sheets>
  <externalReferences>
    <externalReference r:id="rId10"/>
    <externalReference r:id="rId11"/>
  </externalReferences>
  <definedNames>
    <definedName name="C_ISS">'Design Calculator'!#REF!</definedName>
    <definedName name="CLMAX">Equations!$E$7</definedName>
    <definedName name="CLMAX_Threshold">Equations!$E$17</definedName>
    <definedName name="CLMIN">Equations!$E$5</definedName>
    <definedName name="CLMIN_Threshold">Equations!$E$15</definedName>
    <definedName name="CLNOM">Equations!$E$6</definedName>
    <definedName name="CLNOM_Threshold">Equations!$E$16</definedName>
    <definedName name="COUTMAX">'Design Calculator'!$F$17</definedName>
    <definedName name="CTIMER">'Design Calculator'!#REF!</definedName>
    <definedName name="FBmax">'Device Parmaters'!#REF!</definedName>
    <definedName name="FETPDISS">'Design Calculator'!$F$51</definedName>
    <definedName name="FoldBack_max">'Device Parmaters'!$D$12</definedName>
    <definedName name="I_Cout_ss">Equations!#REF!</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LIM_tgt">'Design Calculator'!$F$21</definedName>
    <definedName name="IOUTMAX">'Design Calculator'!$F$16</definedName>
    <definedName name="MaxFETPW">'Design Calculator'!#REF!</definedName>
    <definedName name="NUMFETS">'Design Calculator'!$F$43</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Calculator'!$A$1:$M$211</definedName>
    <definedName name="RDIV1">'Design Calculator'!$F$29</definedName>
    <definedName name="RDIV2">'Design Calculator'!#REF!</definedName>
    <definedName name="RDSON">'Design Calculator'!$AN$44</definedName>
    <definedName name="RIMON">'Design Calculator'!$F$29</definedName>
    <definedName name="Rimon_recom">Equations!$E$11</definedName>
    <definedName name="RPROG">'Design Calculator'!$F$56</definedName>
    <definedName name="RPWR">'Design Calculator'!$F$56</definedName>
    <definedName name="Rrflt" localSheetId="5">[1]ILIM_SOA_considerations!$C$46</definedName>
    <definedName name="Rrflt">[2]ILIM_SOA_considerations!$C$46</definedName>
    <definedName name="Rs">'Design Calculator'!$F$25</definedName>
    <definedName name="RsEFF">Equations!$E$4</definedName>
    <definedName name="Rsense" localSheetId="5">[1]ILIM_SOA_considerations!$C$30</definedName>
    <definedName name="Rsense">[2]ILIM_SOA_considerations!$C$30</definedName>
    <definedName name="Rset_recom">Equations!$E$10</definedName>
    <definedName name="RsMAX">'Design Calculator'!$F$23</definedName>
    <definedName name="SOA_av" localSheetId="5">[1]ILIM_SOA_considerations!$C$52</definedName>
    <definedName name="SOA_av">[2]ILIM_SOA_considerations!$C$52</definedName>
    <definedName name="solver_adj" localSheetId="5" hidden="1">SOA!$J$8</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SOA!$J$27</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ourcing_Current">'Device Parmaters'!$D$23</definedName>
    <definedName name="ss_rate">Equations!$F$55</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Calculator'!$F$19</definedName>
    <definedName name="Tfault">'Design Calculator'!$F$68</definedName>
    <definedName name="Tfaultmax">'Design Calculator'!#REF!</definedName>
    <definedName name="ThetaJA">'Design Calculator'!$F$42</definedName>
    <definedName name="Timer_Sourcing_Current">'Device Parmaters'!$D$19,'Device Parmaters'!$B$19</definedName>
    <definedName name="TINSERT">'Design Calculator'!#REF!</definedName>
    <definedName name="TINSERTMAX">Equations!#REF!</definedName>
    <definedName name="TINSERTMIN">Equations!#REF!</definedName>
    <definedName name="TJ">'Design Calculator'!$F$52</definedName>
    <definedName name="TJMAX">'Design Calculator'!$AN$45</definedName>
    <definedName name="trial">Equations!$H$21</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Upper_Threshold">'Device Parmaters'!$D$17,'Device Parmaters'!$B$17</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Calculator'!$F$15</definedName>
    <definedName name="VINMIN">'Design Calculator'!$F$13</definedName>
    <definedName name="VINNOM">'Design Calculator'!$F$14</definedName>
    <definedName name="Vsns_min">'Device Parmaters'!$D$14</definedName>
  </definedNames>
  <calcPr calcId="145621"/>
</workbook>
</file>

<file path=xl/calcChain.xml><?xml version="1.0" encoding="utf-8"?>
<calcChain xmlns="http://schemas.openxmlformats.org/spreadsheetml/2006/main">
  <c r="C92" i="3" l="1"/>
  <c r="C65" i="6" l="1"/>
  <c r="C67" i="6" s="1"/>
  <c r="I48" i="18"/>
  <c r="F94" i="3"/>
  <c r="C94" i="3"/>
  <c r="F114" i="1"/>
  <c r="D31" i="7"/>
  <c r="D29" i="7"/>
  <c r="AO69" i="1"/>
  <c r="F108" i="1"/>
  <c r="F109" i="1"/>
  <c r="P27" i="18"/>
  <c r="I47" i="18" s="1"/>
  <c r="P27" i="16"/>
  <c r="P32" i="18"/>
  <c r="P31" i="16"/>
  <c r="F44" i="3"/>
  <c r="F28" i="3"/>
  <c r="H22" i="3"/>
  <c r="E153" i="3"/>
  <c r="C96" i="3" l="1"/>
  <c r="C98" i="3" s="1"/>
  <c r="C100" i="3" s="1"/>
  <c r="C102" i="3" s="1"/>
  <c r="C103" i="3" s="1"/>
  <c r="F87" i="1" s="1"/>
  <c r="F138" i="1" s="1"/>
  <c r="F149" i="1"/>
  <c r="F144" i="1"/>
  <c r="D144" i="1"/>
  <c r="D149" i="1"/>
  <c r="D98" i="18"/>
  <c r="S23" i="18"/>
  <c r="S22" i="18"/>
  <c r="S21" i="18"/>
  <c r="S17" i="18"/>
  <c r="G14" i="18"/>
  <c r="E84" i="18" s="1"/>
  <c r="G13" i="18"/>
  <c r="E81" i="18" s="1"/>
  <c r="G12" i="18"/>
  <c r="E80" i="18" s="1"/>
  <c r="E11" i="18"/>
  <c r="S10" i="18"/>
  <c r="G10" i="18"/>
  <c r="S9" i="18"/>
  <c r="G9" i="18"/>
  <c r="S8" i="18"/>
  <c r="G8" i="18"/>
  <c r="G7" i="18"/>
  <c r="G6" i="18"/>
  <c r="E6" i="18"/>
  <c r="E20" i="18" s="1"/>
  <c r="G14" i="16"/>
  <c r="E83" i="16" s="1"/>
  <c r="G13" i="16"/>
  <c r="E80" i="16" s="1"/>
  <c r="G12" i="16"/>
  <c r="E79" i="16" s="1"/>
  <c r="G10" i="16"/>
  <c r="G6" i="16"/>
  <c r="G7" i="16"/>
  <c r="G8" i="16"/>
  <c r="G9" i="16"/>
  <c r="F35" i="1"/>
  <c r="E143" i="1" s="1"/>
  <c r="E6" i="16"/>
  <c r="E20" i="16" s="1"/>
  <c r="D97" i="16"/>
  <c r="F86" i="1" l="1"/>
  <c r="E45" i="18"/>
  <c r="E71" i="18" s="1"/>
  <c r="E44" i="16"/>
  <c r="E70" i="16" s="1"/>
  <c r="F32" i="18"/>
  <c r="F23" i="18"/>
  <c r="F24" i="18"/>
  <c r="E23" i="18"/>
  <c r="E24" i="18"/>
  <c r="I46" i="16"/>
  <c r="E11" i="16"/>
  <c r="S22" i="16"/>
  <c r="S23" i="16"/>
  <c r="S21" i="16"/>
  <c r="E27" i="18" l="1"/>
  <c r="E26" i="18"/>
  <c r="I47" i="16"/>
  <c r="F23" i="16"/>
  <c r="E23" i="16"/>
  <c r="F31" i="16"/>
  <c r="F24" i="16"/>
  <c r="E24" i="16"/>
  <c r="E29" i="18" l="1"/>
  <c r="E26" i="16"/>
  <c r="E27" i="16"/>
  <c r="E30" i="18" l="1"/>
  <c r="G32" i="18"/>
  <c r="E32" i="18"/>
  <c r="E29" i="16"/>
  <c r="E31" i="16" l="1"/>
  <c r="G31" i="16"/>
  <c r="S17" i="16"/>
  <c r="S9" i="16"/>
  <c r="S10" i="16"/>
  <c r="S8" i="16"/>
  <c r="F38" i="1" l="1"/>
  <c r="F134" i="1" l="1"/>
  <c r="F133" i="1"/>
  <c r="AN22" i="1" l="1"/>
  <c r="E67" i="1" l="1"/>
  <c r="E68" i="1"/>
  <c r="F30" i="3"/>
  <c r="E10" i="3"/>
  <c r="E3" i="3"/>
  <c r="F23" i="1" s="1"/>
  <c r="E13" i="3" l="1"/>
  <c r="F116" i="1" l="1"/>
  <c r="E149" i="1" s="1"/>
  <c r="C150" i="1"/>
  <c r="F132" i="1"/>
  <c r="F131" i="1"/>
  <c r="F130" i="1"/>
  <c r="F129" i="1"/>
  <c r="F128" i="1"/>
  <c r="F127" i="1"/>
  <c r="F126" i="1"/>
  <c r="F125" i="1"/>
  <c r="F124" i="1"/>
  <c r="F123" i="1"/>
  <c r="F122" i="1"/>
  <c r="F121" i="1"/>
  <c r="F120" i="1"/>
  <c r="E133" i="1"/>
  <c r="F50" i="3"/>
  <c r="F51" i="3" s="1"/>
  <c r="F73" i="1" s="1"/>
  <c r="E151" i="1" s="1"/>
  <c r="F49" i="3"/>
  <c r="F71" i="1" s="1"/>
  <c r="E66" i="1"/>
  <c r="E65" i="1"/>
  <c r="F40" i="1"/>
  <c r="E144" i="1" s="1"/>
  <c r="F110" i="1"/>
  <c r="F112" i="1"/>
  <c r="E148" i="1" s="1"/>
  <c r="F95" i="16" s="1"/>
  <c r="G58" i="3"/>
  <c r="G64" i="3" s="1"/>
  <c r="G66" i="3"/>
  <c r="G65" i="3"/>
  <c r="C67" i="3"/>
  <c r="D66" i="3"/>
  <c r="B66" i="3"/>
  <c r="C64" i="3"/>
  <c r="C65" i="3" s="1"/>
  <c r="D64" i="3"/>
  <c r="B64" i="3"/>
  <c r="F102" i="1"/>
  <c r="F105" i="1"/>
  <c r="F106" i="1" s="1"/>
  <c r="F104" i="1"/>
  <c r="F91" i="16" l="1"/>
  <c r="F92" i="18"/>
  <c r="E10" i="16"/>
  <c r="F32" i="16" s="1"/>
  <c r="F90" i="16" s="1"/>
  <c r="E10" i="18"/>
  <c r="E8" i="16"/>
  <c r="E8" i="18"/>
  <c r="E9" i="16"/>
  <c r="E54" i="16" s="1"/>
  <c r="E58" i="16" s="1"/>
  <c r="E9" i="18"/>
  <c r="E55" i="18" s="1"/>
  <c r="F96" i="16"/>
  <c r="F97" i="18"/>
  <c r="E7" i="16"/>
  <c r="E7" i="18"/>
  <c r="F96" i="18"/>
  <c r="F98" i="16"/>
  <c r="E98" i="16" s="1"/>
  <c r="F99" i="18"/>
  <c r="G77" i="3"/>
  <c r="F77" i="3" s="1"/>
  <c r="E147" i="1" s="1"/>
  <c r="E152" i="1"/>
  <c r="F100" i="18" s="1"/>
  <c r="F111" i="1"/>
  <c r="G71" i="3"/>
  <c r="F71" i="3" s="1"/>
  <c r="E146" i="1" s="1"/>
  <c r="G80" i="3"/>
  <c r="F80" i="3" s="1"/>
  <c r="G70" i="3"/>
  <c r="F70" i="3" s="1"/>
  <c r="G76" i="3"/>
  <c r="F76" i="3" s="1"/>
  <c r="G72" i="3"/>
  <c r="F72" i="3" s="1"/>
  <c r="G78" i="3"/>
  <c r="F78" i="3" s="1"/>
  <c r="G74" i="3"/>
  <c r="F74" i="3" s="1"/>
  <c r="D67" i="3"/>
  <c r="G81" i="3" s="1"/>
  <c r="F81" i="3" s="1"/>
  <c r="B65" i="3"/>
  <c r="G73" i="3" s="1"/>
  <c r="F73" i="3" s="1"/>
  <c r="D65" i="3"/>
  <c r="G75" i="3" s="1"/>
  <c r="F75" i="3" s="1"/>
  <c r="G57" i="3"/>
  <c r="G60" i="3" s="1"/>
  <c r="G59" i="3" s="1"/>
  <c r="B67" i="3"/>
  <c r="G79" i="3" s="1"/>
  <c r="F79" i="3" s="1"/>
  <c r="F98" i="1"/>
  <c r="F103" i="1" s="1"/>
  <c r="F27" i="3"/>
  <c r="AN50" i="1"/>
  <c r="AN45" i="1"/>
  <c r="AN46" i="1"/>
  <c r="B4" i="7" s="1"/>
  <c r="AN47" i="1"/>
  <c r="C4" i="7" s="1"/>
  <c r="AN48" i="1"/>
  <c r="AN49" i="1"/>
  <c r="AN44" i="1"/>
  <c r="F51" i="1" s="1"/>
  <c r="F52" i="1" s="1"/>
  <c r="C23" i="7" s="1"/>
  <c r="AN21" i="1"/>
  <c r="AN20" i="1"/>
  <c r="F30" i="1"/>
  <c r="F36" i="1"/>
  <c r="E32" i="16" l="1"/>
  <c r="E90" i="16" s="1"/>
  <c r="F57" i="16"/>
  <c r="G32" i="16"/>
  <c r="G90" i="16" s="1"/>
  <c r="E57" i="16"/>
  <c r="E61" i="16" s="1"/>
  <c r="F58" i="16"/>
  <c r="E37" i="16"/>
  <c r="E67" i="16" s="1"/>
  <c r="E68" i="16" s="1"/>
  <c r="F94" i="16"/>
  <c r="E94" i="16" s="1"/>
  <c r="F95" i="18"/>
  <c r="E38" i="18"/>
  <c r="E39" i="18" s="1"/>
  <c r="E43" i="18" s="1"/>
  <c r="E49" i="18" s="1"/>
  <c r="I52" i="18" s="1"/>
  <c r="F59" i="18"/>
  <c r="E59" i="18"/>
  <c r="F58" i="18"/>
  <c r="E58" i="18"/>
  <c r="F33" i="18"/>
  <c r="F91" i="18" s="1"/>
  <c r="G33" i="18"/>
  <c r="G91" i="18" s="1"/>
  <c r="F143" i="1" s="1"/>
  <c r="E33" i="18"/>
  <c r="E91" i="18" s="1"/>
  <c r="D143" i="1" s="1"/>
  <c r="J41" i="18"/>
  <c r="F93" i="16"/>
  <c r="G93" i="16" s="1"/>
  <c r="F94" i="18"/>
  <c r="E99" i="18"/>
  <c r="D151" i="1" s="1"/>
  <c r="G99" i="18"/>
  <c r="F151" i="1" s="1"/>
  <c r="G98" i="16"/>
  <c r="E153" i="1"/>
  <c r="F99" i="16"/>
  <c r="C24" i="7"/>
  <c r="F113" i="1"/>
  <c r="AO64" i="1"/>
  <c r="E60" i="16" l="1"/>
  <c r="E63" i="16" s="1"/>
  <c r="E64" i="16" s="1"/>
  <c r="E72" i="16" s="1"/>
  <c r="E68" i="18"/>
  <c r="E69" i="18" s="1"/>
  <c r="F75" i="16"/>
  <c r="F92" i="16" s="1"/>
  <c r="G94" i="16"/>
  <c r="E61" i="18"/>
  <c r="J40" i="16"/>
  <c r="F89" i="16" s="1"/>
  <c r="E41" i="16"/>
  <c r="E47" i="16" s="1"/>
  <c r="E103" i="16" s="1"/>
  <c r="E38" i="16"/>
  <c r="E42" i="16" s="1"/>
  <c r="E48" i="16" s="1"/>
  <c r="E42" i="18"/>
  <c r="E48" i="18" s="1"/>
  <c r="G95" i="18"/>
  <c r="F147" i="1" s="1"/>
  <c r="E95" i="18"/>
  <c r="D147" i="1" s="1"/>
  <c r="E62" i="18"/>
  <c r="F100" i="16"/>
  <c r="F101" i="18"/>
  <c r="F104" i="18"/>
  <c r="F158" i="1" s="1"/>
  <c r="F105" i="18"/>
  <c r="F159" i="1" s="1"/>
  <c r="F90" i="18"/>
  <c r="E93" i="16"/>
  <c r="G94" i="18"/>
  <c r="F146" i="1" s="1"/>
  <c r="E94" i="18"/>
  <c r="D146" i="1" s="1"/>
  <c r="J17" i="3"/>
  <c r="E11" i="3"/>
  <c r="E4" i="3"/>
  <c r="F76" i="18" l="1"/>
  <c r="F93" i="18" s="1"/>
  <c r="I51" i="18"/>
  <c r="E105" i="18" s="1"/>
  <c r="E159" i="1" s="1"/>
  <c r="I37" i="16"/>
  <c r="I40" i="16" s="1"/>
  <c r="E89" i="16" s="1"/>
  <c r="E75" i="16"/>
  <c r="E92" i="16" s="1"/>
  <c r="E64" i="18"/>
  <c r="E65" i="18" s="1"/>
  <c r="E73" i="18" s="1"/>
  <c r="G76" i="18" s="1"/>
  <c r="G93" i="18" s="1"/>
  <c r="F145" i="1" s="1"/>
  <c r="E104" i="18"/>
  <c r="E158" i="1" s="1"/>
  <c r="I50" i="16"/>
  <c r="E104" i="16" s="1"/>
  <c r="I38" i="18"/>
  <c r="I41" i="18" s="1"/>
  <c r="E90" i="18" s="1"/>
  <c r="D142" i="1" s="1"/>
  <c r="F24" i="1"/>
  <c r="E152" i="3"/>
  <c r="I51" i="16"/>
  <c r="F104" i="16" s="1"/>
  <c r="F103" i="16"/>
  <c r="K40" i="16"/>
  <c r="G89" i="16" s="1"/>
  <c r="G75" i="16"/>
  <c r="G92" i="16" s="1"/>
  <c r="E16" i="3"/>
  <c r="F26" i="1"/>
  <c r="K41" i="18" l="1"/>
  <c r="G90" i="18" s="1"/>
  <c r="F142" i="1" s="1"/>
  <c r="E76" i="18"/>
  <c r="E93" i="18" s="1"/>
  <c r="D145" i="1" s="1"/>
  <c r="F26" i="3"/>
  <c r="F53" i="1" s="1"/>
  <c r="E15" i="3"/>
  <c r="G15" i="3" s="1"/>
  <c r="E17" i="3"/>
  <c r="G17" i="3" s="1"/>
  <c r="E6" i="3"/>
  <c r="F33" i="1" s="1"/>
  <c r="E142" i="1" s="1"/>
  <c r="F42" i="3" l="1"/>
  <c r="E5" i="3" l="1"/>
  <c r="F32" i="1" s="1"/>
  <c r="E7" i="3"/>
  <c r="F34" i="1" l="1"/>
  <c r="E8" i="3"/>
  <c r="F78" i="1" l="1"/>
  <c r="F77" i="1" l="1"/>
  <c r="F66" i="1"/>
  <c r="F29" i="3" l="1"/>
  <c r="F28" i="1"/>
  <c r="F35" i="3" l="1"/>
  <c r="F4" i="7"/>
  <c r="F34" i="3" l="1"/>
  <c r="F36" i="3"/>
  <c r="Q2" i="13"/>
  <c r="P2" i="13"/>
  <c r="A112" i="13"/>
  <c r="B112" i="13"/>
  <c r="A111" i="13"/>
  <c r="B111" i="13"/>
  <c r="A110" i="13"/>
  <c r="B110"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8" i="13"/>
  <c r="H2" i="13"/>
  <c r="O149" i="3" l="1"/>
  <c r="F45" i="3"/>
  <c r="F46" i="3" s="1"/>
  <c r="F68" i="1" s="1"/>
  <c r="D2" i="13" l="1"/>
  <c r="G2"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X20" i="13"/>
  <c r="X13" i="13"/>
  <c r="X16" i="13" s="1"/>
  <c r="E150" i="1" l="1"/>
  <c r="C8" i="7"/>
  <c r="C112" i="13"/>
  <c r="C111" i="13"/>
  <c r="C110" i="13"/>
  <c r="C78" i="13"/>
  <c r="C60" i="13"/>
  <c r="C109" i="13"/>
  <c r="C73" i="13"/>
  <c r="C41" i="13"/>
  <c r="C93" i="13"/>
  <c r="C89" i="13"/>
  <c r="C100" i="13"/>
  <c r="C74" i="13"/>
  <c r="C70" i="13"/>
  <c r="C13" i="13"/>
  <c r="C9" i="13"/>
  <c r="C99" i="13"/>
  <c r="C98" i="13"/>
  <c r="C96" i="13"/>
  <c r="C88" i="13"/>
  <c r="C77" i="13"/>
  <c r="C72" i="13"/>
  <c r="C56" i="13"/>
  <c r="C52" i="13"/>
  <c r="C47" i="13"/>
  <c r="C45" i="13"/>
  <c r="C37" i="13"/>
  <c r="C30" i="13"/>
  <c r="C21" i="13"/>
  <c r="C17" i="13"/>
  <c r="C108" i="13"/>
  <c r="C107" i="13"/>
  <c r="C105" i="13"/>
  <c r="C97" i="13"/>
  <c r="C94" i="13"/>
  <c r="C82" i="13"/>
  <c r="C80" i="13"/>
  <c r="C67" i="13"/>
  <c r="C65" i="13"/>
  <c r="C63" i="13"/>
  <c r="C61" i="13"/>
  <c r="C57" i="13"/>
  <c r="C34" i="13"/>
  <c r="C18" i="13"/>
  <c r="C103" i="13"/>
  <c r="C101" i="13"/>
  <c r="C90" i="13"/>
  <c r="C86" i="13"/>
  <c r="C85" i="13"/>
  <c r="C81" i="13"/>
  <c r="C69" i="13"/>
  <c r="C66" i="13"/>
  <c r="C64" i="13"/>
  <c r="C55" i="13"/>
  <c r="C53" i="13"/>
  <c r="C49" i="13"/>
  <c r="C44" i="13"/>
  <c r="C42" i="13"/>
  <c r="C38" i="13"/>
  <c r="C33" i="13"/>
  <c r="C29" i="13"/>
  <c r="C25" i="13"/>
  <c r="C48" i="13"/>
  <c r="C26" i="13"/>
  <c r="C22" i="13"/>
  <c r="C14" i="13"/>
  <c r="C10" i="13"/>
  <c r="C106" i="13"/>
  <c r="C92" i="13"/>
  <c r="C75" i="13"/>
  <c r="C104" i="13"/>
  <c r="C91" i="13"/>
  <c r="C84" i="13"/>
  <c r="C102" i="13"/>
  <c r="C83" i="13"/>
  <c r="C76" i="13"/>
  <c r="C95" i="13"/>
  <c r="C87" i="13"/>
  <c r="C79" i="13"/>
  <c r="C71" i="13"/>
  <c r="C59" i="13"/>
  <c r="C51" i="13"/>
  <c r="C68" i="13"/>
  <c r="C58" i="13"/>
  <c r="C50" i="13"/>
  <c r="C62" i="13"/>
  <c r="C54" i="13"/>
  <c r="C46" i="13"/>
  <c r="C43" i="13"/>
  <c r="C40" i="13"/>
  <c r="C39" i="13"/>
  <c r="C36" i="13"/>
  <c r="C35" i="13"/>
  <c r="C32" i="13"/>
  <c r="C31" i="13"/>
  <c r="C28" i="13"/>
  <c r="C27" i="13"/>
  <c r="C24" i="13"/>
  <c r="C23" i="13"/>
  <c r="C20" i="13"/>
  <c r="C19" i="13"/>
  <c r="C16" i="13"/>
  <c r="C15" i="13"/>
  <c r="C12" i="13"/>
  <c r="C11" i="13"/>
  <c r="X22" i="13"/>
  <c r="C8" i="13"/>
  <c r="F97" i="16" l="1"/>
  <c r="G97" i="16" s="1"/>
  <c r="F98" i="18"/>
  <c r="C10" i="7"/>
  <c r="C11" i="7" s="1"/>
  <c r="J8" i="7"/>
  <c r="E97" i="16" l="1"/>
  <c r="G98" i="18"/>
  <c r="F150" i="1" s="1"/>
  <c r="E98" i="18"/>
  <c r="D150" i="1" s="1"/>
  <c r="E4" i="7"/>
  <c r="D4" i="7"/>
  <c r="I40" i="7" l="1"/>
  <c r="I39" i="7" s="1"/>
  <c r="H40" i="7"/>
  <c r="G40" i="7"/>
  <c r="J40" i="7"/>
  <c r="C13" i="7"/>
  <c r="C12" i="7"/>
  <c r="K4" i="7"/>
  <c r="J4" i="7"/>
  <c r="L4" i="7"/>
  <c r="G39" i="7" l="1"/>
  <c r="J39" i="7"/>
  <c r="H39" i="7"/>
  <c r="F55" i="1" l="1"/>
  <c r="I2" i="13"/>
  <c r="F117" i="3"/>
  <c r="F57" i="1" l="1"/>
  <c r="C2" i="13"/>
  <c r="E112" i="13" s="1"/>
  <c r="G112" i="13" s="1"/>
  <c r="J9" i="7"/>
  <c r="H13" i="7"/>
  <c r="G12" i="7"/>
  <c r="C9" i="7"/>
  <c r="B2" i="13" l="1"/>
  <c r="D8" i="13" s="1"/>
  <c r="E145" i="1"/>
  <c r="F122" i="3"/>
  <c r="F138" i="3" s="1"/>
  <c r="G138" i="3" s="1"/>
  <c r="L112" i="13"/>
  <c r="E110" i="13"/>
  <c r="G110" i="13" s="1"/>
  <c r="E109" i="13"/>
  <c r="G109" i="13" s="1"/>
  <c r="E111" i="13"/>
  <c r="G111" i="13" s="1"/>
  <c r="H12" i="7"/>
  <c r="G13" i="7"/>
  <c r="G18" i="7" s="1"/>
  <c r="G17" i="7" s="1"/>
  <c r="D112" i="13" l="1"/>
  <c r="D12" i="13"/>
  <c r="E12" i="13" s="1"/>
  <c r="G12" i="13" s="1"/>
  <c r="D66" i="13"/>
  <c r="E66" i="13" s="1"/>
  <c r="G66" i="13" s="1"/>
  <c r="D23" i="13"/>
  <c r="E23" i="13" s="1"/>
  <c r="G23" i="13" s="1"/>
  <c r="D70" i="13"/>
  <c r="E70" i="13" s="1"/>
  <c r="G70" i="13" s="1"/>
  <c r="D30" i="13"/>
  <c r="E30" i="13" s="1"/>
  <c r="G30" i="13" s="1"/>
  <c r="D67" i="13"/>
  <c r="E67" i="13" s="1"/>
  <c r="G67" i="13" s="1"/>
  <c r="D49" i="13"/>
  <c r="E49" i="13" s="1"/>
  <c r="G49" i="13" s="1"/>
  <c r="D95" i="13"/>
  <c r="E95" i="13" s="1"/>
  <c r="G95" i="13" s="1"/>
  <c r="D29" i="13"/>
  <c r="E29" i="13" s="1"/>
  <c r="G29" i="13" s="1"/>
  <c r="D24" i="13"/>
  <c r="E24" i="13" s="1"/>
  <c r="G24" i="13" s="1"/>
  <c r="D32" i="13"/>
  <c r="E32" i="13" s="1"/>
  <c r="G32" i="13" s="1"/>
  <c r="D37" i="13"/>
  <c r="E37" i="13" s="1"/>
  <c r="G37" i="13" s="1"/>
  <c r="D68" i="13"/>
  <c r="E68" i="13" s="1"/>
  <c r="G68" i="13" s="1"/>
  <c r="D50" i="13"/>
  <c r="E50" i="13" s="1"/>
  <c r="G50" i="13" s="1"/>
  <c r="D38" i="13"/>
  <c r="E38" i="13" s="1"/>
  <c r="G38" i="13" s="1"/>
  <c r="D47" i="13"/>
  <c r="E47" i="13" s="1"/>
  <c r="G47" i="13" s="1"/>
  <c r="D98" i="13"/>
  <c r="E98" i="13" s="1"/>
  <c r="G98" i="13" s="1"/>
  <c r="D46" i="13"/>
  <c r="E46" i="13" s="1"/>
  <c r="G46" i="13" s="1"/>
  <c r="D58" i="13"/>
  <c r="E58" i="13" s="1"/>
  <c r="G58" i="13" s="1"/>
  <c r="D39" i="13"/>
  <c r="E39" i="13" s="1"/>
  <c r="G39" i="13" s="1"/>
  <c r="D87" i="13"/>
  <c r="D34" i="13"/>
  <c r="E34" i="13" s="1"/>
  <c r="G34" i="13" s="1"/>
  <c r="D77" i="13"/>
  <c r="E77" i="13" s="1"/>
  <c r="G77" i="13" s="1"/>
  <c r="D76" i="13"/>
  <c r="E76" i="13" s="1"/>
  <c r="G76" i="13" s="1"/>
  <c r="D54" i="13"/>
  <c r="E54" i="13" s="1"/>
  <c r="G54" i="13" s="1"/>
  <c r="D61" i="13"/>
  <c r="E61" i="13" s="1"/>
  <c r="G61" i="13" s="1"/>
  <c r="D65" i="13"/>
  <c r="E65" i="13" s="1"/>
  <c r="G65" i="13" s="1"/>
  <c r="D59" i="13"/>
  <c r="E59" i="13" s="1"/>
  <c r="G59" i="13" s="1"/>
  <c r="D19" i="13"/>
  <c r="E19" i="13" s="1"/>
  <c r="G19" i="13" s="1"/>
  <c r="D93" i="13"/>
  <c r="E93" i="13" s="1"/>
  <c r="G93" i="13" s="1"/>
  <c r="D53" i="13"/>
  <c r="E53" i="13" s="1"/>
  <c r="G53" i="13" s="1"/>
  <c r="D92" i="13"/>
  <c r="E92" i="13" s="1"/>
  <c r="G92" i="13" s="1"/>
  <c r="D28" i="13"/>
  <c r="E28" i="13" s="1"/>
  <c r="G28" i="13" s="1"/>
  <c r="D86" i="13"/>
  <c r="E86" i="13" s="1"/>
  <c r="G86" i="13" s="1"/>
  <c r="D42" i="13"/>
  <c r="E42" i="13" s="1"/>
  <c r="G42" i="13" s="1"/>
  <c r="D107" i="13"/>
  <c r="E107" i="13" s="1"/>
  <c r="G107" i="13" s="1"/>
  <c r="D22" i="13"/>
  <c r="E22" i="13" s="1"/>
  <c r="G22" i="13" s="1"/>
  <c r="D55" i="13"/>
  <c r="E55" i="13" s="1"/>
  <c r="G55" i="13" s="1"/>
  <c r="D13" i="13"/>
  <c r="E13" i="13" s="1"/>
  <c r="G13" i="13" s="1"/>
  <c r="D64" i="13"/>
  <c r="E64" i="13" s="1"/>
  <c r="G64" i="13" s="1"/>
  <c r="D14" i="13"/>
  <c r="E14" i="13" s="1"/>
  <c r="G14" i="13" s="1"/>
  <c r="D60" i="13"/>
  <c r="E60" i="13" s="1"/>
  <c r="G60" i="13" s="1"/>
  <c r="D78" i="13"/>
  <c r="E78" i="13" s="1"/>
  <c r="G78" i="13" s="1"/>
  <c r="D72" i="13"/>
  <c r="E72" i="13" s="1"/>
  <c r="G72" i="13" s="1"/>
  <c r="D96" i="13"/>
  <c r="E96" i="13" s="1"/>
  <c r="G96" i="13" s="1"/>
  <c r="D83" i="13"/>
  <c r="E83" i="13" s="1"/>
  <c r="G83" i="13" s="1"/>
  <c r="D25" i="13"/>
  <c r="E25" i="13" s="1"/>
  <c r="G25" i="13" s="1"/>
  <c r="D40" i="13"/>
  <c r="E40" i="13" s="1"/>
  <c r="G40" i="13" s="1"/>
  <c r="D20" i="13"/>
  <c r="E20" i="13" s="1"/>
  <c r="G20" i="13" s="1"/>
  <c r="D91" i="13"/>
  <c r="E91" i="13" s="1"/>
  <c r="G91" i="13" s="1"/>
  <c r="D102" i="13"/>
  <c r="E102" i="13" s="1"/>
  <c r="G102" i="13" s="1"/>
  <c r="D16" i="13"/>
  <c r="E16" i="13" s="1"/>
  <c r="G16" i="13" s="1"/>
  <c r="D79" i="13"/>
  <c r="E79" i="13" s="1"/>
  <c r="G79" i="13" s="1"/>
  <c r="D84" i="13"/>
  <c r="E84" i="13" s="1"/>
  <c r="G84" i="13" s="1"/>
  <c r="D101" i="13"/>
  <c r="E101" i="13" s="1"/>
  <c r="G101" i="13" s="1"/>
  <c r="D80" i="13"/>
  <c r="E80" i="13" s="1"/>
  <c r="G80" i="13" s="1"/>
  <c r="D90" i="13"/>
  <c r="E90" i="13" s="1"/>
  <c r="G90" i="13" s="1"/>
  <c r="D15" i="13"/>
  <c r="E15" i="13" s="1"/>
  <c r="G15" i="13" s="1"/>
  <c r="D106" i="13"/>
  <c r="E106" i="13" s="1"/>
  <c r="G106" i="13" s="1"/>
  <c r="D111" i="13"/>
  <c r="D44" i="13"/>
  <c r="E44" i="13" s="1"/>
  <c r="G44" i="13" s="1"/>
  <c r="D52" i="13"/>
  <c r="E52" i="13" s="1"/>
  <c r="G52" i="13" s="1"/>
  <c r="D82" i="13"/>
  <c r="E82" i="13" s="1"/>
  <c r="G82" i="13" s="1"/>
  <c r="D103" i="13"/>
  <c r="E103" i="13" s="1"/>
  <c r="G103" i="13" s="1"/>
  <c r="D48" i="13"/>
  <c r="E48" i="13" s="1"/>
  <c r="G48" i="13" s="1"/>
  <c r="D88" i="13"/>
  <c r="E88" i="13" s="1"/>
  <c r="G88" i="13" s="1"/>
  <c r="D74" i="13"/>
  <c r="E74" i="13" s="1"/>
  <c r="G74" i="13" s="1"/>
  <c r="D85" i="13"/>
  <c r="E85" i="13" s="1"/>
  <c r="G85" i="13" s="1"/>
  <c r="D99" i="13"/>
  <c r="E99" i="13" s="1"/>
  <c r="G99" i="13" s="1"/>
  <c r="D33" i="13"/>
  <c r="E33" i="13" s="1"/>
  <c r="G33" i="13" s="1"/>
  <c r="D41" i="13"/>
  <c r="E41" i="13" s="1"/>
  <c r="G41" i="13" s="1"/>
  <c r="D108" i="13"/>
  <c r="E108" i="13" s="1"/>
  <c r="G108" i="13" s="1"/>
  <c r="D56" i="13"/>
  <c r="E56" i="13" s="1"/>
  <c r="G56" i="13" s="1"/>
  <c r="D57" i="13"/>
  <c r="E57" i="13" s="1"/>
  <c r="G57" i="13" s="1"/>
  <c r="D9" i="13"/>
  <c r="E9" i="13" s="1"/>
  <c r="G9" i="13" s="1"/>
  <c r="D69" i="13"/>
  <c r="E69" i="13" s="1"/>
  <c r="G69" i="13" s="1"/>
  <c r="D31" i="13"/>
  <c r="E31" i="13" s="1"/>
  <c r="G31" i="13" s="1"/>
  <c r="D71" i="13"/>
  <c r="E71" i="13" s="1"/>
  <c r="G71" i="13" s="1"/>
  <c r="D75" i="13"/>
  <c r="E75" i="13" s="1"/>
  <c r="G75" i="13" s="1"/>
  <c r="D45" i="13"/>
  <c r="E45" i="13" s="1"/>
  <c r="G45" i="13" s="1"/>
  <c r="D110" i="13"/>
  <c r="D81" i="13"/>
  <c r="E81" i="13" s="1"/>
  <c r="G81" i="13" s="1"/>
  <c r="D62" i="13"/>
  <c r="E62" i="13" s="1"/>
  <c r="G62" i="13" s="1"/>
  <c r="D17" i="13"/>
  <c r="E17" i="13" s="1"/>
  <c r="G17" i="13" s="1"/>
  <c r="D94" i="13"/>
  <c r="E94" i="13" s="1"/>
  <c r="G94" i="13" s="1"/>
  <c r="D36" i="13"/>
  <c r="E36" i="13" s="1"/>
  <c r="G36" i="13" s="1"/>
  <c r="D104" i="13"/>
  <c r="E104" i="13" s="1"/>
  <c r="G104" i="13" s="1"/>
  <c r="D27" i="13"/>
  <c r="E27" i="13" s="1"/>
  <c r="G27" i="13" s="1"/>
  <c r="D26" i="13"/>
  <c r="E26" i="13" s="1"/>
  <c r="G26" i="13" s="1"/>
  <c r="D100" i="13"/>
  <c r="E100" i="13" s="1"/>
  <c r="G100" i="13" s="1"/>
  <c r="D97" i="13"/>
  <c r="E97" i="13" s="1"/>
  <c r="G97" i="13" s="1"/>
  <c r="D89" i="13"/>
  <c r="E89" i="13" s="1"/>
  <c r="G89" i="13" s="1"/>
  <c r="D11" i="13"/>
  <c r="E11" i="13" s="1"/>
  <c r="G11" i="13" s="1"/>
  <c r="D18" i="13"/>
  <c r="E18" i="13" s="1"/>
  <c r="G18" i="13" s="1"/>
  <c r="D51" i="13"/>
  <c r="E51" i="13" s="1"/>
  <c r="G51" i="13" s="1"/>
  <c r="D10" i="13"/>
  <c r="E10" i="13" s="1"/>
  <c r="G10" i="13" s="1"/>
  <c r="D35" i="13"/>
  <c r="E35" i="13" s="1"/>
  <c r="G35" i="13" s="1"/>
  <c r="D105" i="13"/>
  <c r="E105" i="13" s="1"/>
  <c r="G105" i="13" s="1"/>
  <c r="D63" i="13"/>
  <c r="E63" i="13" s="1"/>
  <c r="G63" i="13" s="1"/>
  <c r="D43" i="13"/>
  <c r="E43" i="13" s="1"/>
  <c r="G43" i="13" s="1"/>
  <c r="D73" i="13"/>
  <c r="E73" i="13" s="1"/>
  <c r="G73" i="13" s="1"/>
  <c r="D109" i="13"/>
  <c r="D21" i="13"/>
  <c r="E21" i="13" s="1"/>
  <c r="G21" i="13" s="1"/>
  <c r="F146" i="3"/>
  <c r="B146" i="3" s="1"/>
  <c r="F133" i="3"/>
  <c r="B133" i="3" s="1"/>
  <c r="F141" i="3"/>
  <c r="B141" i="3" s="1"/>
  <c r="E138" i="3"/>
  <c r="F132" i="3"/>
  <c r="G132" i="3" s="1"/>
  <c r="F147" i="3"/>
  <c r="G147" i="3" s="1"/>
  <c r="F143" i="3"/>
  <c r="E143" i="3" s="1"/>
  <c r="B138" i="3"/>
  <c r="F135" i="3"/>
  <c r="B135" i="3" s="1"/>
  <c r="F142" i="3"/>
  <c r="E142" i="3" s="1"/>
  <c r="F144" i="3"/>
  <c r="E144" i="3" s="1"/>
  <c r="F137" i="3"/>
  <c r="B137" i="3" s="1"/>
  <c r="F139" i="3"/>
  <c r="B139" i="3" s="1"/>
  <c r="F140" i="3"/>
  <c r="E140" i="3" s="1"/>
  <c r="F136" i="3"/>
  <c r="E136" i="3" s="1"/>
  <c r="F134" i="3"/>
  <c r="G134" i="3" s="1"/>
  <c r="F145" i="3"/>
  <c r="E145" i="3" s="1"/>
  <c r="F131" i="3"/>
  <c r="F121" i="3"/>
  <c r="F123" i="3"/>
  <c r="L110" i="13"/>
  <c r="L111" i="13"/>
  <c r="L109" i="13"/>
  <c r="L13" i="13"/>
  <c r="L45" i="13"/>
  <c r="E87" i="13"/>
  <c r="G87" i="13" s="1"/>
  <c r="E8" i="13"/>
  <c r="G8" i="13" s="1"/>
  <c r="H18" i="7"/>
  <c r="H17" i="7" s="1"/>
  <c r="L21" i="13" l="1"/>
  <c r="L35" i="13"/>
  <c r="G146" i="3"/>
  <c r="E146" i="3"/>
  <c r="E131" i="3"/>
  <c r="E133" i="3"/>
  <c r="G133" i="3"/>
  <c r="G141" i="3"/>
  <c r="E137" i="3"/>
  <c r="E141" i="3"/>
  <c r="E147" i="3"/>
  <c r="G137" i="3"/>
  <c r="E134" i="3"/>
  <c r="G142" i="3"/>
  <c r="G143" i="3"/>
  <c r="B144" i="3"/>
  <c r="B143" i="3"/>
  <c r="E132" i="3"/>
  <c r="B142" i="3"/>
  <c r="B147" i="3"/>
  <c r="B132" i="3"/>
  <c r="B131" i="3"/>
  <c r="E135" i="3"/>
  <c r="G135" i="3"/>
  <c r="G144" i="3"/>
  <c r="E139" i="3"/>
  <c r="B136" i="3"/>
  <c r="G131" i="3"/>
  <c r="B140" i="3"/>
  <c r="G139" i="3"/>
  <c r="G140" i="3"/>
  <c r="G136" i="3"/>
  <c r="B134" i="3"/>
  <c r="G145" i="3"/>
  <c r="B145" i="3"/>
  <c r="L49" i="13"/>
  <c r="L33" i="13"/>
  <c r="L77" i="13"/>
  <c r="L97" i="13"/>
  <c r="L32" i="13"/>
  <c r="L16" i="13"/>
  <c r="L103" i="13"/>
  <c r="L15" i="13"/>
  <c r="L51" i="13"/>
  <c r="L53" i="13"/>
  <c r="L59" i="13"/>
  <c r="L88" i="13"/>
  <c r="L14" i="13"/>
  <c r="L50" i="13"/>
  <c r="L104" i="13"/>
  <c r="L64" i="13"/>
  <c r="L31" i="13"/>
  <c r="L57" i="13"/>
  <c r="L67" i="13"/>
  <c r="L98" i="13"/>
  <c r="L54" i="13"/>
  <c r="L70" i="13"/>
  <c r="L43" i="13"/>
  <c r="L69" i="13"/>
  <c r="L24" i="13"/>
  <c r="L66" i="13"/>
  <c r="L29" i="13"/>
  <c r="L72" i="13"/>
  <c r="L44" i="13"/>
  <c r="L9" i="13"/>
  <c r="L36" i="13"/>
  <c r="L34" i="13"/>
  <c r="L71" i="13"/>
  <c r="L18" i="13"/>
  <c r="L91" i="13"/>
  <c r="L25" i="13"/>
  <c r="L76" i="13"/>
  <c r="L39" i="13"/>
  <c r="L11" i="13"/>
  <c r="L94" i="13"/>
  <c r="L75" i="13"/>
  <c r="L58" i="13"/>
  <c r="L28" i="13"/>
  <c r="L93" i="13"/>
  <c r="L65" i="13"/>
  <c r="L48" i="13"/>
  <c r="L63" i="13"/>
  <c r="L23" i="13"/>
  <c r="L92" i="13"/>
  <c r="L19" i="13"/>
  <c r="L61" i="13"/>
  <c r="L78" i="13"/>
  <c r="L38" i="13"/>
  <c r="L89" i="13"/>
  <c r="L17" i="13"/>
  <c r="L87" i="13"/>
  <c r="L56" i="13"/>
  <c r="L74" i="13"/>
  <c r="L55" i="13"/>
  <c r="L47" i="13"/>
  <c r="L42" i="13"/>
  <c r="L20" i="13"/>
  <c r="L83" i="13"/>
  <c r="L106" i="13"/>
  <c r="L105" i="13"/>
  <c r="L86" i="13"/>
  <c r="L102" i="13"/>
  <c r="L40" i="13"/>
  <c r="L62" i="13"/>
  <c r="L82" i="13"/>
  <c r="L90" i="13"/>
  <c r="L100" i="13"/>
  <c r="L96" i="13"/>
  <c r="L10" i="13"/>
  <c r="L46" i="13"/>
  <c r="L68" i="13"/>
  <c r="L30" i="13"/>
  <c r="L60" i="13"/>
  <c r="L101" i="13"/>
  <c r="L26" i="13"/>
  <c r="L37" i="13"/>
  <c r="L22" i="13"/>
  <c r="L84" i="13"/>
  <c r="L108" i="13"/>
  <c r="L99" i="13"/>
  <c r="L8" i="13"/>
  <c r="L95" i="13"/>
  <c r="L73" i="13"/>
  <c r="L80" i="13"/>
  <c r="L79" i="13"/>
  <c r="L41" i="13"/>
  <c r="L85" i="13"/>
  <c r="L81" i="13"/>
  <c r="L52" i="13"/>
  <c r="L107" i="13"/>
  <c r="L27" i="13"/>
  <c r="L12" i="13"/>
  <c r="G60" i="1" l="1"/>
  <c r="O154" i="3" l="1"/>
  <c r="O153" i="3" l="1"/>
  <c r="O150" i="3"/>
  <c r="O152" i="3"/>
  <c r="O151" i="3"/>
  <c r="F115" i="3"/>
  <c r="F114" i="3"/>
  <c r="F113" i="3"/>
  <c r="F119" i="3"/>
  <c r="U150" i="3" l="1"/>
  <c r="F118" i="3"/>
  <c r="K131" i="3" s="1"/>
  <c r="T146" i="3"/>
  <c r="T147" i="3"/>
  <c r="T148" i="3"/>
  <c r="T149" i="3"/>
  <c r="T150" i="3"/>
  <c r="S146" i="3"/>
  <c r="U146" i="3"/>
  <c r="S147" i="3"/>
  <c r="U147" i="3"/>
  <c r="S148" i="3"/>
  <c r="U148" i="3"/>
  <c r="S149" i="3"/>
  <c r="U149" i="3"/>
  <c r="S150" i="3"/>
  <c r="T131" i="3" l="1"/>
  <c r="K133" i="3"/>
  <c r="T133" i="3" s="1"/>
  <c r="K135" i="3"/>
  <c r="T135" i="3" s="1"/>
  <c r="K137" i="3"/>
  <c r="T137" i="3" s="1"/>
  <c r="K139" i="3"/>
  <c r="T139" i="3" s="1"/>
  <c r="K141" i="3"/>
  <c r="T141" i="3" s="1"/>
  <c r="K143" i="3"/>
  <c r="T143" i="3" s="1"/>
  <c r="K145" i="3"/>
  <c r="T145" i="3" s="1"/>
  <c r="K147" i="3"/>
  <c r="K132" i="3"/>
  <c r="T132" i="3" s="1"/>
  <c r="K134" i="3"/>
  <c r="T134" i="3" s="1"/>
  <c r="K136" i="3"/>
  <c r="T136" i="3" s="1"/>
  <c r="K138" i="3"/>
  <c r="T138" i="3" s="1"/>
  <c r="K140" i="3"/>
  <c r="T140" i="3" s="1"/>
  <c r="K142" i="3"/>
  <c r="T142" i="3" s="1"/>
  <c r="K144" i="3"/>
  <c r="T144" i="3" s="1"/>
  <c r="K146" i="3"/>
  <c r="L137" i="3" l="1"/>
  <c r="U137" i="3" s="1"/>
  <c r="L141" i="3"/>
  <c r="U141" i="3" s="1"/>
  <c r="L145" i="3"/>
  <c r="U145" i="3" s="1"/>
  <c r="L138" i="3"/>
  <c r="U138" i="3" s="1"/>
  <c r="L142" i="3"/>
  <c r="U142" i="3" s="1"/>
  <c r="L146" i="3"/>
  <c r="L135" i="3"/>
  <c r="U135" i="3" s="1"/>
  <c r="L139" i="3"/>
  <c r="U139" i="3" s="1"/>
  <c r="L143" i="3"/>
  <c r="U143" i="3" s="1"/>
  <c r="L132" i="3"/>
  <c r="U132" i="3" s="1"/>
  <c r="L136" i="3"/>
  <c r="U136" i="3" s="1"/>
  <c r="J131" i="3"/>
  <c r="S131" i="3" s="1"/>
  <c r="J139" i="3"/>
  <c r="S139" i="3" s="1"/>
  <c r="J147" i="3"/>
  <c r="J136" i="3"/>
  <c r="S136" i="3" s="1"/>
  <c r="J144" i="3"/>
  <c r="S144" i="3" s="1"/>
  <c r="J133" i="3"/>
  <c r="S133" i="3" s="1"/>
  <c r="J137" i="3"/>
  <c r="S137" i="3" s="1"/>
  <c r="J145" i="3"/>
  <c r="S145" i="3" s="1"/>
  <c r="J138" i="3"/>
  <c r="S138" i="3" s="1"/>
  <c r="J146" i="3"/>
  <c r="J135" i="3"/>
  <c r="S135" i="3" s="1"/>
  <c r="L131" i="3"/>
  <c r="U131" i="3" s="1"/>
  <c r="L147" i="3"/>
  <c r="J134" i="3"/>
  <c r="S134" i="3" s="1"/>
  <c r="L140" i="3"/>
  <c r="U140" i="3" s="1"/>
  <c r="L144" i="3"/>
  <c r="U144" i="3" s="1"/>
  <c r="L133" i="3"/>
  <c r="U133" i="3" s="1"/>
  <c r="L134" i="3"/>
  <c r="U134" i="3" s="1"/>
  <c r="J132" i="3"/>
  <c r="S132" i="3" s="1"/>
  <c r="J142" i="3"/>
  <c r="S142" i="3" s="1"/>
  <c r="J141" i="3"/>
  <c r="S141" i="3" s="1"/>
  <c r="J140" i="3"/>
  <c r="S140" i="3" s="1"/>
  <c r="J143" i="3"/>
  <c r="S143" i="3" s="1"/>
  <c r="C18" i="7" l="1"/>
  <c r="C17" i="7" s="1"/>
  <c r="C19" i="7" s="1"/>
  <c r="C21" i="7" s="1"/>
  <c r="C25" i="7" s="1"/>
  <c r="F47" i="3" s="1"/>
  <c r="F69" i="1" s="1"/>
  <c r="X131" i="3" l="1"/>
  <c r="O144" i="3"/>
  <c r="O135" i="3"/>
  <c r="O139" i="3"/>
  <c r="V132" i="3" l="1"/>
  <c r="V131" i="3"/>
  <c r="V134" i="3"/>
  <c r="V133" i="3"/>
  <c r="O147" i="3"/>
  <c r="O145" i="3"/>
  <c r="O146" i="3"/>
  <c r="O148" i="3"/>
  <c r="O141" i="3"/>
  <c r="O140" i="3"/>
  <c r="O142" i="3"/>
  <c r="O143" i="3"/>
  <c r="O137" i="3"/>
  <c r="O136" i="3"/>
  <c r="O138" i="3"/>
  <c r="V147" i="3"/>
  <c r="V149" i="3"/>
  <c r="V143" i="3"/>
  <c r="V150" i="3"/>
  <c r="V136" i="3"/>
  <c r="V148" i="3"/>
  <c r="V141" i="3"/>
  <c r="V135" i="3"/>
  <c r="V142" i="3"/>
  <c r="V138" i="3"/>
  <c r="V144" i="3"/>
  <c r="V146" i="3"/>
  <c r="V137" i="3"/>
  <c r="V145" i="3"/>
  <c r="V139" i="3"/>
  <c r="V140" i="3"/>
  <c r="H42" i="13" l="1"/>
  <c r="K42" i="13" s="1"/>
  <c r="N84" i="13"/>
  <c r="N49" i="13"/>
  <c r="N111" i="13"/>
  <c r="H110" i="13"/>
  <c r="H76" i="13"/>
  <c r="I76" i="13" s="1"/>
  <c r="M76" i="13" s="1"/>
  <c r="H91" i="13"/>
  <c r="H28" i="13"/>
  <c r="H79" i="13"/>
  <c r="N89" i="13"/>
  <c r="N29" i="13"/>
  <c r="N10" i="13"/>
  <c r="N66" i="13"/>
  <c r="H24" i="13"/>
  <c r="N38" i="13"/>
  <c r="N60" i="13"/>
  <c r="N71" i="13"/>
  <c r="N20" i="13"/>
  <c r="H58" i="13"/>
  <c r="H44" i="13"/>
  <c r="I44" i="13" s="1"/>
  <c r="M44" i="13" s="1"/>
  <c r="N47" i="13"/>
  <c r="H36" i="13"/>
  <c r="K36" i="13" s="1"/>
  <c r="H54" i="13"/>
  <c r="N85" i="13"/>
  <c r="N103" i="13"/>
  <c r="N101" i="13"/>
  <c r="H96" i="13"/>
  <c r="N68" i="13"/>
  <c r="H45" i="13"/>
  <c r="N13" i="13"/>
  <c r="H21" i="13"/>
  <c r="N27" i="13"/>
  <c r="H52" i="13"/>
  <c r="I52" i="13" s="1"/>
  <c r="M52" i="13" s="1"/>
  <c r="H33" i="13"/>
  <c r="N12" i="13"/>
  <c r="N53" i="13"/>
  <c r="N104" i="13"/>
  <c r="N56" i="13"/>
  <c r="N81" i="13"/>
  <c r="N61" i="13"/>
  <c r="H74" i="13"/>
  <c r="N16" i="13"/>
  <c r="H72" i="13"/>
  <c r="K72" i="13" s="1"/>
  <c r="N39" i="13"/>
  <c r="N40" i="13"/>
  <c r="H51" i="13"/>
  <c r="N46" i="13"/>
  <c r="H86" i="13"/>
  <c r="I86" i="13" s="1"/>
  <c r="M86" i="13" s="1"/>
  <c r="N94" i="13"/>
  <c r="H32" i="13"/>
  <c r="N14" i="13"/>
  <c r="N8" i="13"/>
  <c r="H40" i="13" l="1"/>
  <c r="I40" i="13" s="1"/>
  <c r="M40" i="13" s="1"/>
  <c r="N112" i="13"/>
  <c r="H112" i="13"/>
  <c r="I112" i="13" s="1"/>
  <c r="M112" i="13" s="1"/>
  <c r="N9" i="13"/>
  <c r="H9" i="13"/>
  <c r="I9" i="13" s="1"/>
  <c r="M9" i="13" s="1"/>
  <c r="I32" i="13"/>
  <c r="M32" i="13" s="1"/>
  <c r="K32" i="13"/>
  <c r="H8" i="13"/>
  <c r="H60" i="13"/>
  <c r="K60" i="13" s="1"/>
  <c r="N36" i="13"/>
  <c r="H61" i="13"/>
  <c r="K61" i="13" s="1"/>
  <c r="H53" i="13"/>
  <c r="I53" i="13" s="1"/>
  <c r="M53" i="13" s="1"/>
  <c r="H47" i="13"/>
  <c r="K47" i="13" s="1"/>
  <c r="H66" i="13"/>
  <c r="I66" i="13" s="1"/>
  <c r="M66" i="13" s="1"/>
  <c r="H87" i="13"/>
  <c r="N87" i="13"/>
  <c r="I91" i="13"/>
  <c r="M91" i="13" s="1"/>
  <c r="K91" i="13"/>
  <c r="N15" i="13"/>
  <c r="H15" i="13"/>
  <c r="N37" i="13"/>
  <c r="H37" i="13"/>
  <c r="I37" i="13" s="1"/>
  <c r="M37" i="13" s="1"/>
  <c r="N18" i="13"/>
  <c r="H18" i="13"/>
  <c r="I18" i="13" s="1"/>
  <c r="M18" i="13" s="1"/>
  <c r="H106" i="13"/>
  <c r="I106" i="13" s="1"/>
  <c r="M106" i="13" s="1"/>
  <c r="N106" i="13"/>
  <c r="K79" i="13"/>
  <c r="I79" i="13"/>
  <c r="M79" i="13" s="1"/>
  <c r="N35" i="13"/>
  <c r="H35" i="13"/>
  <c r="H83" i="13"/>
  <c r="N83" i="13"/>
  <c r="N31" i="13"/>
  <c r="H31" i="13"/>
  <c r="N11" i="13"/>
  <c r="H11" i="13"/>
  <c r="I11" i="13" s="1"/>
  <c r="M11" i="13" s="1"/>
  <c r="N88" i="13"/>
  <c r="H88" i="13"/>
  <c r="I88" i="13" s="1"/>
  <c r="M88" i="13" s="1"/>
  <c r="N19" i="13"/>
  <c r="H19" i="13"/>
  <c r="I19" i="13" s="1"/>
  <c r="M19" i="13" s="1"/>
  <c r="N25" i="13"/>
  <c r="H25" i="13"/>
  <c r="N107" i="13"/>
  <c r="H107" i="13"/>
  <c r="H104" i="13"/>
  <c r="N79" i="13"/>
  <c r="K44" i="13"/>
  <c r="N72" i="13"/>
  <c r="I72" i="13"/>
  <c r="M72" i="13" s="1"/>
  <c r="H38" i="13"/>
  <c r="H29" i="13"/>
  <c r="K29" i="13" s="1"/>
  <c r="H111" i="13"/>
  <c r="I111" i="13" s="1"/>
  <c r="M111" i="13" s="1"/>
  <c r="H89" i="13"/>
  <c r="H14" i="13"/>
  <c r="K14" i="13" s="1"/>
  <c r="N32" i="13"/>
  <c r="H94" i="13"/>
  <c r="H81" i="13"/>
  <c r="I81" i="13" s="1"/>
  <c r="M81" i="13" s="1"/>
  <c r="H27" i="13"/>
  <c r="K27" i="13" s="1"/>
  <c r="H16" i="13"/>
  <c r="K16" i="13" s="1"/>
  <c r="N44" i="13"/>
  <c r="H20" i="13"/>
  <c r="I20" i="13" s="1"/>
  <c r="M20" i="13" s="1"/>
  <c r="H10" i="13"/>
  <c r="N42" i="13"/>
  <c r="N78" i="13"/>
  <c r="H78" i="13"/>
  <c r="I74" i="13"/>
  <c r="M74" i="13" s="1"/>
  <c r="K74" i="13"/>
  <c r="H98" i="13"/>
  <c r="N98" i="13"/>
  <c r="N82" i="13"/>
  <c r="H82" i="13"/>
  <c r="H43" i="13"/>
  <c r="N43" i="13"/>
  <c r="N17" i="13"/>
  <c r="H17" i="13"/>
  <c r="N63" i="13"/>
  <c r="H63" i="13"/>
  <c r="N62" i="13"/>
  <c r="H62" i="13"/>
  <c r="N100" i="13"/>
  <c r="H100" i="13"/>
  <c r="I96" i="13"/>
  <c r="M96" i="13" s="1"/>
  <c r="K96" i="13"/>
  <c r="I21" i="13"/>
  <c r="M21" i="13" s="1"/>
  <c r="K21" i="13"/>
  <c r="N64" i="13"/>
  <c r="H64" i="13"/>
  <c r="N102" i="13"/>
  <c r="H102" i="13"/>
  <c r="I51" i="13"/>
  <c r="M51" i="13" s="1"/>
  <c r="K51" i="13"/>
  <c r="H105" i="13"/>
  <c r="N105" i="13"/>
  <c r="N74" i="13"/>
  <c r="I54" i="13"/>
  <c r="M54" i="13" s="1"/>
  <c r="K54" i="13"/>
  <c r="N80" i="13"/>
  <c r="H80" i="13"/>
  <c r="N23" i="13"/>
  <c r="H23" i="13"/>
  <c r="H85" i="13"/>
  <c r="K110" i="13"/>
  <c r="I110" i="13"/>
  <c r="M110" i="13" s="1"/>
  <c r="N110" i="13"/>
  <c r="N77" i="13"/>
  <c r="H77" i="13"/>
  <c r="H30" i="13"/>
  <c r="N30" i="13"/>
  <c r="H56" i="13"/>
  <c r="I45" i="13"/>
  <c r="M45" i="13" s="1"/>
  <c r="K45" i="13"/>
  <c r="H69" i="13"/>
  <c r="N69" i="13"/>
  <c r="N96" i="13"/>
  <c r="N52" i="13"/>
  <c r="I36" i="13"/>
  <c r="M36" i="13" s="1"/>
  <c r="N59" i="13"/>
  <c r="H59" i="13"/>
  <c r="I33" i="13"/>
  <c r="M33" i="13" s="1"/>
  <c r="K33" i="13"/>
  <c r="H92" i="13"/>
  <c r="N92" i="13"/>
  <c r="N75" i="13"/>
  <c r="H75" i="13"/>
  <c r="N93" i="13"/>
  <c r="H93" i="13"/>
  <c r="N109" i="13"/>
  <c r="H109" i="13"/>
  <c r="N41" i="13"/>
  <c r="H41" i="13"/>
  <c r="N34" i="13"/>
  <c r="H34" i="13"/>
  <c r="N22" i="13"/>
  <c r="H22" i="13"/>
  <c r="I24" i="13"/>
  <c r="M24" i="13" s="1"/>
  <c r="K24" i="13"/>
  <c r="N24" i="13"/>
  <c r="N54" i="13"/>
  <c r="N57" i="13"/>
  <c r="H57" i="13"/>
  <c r="N55" i="13"/>
  <c r="H55" i="13"/>
  <c r="N108" i="13"/>
  <c r="H108" i="13"/>
  <c r="H67" i="13"/>
  <c r="N67" i="13"/>
  <c r="N65" i="13"/>
  <c r="H65" i="13"/>
  <c r="I28" i="13"/>
  <c r="M28" i="13" s="1"/>
  <c r="K28" i="13"/>
  <c r="H71" i="13"/>
  <c r="K52" i="13"/>
  <c r="N21" i="13"/>
  <c r="N86" i="13"/>
  <c r="N73" i="13"/>
  <c r="H73" i="13"/>
  <c r="N95" i="13"/>
  <c r="H95" i="13"/>
  <c r="N48" i="13"/>
  <c r="H48" i="13"/>
  <c r="N90" i="13"/>
  <c r="H90" i="13"/>
  <c r="I58" i="13"/>
  <c r="M58" i="13" s="1"/>
  <c r="K58" i="13"/>
  <c r="N45" i="13"/>
  <c r="N97" i="13"/>
  <c r="H97" i="13"/>
  <c r="N50" i="13"/>
  <c r="H50" i="13"/>
  <c r="N70" i="13"/>
  <c r="H70" i="13"/>
  <c r="H46" i="13"/>
  <c r="H39" i="13"/>
  <c r="H12" i="13"/>
  <c r="H13" i="13"/>
  <c r="H68" i="13"/>
  <c r="H101" i="13"/>
  <c r="H103" i="13"/>
  <c r="N26" i="13"/>
  <c r="H26" i="13"/>
  <c r="N58" i="13"/>
  <c r="H84" i="13"/>
  <c r="N51" i="13"/>
  <c r="N28" i="13"/>
  <c r="K86" i="13"/>
  <c r="N33" i="13"/>
  <c r="H99" i="13"/>
  <c r="N99" i="13"/>
  <c r="K76" i="13"/>
  <c r="H49" i="13"/>
  <c r="N76" i="13"/>
  <c r="I42" i="13"/>
  <c r="M42" i="13" s="1"/>
  <c r="N91" i="13"/>
  <c r="K88" i="13" l="1"/>
  <c r="K40" i="13"/>
  <c r="I60" i="13"/>
  <c r="M60" i="13" s="1"/>
  <c r="K66" i="13"/>
  <c r="I16" i="13"/>
  <c r="M16" i="13" s="1"/>
  <c r="I29" i="13"/>
  <c r="M29" i="13" s="1"/>
  <c r="K11" i="13"/>
  <c r="K53" i="13"/>
  <c r="I27" i="13"/>
  <c r="M27" i="13" s="1"/>
  <c r="K112" i="13"/>
  <c r="K20" i="13"/>
  <c r="K106" i="13"/>
  <c r="K9" i="13"/>
  <c r="I47" i="13"/>
  <c r="M47" i="13" s="1"/>
  <c r="I61" i="13"/>
  <c r="M61" i="13" s="1"/>
  <c r="K111" i="13"/>
  <c r="K8" i="13"/>
  <c r="I8" i="13"/>
  <c r="M8" i="13" s="1"/>
  <c r="K107" i="13"/>
  <c r="I107" i="13"/>
  <c r="M107" i="13" s="1"/>
  <c r="K15" i="13"/>
  <c r="I15" i="13"/>
  <c r="M15" i="13" s="1"/>
  <c r="I14" i="13"/>
  <c r="M14" i="13" s="1"/>
  <c r="K38" i="13"/>
  <c r="I38" i="13"/>
  <c r="M38" i="13" s="1"/>
  <c r="K83" i="13"/>
  <c r="I83" i="13"/>
  <c r="M83" i="13" s="1"/>
  <c r="K87" i="13"/>
  <c r="I87" i="13"/>
  <c r="M87" i="13" s="1"/>
  <c r="K19" i="13"/>
  <c r="K81" i="13"/>
  <c r="K94" i="13"/>
  <c r="I94" i="13"/>
  <c r="M94" i="13" s="1"/>
  <c r="I89" i="13"/>
  <c r="M89" i="13" s="1"/>
  <c r="K89" i="13"/>
  <c r="K25" i="13"/>
  <c r="I25" i="13"/>
  <c r="M25" i="13" s="1"/>
  <c r="K31" i="13"/>
  <c r="I31" i="13"/>
  <c r="M31" i="13" s="1"/>
  <c r="K35" i="13"/>
  <c r="I35" i="13"/>
  <c r="M35" i="13" s="1"/>
  <c r="K18" i="13"/>
  <c r="K37" i="13"/>
  <c r="P4" i="13"/>
  <c r="K10" i="13"/>
  <c r="I10" i="13"/>
  <c r="M10" i="13" s="1"/>
  <c r="I104" i="13"/>
  <c r="M104" i="13" s="1"/>
  <c r="K104" i="13"/>
  <c r="K68" i="13"/>
  <c r="I68" i="13"/>
  <c r="M68" i="13" s="1"/>
  <c r="I71" i="13"/>
  <c r="M71" i="13" s="1"/>
  <c r="K71" i="13"/>
  <c r="I41" i="13"/>
  <c r="M41" i="13" s="1"/>
  <c r="K41" i="13"/>
  <c r="K93" i="13"/>
  <c r="I93" i="13"/>
  <c r="M93" i="13" s="1"/>
  <c r="I56" i="13"/>
  <c r="M56" i="13" s="1"/>
  <c r="K56" i="13"/>
  <c r="K99" i="13"/>
  <c r="I99" i="13"/>
  <c r="M99" i="13" s="1"/>
  <c r="I13" i="13"/>
  <c r="M13" i="13" s="1"/>
  <c r="K13" i="13"/>
  <c r="I95" i="13"/>
  <c r="M95" i="13" s="1"/>
  <c r="K95" i="13"/>
  <c r="K55" i="13"/>
  <c r="I55" i="13"/>
  <c r="M55" i="13" s="1"/>
  <c r="K69" i="13"/>
  <c r="I69" i="13"/>
  <c r="M69" i="13" s="1"/>
  <c r="K105" i="13"/>
  <c r="I105" i="13"/>
  <c r="M105" i="13" s="1"/>
  <c r="I100" i="13"/>
  <c r="M100" i="13" s="1"/>
  <c r="K100" i="13"/>
  <c r="I63" i="13"/>
  <c r="M63" i="13" s="1"/>
  <c r="K63" i="13"/>
  <c r="K78" i="13"/>
  <c r="I78" i="13"/>
  <c r="M78" i="13" s="1"/>
  <c r="I103" i="13"/>
  <c r="M103" i="13" s="1"/>
  <c r="K103" i="13"/>
  <c r="I30" i="13"/>
  <c r="M30" i="13" s="1"/>
  <c r="K30" i="13"/>
  <c r="I85" i="13"/>
  <c r="M85" i="13" s="1"/>
  <c r="K85" i="13"/>
  <c r="K43" i="13"/>
  <c r="I43" i="13"/>
  <c r="M43" i="13" s="1"/>
  <c r="K98" i="13"/>
  <c r="I98" i="13"/>
  <c r="M98" i="13" s="1"/>
  <c r="K26" i="13"/>
  <c r="I26" i="13"/>
  <c r="M26" i="13" s="1"/>
  <c r="K39" i="13"/>
  <c r="I39" i="13"/>
  <c r="M39" i="13" s="1"/>
  <c r="K50" i="13"/>
  <c r="I50" i="13"/>
  <c r="M50" i="13" s="1"/>
  <c r="K92" i="13"/>
  <c r="I92" i="13"/>
  <c r="M92" i="13" s="1"/>
  <c r="I59" i="13"/>
  <c r="M59" i="13" s="1"/>
  <c r="K59" i="13"/>
  <c r="I46" i="13"/>
  <c r="M46" i="13" s="1"/>
  <c r="K46" i="13"/>
  <c r="K90" i="13"/>
  <c r="I90" i="13"/>
  <c r="M90" i="13" s="1"/>
  <c r="K22" i="13"/>
  <c r="I22" i="13"/>
  <c r="M22" i="13" s="1"/>
  <c r="I80" i="13"/>
  <c r="M80" i="13" s="1"/>
  <c r="K80" i="13"/>
  <c r="I49" i="13"/>
  <c r="M49" i="13" s="1"/>
  <c r="K49" i="13"/>
  <c r="K70" i="13"/>
  <c r="I70" i="13"/>
  <c r="M70" i="13" s="1"/>
  <c r="K97" i="13"/>
  <c r="I97" i="13"/>
  <c r="M97" i="13" s="1"/>
  <c r="I67" i="13"/>
  <c r="M67" i="13" s="1"/>
  <c r="K67" i="13"/>
  <c r="K109" i="13"/>
  <c r="I109" i="13"/>
  <c r="M109" i="13" s="1"/>
  <c r="I75" i="13"/>
  <c r="M75" i="13" s="1"/>
  <c r="K75" i="13"/>
  <c r="K84" i="13"/>
  <c r="I84" i="13"/>
  <c r="M84" i="13" s="1"/>
  <c r="K101" i="13"/>
  <c r="I101" i="13"/>
  <c r="M101" i="13" s="1"/>
  <c r="K12" i="13"/>
  <c r="I12" i="13"/>
  <c r="M12" i="13" s="1"/>
  <c r="K48" i="13"/>
  <c r="I48" i="13"/>
  <c r="M48" i="13" s="1"/>
  <c r="K73" i="13"/>
  <c r="I73" i="13"/>
  <c r="M73" i="13" s="1"/>
  <c r="I65" i="13"/>
  <c r="M65" i="13" s="1"/>
  <c r="K65" i="13"/>
  <c r="K108" i="13"/>
  <c r="I108" i="13"/>
  <c r="M108" i="13" s="1"/>
  <c r="K57" i="13"/>
  <c r="I57" i="13"/>
  <c r="M57" i="13" s="1"/>
  <c r="K34" i="13"/>
  <c r="I34" i="13"/>
  <c r="M34" i="13" s="1"/>
  <c r="K77" i="13"/>
  <c r="I77" i="13"/>
  <c r="M77" i="13" s="1"/>
  <c r="I23" i="13"/>
  <c r="M23" i="13" s="1"/>
  <c r="K23" i="13"/>
  <c r="K102" i="13"/>
  <c r="I102" i="13"/>
  <c r="M102" i="13" s="1"/>
  <c r="K64" i="13"/>
  <c r="I64" i="13"/>
  <c r="M64" i="13" s="1"/>
  <c r="I62" i="13"/>
  <c r="M62" i="13" s="1"/>
  <c r="K62" i="13"/>
  <c r="I17" i="13"/>
  <c r="M17" i="13" s="1"/>
  <c r="K17" i="13"/>
  <c r="I82" i="13"/>
  <c r="M82" i="13" s="1"/>
  <c r="K82" i="13"/>
  <c r="M5" i="13" l="1"/>
  <c r="N2" i="13"/>
  <c r="F62" i="1" s="1"/>
  <c r="J8" i="13"/>
  <c r="J9" i="13" s="1"/>
  <c r="J10" i="13" s="1"/>
  <c r="J11" i="13" s="1"/>
  <c r="J12" i="13" s="1"/>
  <c r="J13" i="13" s="1"/>
  <c r="J14" i="13" s="1"/>
  <c r="J15" i="13" s="1"/>
  <c r="J16" i="13" s="1"/>
  <c r="J17" i="13" s="1"/>
  <c r="J18" i="13" s="1"/>
  <c r="J19" i="13" s="1"/>
  <c r="J20" i="13" s="1"/>
  <c r="J21" i="13" s="1"/>
  <c r="J22" i="13" s="1"/>
  <c r="J23" i="13" s="1"/>
  <c r="J24" i="13" s="1"/>
  <c r="J25" i="13" s="1"/>
  <c r="J26" i="13" s="1"/>
  <c r="J27" i="13" s="1"/>
  <c r="J28" i="13" s="1"/>
  <c r="J29" i="13" s="1"/>
  <c r="J30" i="13" s="1"/>
  <c r="J31" i="13" s="1"/>
  <c r="J32" i="13" s="1"/>
  <c r="J33" i="13" s="1"/>
  <c r="J34" i="13" s="1"/>
  <c r="J35" i="13" s="1"/>
  <c r="J36" i="13" s="1"/>
  <c r="J37" i="13" s="1"/>
  <c r="J38" i="13" s="1"/>
  <c r="J39" i="13" s="1"/>
  <c r="J40" i="13" s="1"/>
  <c r="J41" i="13" s="1"/>
  <c r="J42" i="13" s="1"/>
  <c r="J43" i="13" s="1"/>
  <c r="J44" i="13" s="1"/>
  <c r="J45" i="13" s="1"/>
  <c r="J46" i="13" s="1"/>
  <c r="J47" i="13" s="1"/>
  <c r="J48" i="13" s="1"/>
  <c r="J49" i="13" s="1"/>
  <c r="J50" i="13" s="1"/>
  <c r="J51" i="13" s="1"/>
  <c r="J52" i="13" s="1"/>
  <c r="J53" i="13" s="1"/>
  <c r="J54" i="13" s="1"/>
  <c r="J55" i="13" s="1"/>
  <c r="J56" i="13" s="1"/>
  <c r="J57" i="13" s="1"/>
  <c r="J58" i="13" s="1"/>
  <c r="J59" i="13" s="1"/>
  <c r="J60" i="13" s="1"/>
  <c r="J61" i="13" s="1"/>
  <c r="J62" i="13" s="1"/>
  <c r="J63" i="13" s="1"/>
  <c r="J64" i="13" s="1"/>
  <c r="J65" i="13" s="1"/>
  <c r="J66" i="13" s="1"/>
  <c r="J67" i="13" s="1"/>
  <c r="J68" i="13" s="1"/>
  <c r="J69" i="13" s="1"/>
  <c r="J70" i="13" s="1"/>
  <c r="J71" i="13" s="1"/>
  <c r="J72" i="13" s="1"/>
  <c r="J73" i="13" s="1"/>
  <c r="J74" i="13" s="1"/>
  <c r="J75" i="13" s="1"/>
  <c r="J76" i="13" s="1"/>
  <c r="J77" i="13" s="1"/>
  <c r="J78" i="13" s="1"/>
  <c r="J79" i="13" s="1"/>
  <c r="J80" i="13" s="1"/>
  <c r="J81" i="13" s="1"/>
  <c r="J82" i="13" s="1"/>
  <c r="J83" i="13" s="1"/>
  <c r="J84" i="13" s="1"/>
  <c r="J85" i="13" s="1"/>
  <c r="J86" i="13" s="1"/>
  <c r="J87" i="13" s="1"/>
  <c r="J88" i="13" s="1"/>
  <c r="J89" i="13" s="1"/>
  <c r="J90" i="13" s="1"/>
  <c r="J91" i="13" s="1"/>
  <c r="J92" i="13" s="1"/>
  <c r="J93" i="13" s="1"/>
  <c r="J94" i="13" s="1"/>
  <c r="J95" i="13" s="1"/>
  <c r="J96" i="13" s="1"/>
  <c r="J97" i="13" s="1"/>
  <c r="J98" i="13" s="1"/>
  <c r="J99" i="13" s="1"/>
  <c r="J100" i="13" s="1"/>
  <c r="J101" i="13" s="1"/>
  <c r="J102" i="13" s="1"/>
  <c r="J103" i="13" s="1"/>
  <c r="J104" i="13" s="1"/>
  <c r="J105" i="13" s="1"/>
  <c r="J106" i="13" s="1"/>
  <c r="J107" i="13" s="1"/>
  <c r="J108" i="13" s="1"/>
  <c r="J109" i="13" s="1"/>
  <c r="J110" i="13" s="1"/>
  <c r="J111" i="13" s="1"/>
  <c r="J112" i="13" s="1"/>
  <c r="L2" i="13" s="1"/>
  <c r="F61" i="1" l="1"/>
  <c r="F63" i="1" s="1"/>
  <c r="F41" i="3"/>
  <c r="F43" i="3" s="1"/>
  <c r="J11" i="7" l="1"/>
  <c r="J13" i="7" s="1"/>
  <c r="J10" i="7"/>
  <c r="J12" i="7" s="1"/>
  <c r="J18" i="7" l="1"/>
  <c r="J17" i="7" s="1"/>
  <c r="J19" i="7" s="1"/>
  <c r="J21" i="7" s="1"/>
  <c r="J25" i="7" s="1"/>
  <c r="J27" i="7" s="1"/>
</calcChain>
</file>

<file path=xl/comments1.xml><?xml version="1.0" encoding="utf-8"?>
<comments xmlns="http://schemas.openxmlformats.org/spreadsheetml/2006/main">
  <authors>
    <author>Timothy Hegarty</author>
    <author>dmorgan</author>
    <author>Naveen, Bevara</author>
    <author>a0272042</author>
    <author>bdemsc</author>
  </authors>
  <commentList>
    <comment ref="L2" authorId="0">
      <text>
        <r>
          <rPr>
            <b/>
            <u/>
            <sz val="11"/>
            <color indexed="10"/>
            <rFont val="Tahoma"/>
            <family val="2"/>
          </rPr>
          <t>Texas Instruments</t>
        </r>
        <r>
          <rPr>
            <sz val="11"/>
            <color indexed="10"/>
            <rFont val="Tahoma"/>
            <family val="2"/>
          </rPr>
          <t>:</t>
        </r>
        <r>
          <rPr>
            <sz val="9"/>
            <color indexed="81"/>
            <rFont val="Tahoma"/>
            <family val="2"/>
          </rPr>
          <t xml:space="preserve">
</t>
        </r>
        <r>
          <rPr>
            <b/>
            <sz val="9"/>
            <color indexed="81"/>
            <rFont val="Tahoma"/>
            <family val="2"/>
          </rPr>
          <t>Limited Use Policy</t>
        </r>
        <r>
          <rPr>
            <sz val="9"/>
            <color indexed="81"/>
            <rFont val="Tahoma"/>
            <family val="2"/>
          </rPr>
          <t xml:space="preserve">
You must treat this software and documentation like any other copyrighted material.
</t>
        </r>
        <r>
          <rPr>
            <b/>
            <sz val="9"/>
            <color indexed="81"/>
            <rFont val="Tahoma"/>
            <family val="2"/>
          </rPr>
          <t>You may not:</t>
        </r>
        <r>
          <rPr>
            <sz val="9"/>
            <color indexed="81"/>
            <rFont val="Tahoma"/>
            <family val="2"/>
          </rPr>
          <t xml:space="preserve">
- Copy documentation of the software
- Copy this software except to make archival or backup copies
- Reverse engineer, disassemble, decompile or make any attempt to discover the source code of the Software 
- Place the software onto a server so that it is accessible via a public network such as the internet 
- Sublicense, rent, lease or lend any portion of the software or documentation.
Texas Instruments is not responsible for the validity of any design created with this software and urges all designs to be fully tested and carefully verified. Refer to the TPS24720 product datasheet(s) for more detail.
</t>
        </r>
        <r>
          <rPr>
            <b/>
            <sz val="9"/>
            <color indexed="81"/>
            <rFont val="Tahoma"/>
            <family val="2"/>
          </rPr>
          <t>Rev 2, Naveen Bevara/Artem Rogachev, Texas Instruments, Inc.</t>
        </r>
      </text>
    </comment>
    <comment ref="F13" authorId="1">
      <text>
        <r>
          <rPr>
            <b/>
            <sz val="8"/>
            <color indexed="81"/>
            <rFont val="Tahoma"/>
            <family val="2"/>
          </rPr>
          <t>The minimum system voltage must be no less than 2.9V.</t>
        </r>
      </text>
    </comment>
    <comment ref="F15" authorId="1">
      <text>
        <r>
          <rPr>
            <b/>
            <sz val="8"/>
            <color indexed="81"/>
            <rFont val="Tahoma"/>
            <family val="2"/>
          </rPr>
          <t>The maximum system voltage must be no greater than 17V.</t>
        </r>
      </text>
    </comment>
    <comment ref="F17" authorId="1">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1" authorId="2">
      <text>
        <r>
          <rPr>
            <sz val="9"/>
            <color indexed="81"/>
            <rFont val="Tahoma"/>
            <family val="2"/>
          </rPr>
          <t xml:space="preserve">It's recommended to set this &gt;10% above max load current. </t>
        </r>
      </text>
    </comment>
    <comment ref="F25" authorId="2">
      <text>
        <r>
          <rPr>
            <sz val="9"/>
            <color indexed="81"/>
            <rFont val="Tahoma"/>
            <family val="2"/>
          </rPr>
          <t xml:space="preserve">Pick a sense resistor in the recommended range. 
Higher Rsns will lead to better Power limit, current limit, and current monitoring accuracy. Lower Rsns will lead to better efficiency. </t>
        </r>
      </text>
    </comment>
    <comment ref="F36" authorId="1">
      <text>
        <r>
          <rPr>
            <b/>
            <sz val="8"/>
            <color indexed="81"/>
            <rFont val="Tahoma"/>
            <family val="2"/>
          </rPr>
          <t>The power dissipation is calculated using the maximum normal load current.
Ensure the selected resistor is rated for this power dissipation.</t>
        </r>
      </text>
    </comment>
    <comment ref="F44" authorId="3">
      <text>
        <r>
          <rPr>
            <b/>
            <sz val="9"/>
            <color indexed="81"/>
            <rFont val="Tahoma"/>
            <family val="2"/>
          </rPr>
          <t>This number may need to be adjusted iteratively based on the result of cell C44.</t>
        </r>
        <r>
          <rPr>
            <sz val="9"/>
            <color indexed="81"/>
            <rFont val="Tahoma"/>
            <family val="2"/>
          </rPr>
          <t xml:space="preserve">
</t>
        </r>
      </text>
    </comment>
    <comment ref="F52" authorId="3">
      <text>
        <r>
          <rPr>
            <sz val="9"/>
            <color indexed="81"/>
            <rFont val="Tahoma"/>
            <family val="2"/>
          </rPr>
          <t xml:space="preserve">If FET temperature is too high, increase the # of FETs, reduce the load, or reduce the RθJA by adding more heat sinking to MOSFETs. 
</t>
        </r>
      </text>
    </comment>
    <comment ref="F54" authorId="3">
      <text>
        <r>
          <rPr>
            <sz val="9"/>
            <color indexed="81"/>
            <rFont val="Tahoma"/>
            <family val="2"/>
          </rPr>
          <t xml:space="preserve">Ensure that Target Power Limit is higher than Minimum power limit. 
Note that a lower Plim can be used with a higher Rsns. 
Usually this can be set to PLIM,MIN.  If a load is present during start-up a higher Plim, may be preferred. </t>
        </r>
      </text>
    </comment>
    <comment ref="F57" authorId="3">
      <text>
        <r>
          <rPr>
            <sz val="9"/>
            <color indexed="81"/>
            <rFont val="Tahoma"/>
            <family val="2"/>
          </rPr>
          <t xml:space="preserve">Cell turns Red if the actual power limit is below Minimum Power Limit (cell F46)
</t>
        </r>
      </text>
    </comment>
    <comment ref="F59" authorId="4">
      <text>
        <r>
          <rPr>
            <b/>
            <sz val="8"/>
            <color indexed="81"/>
            <rFont val="Tahoma"/>
            <family val="2"/>
          </rPr>
          <t>Select if the load will draw current during start-up. 
For no Load, choose constant current and set to zero</t>
        </r>
      </text>
    </comment>
    <comment ref="F61" authorId="3">
      <text>
        <r>
          <rPr>
            <b/>
            <sz val="9"/>
            <color indexed="81"/>
            <rFont val="Tahoma"/>
            <family val="2"/>
          </rPr>
          <t xml:space="preserve">Note: This value is computed based on discretization to support the start-up with load current feature. Results may differ slightly from the DS equation which is relies on a closed form integral. </t>
        </r>
        <r>
          <rPr>
            <sz val="9"/>
            <color indexed="81"/>
            <rFont val="Tahoma"/>
            <family val="2"/>
          </rPr>
          <t xml:space="preserve">
</t>
        </r>
      </text>
    </comment>
    <comment ref="F62" authorId="3">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65" authorId="2">
      <text>
        <r>
          <rPr>
            <b/>
            <sz val="9"/>
            <color indexed="81"/>
            <rFont val="Tahoma"/>
            <family val="2"/>
          </rPr>
          <t>Select the value greater than Target Fault Timer but less than the value that is suitable for MOSFET for the Maximum load current based on SOA of MOSFET (F63 should not be red)</t>
        </r>
      </text>
    </comment>
    <comment ref="F67" authorId="3">
      <text>
        <r>
          <rPr>
            <b/>
            <sz val="9"/>
            <color indexed="81"/>
            <rFont val="Tahoma"/>
            <family val="2"/>
          </rPr>
          <t>Pick closest capacitor that is larger than the Target capacitance</t>
        </r>
        <r>
          <rPr>
            <sz val="9"/>
            <color indexed="81"/>
            <rFont val="Tahoma"/>
            <family val="2"/>
          </rPr>
          <t xml:space="preserve">
</t>
        </r>
      </text>
    </comment>
    <comment ref="F69" authorId="3">
      <text>
        <r>
          <rPr>
            <sz val="9"/>
            <color indexed="81"/>
            <rFont val="Tahoma"/>
            <family val="2"/>
          </rPr>
          <t xml:space="preserve">A ratio over 1.3x is recommended
If the margin is poor try reducing the timer, reducing the power limit, using more FETs in parallel, or using a FET with better SOA. </t>
        </r>
      </text>
    </comment>
    <comment ref="F74" authorId="1">
      <text>
        <r>
          <rPr>
            <b/>
            <sz val="8"/>
            <color indexed="81"/>
            <rFont val="Tahoma"/>
            <family val="2"/>
          </rPr>
          <t>This threshold must be greater than 2.9V.</t>
        </r>
      </text>
    </comment>
    <comment ref="F75" authorId="1">
      <text>
        <r>
          <rPr>
            <b/>
            <sz val="8"/>
            <color indexed="81"/>
            <rFont val="Tahoma"/>
            <family val="2"/>
          </rPr>
          <t>This threshold must be less than 17V.</t>
        </r>
      </text>
    </comment>
    <comment ref="F76" authorId="2">
      <text>
        <r>
          <rPr>
            <sz val="9"/>
            <color indexed="81"/>
            <rFont val="Tahoma"/>
            <family val="2"/>
          </rPr>
          <t xml:space="preserve">Assumed Value
</t>
        </r>
      </text>
    </comment>
    <comment ref="F83" authorId="1">
      <text>
        <r>
          <rPr>
            <b/>
            <sz val="8"/>
            <color indexed="81"/>
            <rFont val="Tahoma"/>
            <family val="2"/>
          </rPr>
          <t>This threshold must be greater than 2.9V.</t>
        </r>
      </text>
    </comment>
    <comment ref="F84" authorId="1">
      <text>
        <r>
          <rPr>
            <b/>
            <sz val="8"/>
            <color indexed="81"/>
            <rFont val="Tahoma"/>
            <family val="2"/>
          </rPr>
          <t>This threshold must be less than 17V.</t>
        </r>
      </text>
    </comment>
    <comment ref="F98" authorId="3">
      <text>
        <r>
          <rPr>
            <sz val="9"/>
            <color indexed="81"/>
            <rFont val="Tahoma"/>
            <family val="2"/>
          </rPr>
          <t xml:space="preserve">uses difference between max and typ to compute this. 
</t>
        </r>
      </text>
    </comment>
  </commentList>
</comments>
</file>

<file path=xl/sharedStrings.xml><?xml version="1.0" encoding="utf-8"?>
<sst xmlns="http://schemas.openxmlformats.org/spreadsheetml/2006/main" count="1074" uniqueCount="491">
  <si>
    <t>Max Rs =</t>
  </si>
  <si>
    <t>Min. Current limit =</t>
  </si>
  <si>
    <t>Typ. Current limit =</t>
  </si>
  <si>
    <t>Max. Current limit =</t>
  </si>
  <si>
    <t>Rs Power Diss. =</t>
  </si>
  <si>
    <t>Resulting Typical Power Limit =</t>
  </si>
  <si>
    <t>Resulting Minimum Power Limit =</t>
  </si>
  <si>
    <t>Resulting Maximum Power Limit =</t>
  </si>
  <si>
    <t>ms</t>
  </si>
  <si>
    <t>A</t>
  </si>
  <si>
    <t>UVLO lower is F41</t>
  </si>
  <si>
    <t>OVLO upper is F42</t>
  </si>
  <si>
    <t>OVLO lower is F43</t>
  </si>
  <si>
    <t xml:space="preserve">R3 = </t>
  </si>
  <si>
    <t xml:space="preserve">R2 = </t>
  </si>
  <si>
    <t xml:space="preserve">R1 = </t>
  </si>
  <si>
    <t>R2 is F49</t>
  </si>
  <si>
    <t>R3 is F50</t>
  </si>
  <si>
    <t>R4 is F51</t>
  </si>
  <si>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</si>
  <si>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</si>
  <si>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</si>
  <si>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</si>
  <si>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</si>
  <si>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</si>
  <si>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</si>
  <si>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</si>
  <si>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</si>
  <si>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</si>
  <si>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</si>
  <si>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</si>
  <si>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</si>
  <si>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</si>
  <si>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</si>
  <si>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</si>
  <si>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</si>
  <si>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</si>
  <si>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</si>
  <si>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</si>
  <si>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</si>
  <si>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</si>
  <si>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</si>
  <si>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</si>
  <si>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</si>
  <si>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</si>
  <si>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</si>
  <si>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</si>
  <si>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</si>
  <si>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</si>
  <si>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</si>
  <si>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</si>
  <si>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</si>
  <si>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</si>
  <si>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t>Resulting Minimum Current Limit</t>
  </si>
  <si>
    <t>Resulting Typical Current Limit</t>
  </si>
  <si>
    <t>Resulting Maximum Current Limit</t>
  </si>
  <si>
    <t>Calculated Values are shown in White Cells</t>
  </si>
  <si>
    <t>www.ti.com/hotswap</t>
  </si>
  <si>
    <t xml:space="preserve">Enter the Resistance for R2 </t>
  </si>
  <si>
    <t xml:space="preserve">Enter the Resistance for R3 </t>
  </si>
  <si>
    <r>
      <t>Minimum Input Operating Voltage: V</t>
    </r>
    <r>
      <rPr>
        <vertAlign val="subscript"/>
        <sz val="10"/>
        <rFont val="Arial"/>
        <family val="2"/>
      </rPr>
      <t>IN(MIN)</t>
    </r>
  </si>
  <si>
    <r>
      <t>Maximum Input Operating Voltage: V</t>
    </r>
    <r>
      <rPr>
        <vertAlign val="subscript"/>
        <sz val="10"/>
        <rFont val="Arial"/>
        <family val="2"/>
      </rPr>
      <t>IN(MAX)</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</si>
  <si>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</si>
  <si>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</si>
  <si>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</si>
  <si>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</si>
  <si>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</si>
  <si>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</si>
  <si>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</si>
  <si>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</si>
  <si>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</si>
  <si>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1ms SOA Current Maximum Input Voltage</t>
  </si>
  <si>
    <t>10ms SOA Current Maximum Input Voltage</t>
  </si>
  <si>
    <t>100ms or DC SOA Current at Maximum Input Voltage</t>
  </si>
  <si>
    <t>Pick your MOSFET</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</si>
  <si>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</si>
  <si>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</si>
  <si>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</si>
  <si>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</si>
  <si>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</si>
  <si>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</si>
  <si>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</si>
  <si>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</si>
  <si>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</si>
  <si>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</si>
  <si>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</si>
  <si>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</si>
  <si>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</si>
  <si>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</si>
  <si>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</si>
  <si>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</si>
  <si>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</si>
  <si>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</si>
  <si>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</si>
  <si>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</si>
  <si>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</si>
  <si>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Operating Conditions</t>
  </si>
  <si>
    <t>Input Voltage</t>
  </si>
  <si>
    <t>Units</t>
  </si>
  <si>
    <t>uA</t>
  </si>
  <si>
    <t>Timer</t>
  </si>
  <si>
    <t>Upper Threshold</t>
  </si>
  <si>
    <t>ICAP</t>
  </si>
  <si>
    <t>Junction Temperature</t>
  </si>
  <si>
    <t>VIN</t>
  </si>
  <si>
    <t>Power Limit</t>
  </si>
  <si>
    <t>mV</t>
  </si>
  <si>
    <t>Minimum Power Limit=</t>
  </si>
  <si>
    <t>Look Up</t>
  </si>
  <si>
    <t>1ms</t>
  </si>
  <si>
    <t>10ms</t>
  </si>
  <si>
    <t>100ms</t>
  </si>
  <si>
    <t>Final SOA</t>
  </si>
  <si>
    <t>SOA Predictor</t>
  </si>
  <si>
    <t>time</t>
  </si>
  <si>
    <t>Voltage</t>
  </si>
  <si>
    <t>Lower time</t>
  </si>
  <si>
    <t>Higher timer</t>
  </si>
  <si>
    <t>I (lower time)</t>
  </si>
  <si>
    <t>I (higher time)</t>
  </si>
  <si>
    <t>P = a * t^m</t>
  </si>
  <si>
    <t>a</t>
  </si>
  <si>
    <t>a = P1/t1^m</t>
  </si>
  <si>
    <t>m</t>
  </si>
  <si>
    <t>m = log(P1/P2)/log(t1/t2)</t>
  </si>
  <si>
    <t>Extr. I</t>
  </si>
  <si>
    <t>Final Power</t>
  </si>
  <si>
    <t>&lt;= covers Time &lt; 1ms case</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</si>
  <si>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</si>
  <si>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</si>
  <si>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</si>
  <si>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</si>
  <si>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</si>
  <si>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</si>
  <si>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</si>
  <si>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</si>
  <si>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</si>
  <si>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</si>
  <si>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Yes</t>
  </si>
  <si>
    <t>Gate</t>
  </si>
  <si>
    <t>CLMAX =</t>
  </si>
  <si>
    <t xml:space="preserve">CLNOM = </t>
  </si>
  <si>
    <t>CLMIN =</t>
  </si>
  <si>
    <t>Design Summary</t>
  </si>
  <si>
    <t>Current limit</t>
  </si>
  <si>
    <t>100us</t>
  </si>
  <si>
    <r>
      <t>Maximum Output Load Capacitance: C</t>
    </r>
    <r>
      <rPr>
        <vertAlign val="subscript"/>
        <sz val="10"/>
        <rFont val="Arial"/>
        <family val="2"/>
      </rPr>
      <t>LOAD</t>
    </r>
  </si>
  <si>
    <r>
      <t>Estimated MOSFET R</t>
    </r>
    <r>
      <rPr>
        <sz val="10"/>
        <rFont val="Symbol"/>
        <family val="1"/>
        <charset val="2"/>
      </rPr>
      <t>Q</t>
    </r>
    <r>
      <rPr>
        <vertAlign val="subscript"/>
        <sz val="10"/>
        <rFont val="Arial"/>
        <family val="2"/>
      </rPr>
      <t>JA</t>
    </r>
  </si>
  <si>
    <t>Values Used</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</si>
  <si>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</si>
  <si>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</si>
  <si>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Rpwr</t>
  </si>
  <si>
    <t>Plim (Vds) = Plim (Vin,max) + (Vds - Vin,max)*Vos,syst/Rs</t>
  </si>
  <si>
    <t>Target Power Limit</t>
  </si>
  <si>
    <t>Target PLIM</t>
  </si>
  <si>
    <t>k-ohm</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</si>
  <si>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</si>
  <si>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</si>
  <si>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</si>
  <si>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</si>
  <si>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</si>
  <si>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</si>
  <si>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</si>
  <si>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</si>
  <si>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</si>
  <si>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</si>
  <si>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</si>
  <si>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</si>
  <si>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</si>
  <si>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Typical Start Time with Vinmax (Tstart)</t>
  </si>
  <si>
    <t>Typical Start time</t>
  </si>
  <si>
    <t>Target Fault Timer</t>
  </si>
  <si>
    <t>Target Timer capacitance</t>
  </si>
  <si>
    <t>Selected Timer capacitance</t>
  </si>
  <si>
    <t>IFET - ILOAD margin (lowest for Vout range)</t>
  </si>
  <si>
    <t>Note: I added an adjustment for the systematic offset</t>
  </si>
  <si>
    <t>Vos syst</t>
  </si>
  <si>
    <t>Rs (ohm)</t>
  </si>
  <si>
    <t>Vin, max</t>
  </si>
  <si>
    <t>Plim tolerance</t>
  </si>
  <si>
    <t>Temp Derated SOA</t>
  </si>
  <si>
    <t>Derated SOA / PLIM</t>
  </si>
  <si>
    <t>SOA / PLIM</t>
  </si>
  <si>
    <t>IFET_PLIM</t>
  </si>
  <si>
    <t>FET Power dissapation at full load (per FET)</t>
  </si>
  <si>
    <t>FET_ENERGY</t>
  </si>
  <si>
    <t>J</t>
  </si>
  <si>
    <t>Max _allowed SS_rate</t>
  </si>
  <si>
    <t>Power (W)</t>
  </si>
  <si>
    <t>I_g(hi/nom)</t>
  </si>
  <si>
    <t>I_g(low/nom)</t>
  </si>
  <si>
    <t>max_power_typ</t>
  </si>
  <si>
    <t>SOA Check - Based on Timer</t>
  </si>
  <si>
    <t>Enter Values in Green Shaded Cells</t>
  </si>
  <si>
    <t>1s/DC</t>
  </si>
  <si>
    <r>
      <t>100</t>
    </r>
    <r>
      <rPr>
        <sz val="10"/>
        <rFont val="Symbol"/>
        <family val="1"/>
        <charset val="2"/>
      </rPr>
      <t>m</t>
    </r>
    <r>
      <rPr>
        <sz val="10"/>
        <rFont val="Arial"/>
        <family val="2"/>
      </rPr>
      <t>s SOA Current (re-use 1ms data if unavailable) @ Maximum Input Voltage</t>
    </r>
  </si>
  <si>
    <t>1s or DC SOA Current at Maximum Input Voltage</t>
  </si>
  <si>
    <t>FET_Energy</t>
  </si>
  <si>
    <t>C</t>
  </si>
  <si>
    <t>Lower Threshold</t>
  </si>
  <si>
    <t>Sinking Current, VTIMER = 2V</t>
  </si>
  <si>
    <t>mA</t>
  </si>
  <si>
    <t>Gate Sourcing Current, VGATE = 12V</t>
  </si>
  <si>
    <t>OV</t>
  </si>
  <si>
    <t>Threshold Voltage, Rising</t>
  </si>
  <si>
    <t>Hysteresis</t>
  </si>
  <si>
    <t>VCC</t>
  </si>
  <si>
    <t>UVLO threshold, rising</t>
  </si>
  <si>
    <t>UVLO threshold, falling</t>
  </si>
  <si>
    <t>EN</t>
  </si>
  <si>
    <t>Threshold Voltage, falling</t>
  </si>
  <si>
    <t>Threshold</t>
  </si>
  <si>
    <t>PGb</t>
  </si>
  <si>
    <t>ENSD</t>
  </si>
  <si>
    <t>Threshold (Rising or Falling Edge)</t>
  </si>
  <si>
    <t>FLTb</t>
  </si>
  <si>
    <t>Output low voltage</t>
  </si>
  <si>
    <t>mA Sinking Current</t>
  </si>
  <si>
    <t>FFLTb</t>
  </si>
  <si>
    <t>VIMON threshold</t>
  </si>
  <si>
    <t>PROG</t>
  </si>
  <si>
    <t>Bias voltage</t>
  </si>
  <si>
    <t>Enter the Value of Sense Resistor</t>
  </si>
  <si>
    <t>Min Recommenede Vsns</t>
  </si>
  <si>
    <t>Recommended V(CC-SENSE)</t>
  </si>
  <si>
    <t xml:space="preserve">Rset = </t>
  </si>
  <si>
    <t xml:space="preserve">Rimon = </t>
  </si>
  <si>
    <t>Ω</t>
  </si>
  <si>
    <t>Rprog</t>
  </si>
  <si>
    <t>Rprog actual</t>
  </si>
  <si>
    <t>Time to reach gate of MOSFET to 5.9V</t>
  </si>
  <si>
    <t xml:space="preserve">Yellow and Red cells highlight pottential issues with the design. </t>
  </si>
  <si>
    <t xml:space="preserve">Red highlights items that are higher risk. </t>
  </si>
  <si>
    <t>SOA Coefficients</t>
  </si>
  <si>
    <t>0.1 to 1 ms</t>
  </si>
  <si>
    <t>1 to 10ms</t>
  </si>
  <si>
    <t>10ms to 100 ms</t>
  </si>
  <si>
    <t>100 ms to 1s</t>
  </si>
  <si>
    <t>t1</t>
  </si>
  <si>
    <t>t2</t>
  </si>
  <si>
    <t>Step 5: UVLO &amp; OVLO Thresholds</t>
  </si>
  <si>
    <t xml:space="preserve">Resulting Rising UVLO Threshold (min) = </t>
  </si>
  <si>
    <t xml:space="preserve">Resulting Rising UVLO Threshold (typ) = </t>
  </si>
  <si>
    <t xml:space="preserve">Resulting Rising UVLO Threshold (max) = </t>
  </si>
  <si>
    <t xml:space="preserve">Resulting falling UVLO Threshold (min) = </t>
  </si>
  <si>
    <t xml:space="preserve">Resulting falling UVLO Threshold (typ) = </t>
  </si>
  <si>
    <t xml:space="preserve">Resulting falling UVLO Threshold (max) = </t>
  </si>
  <si>
    <t xml:space="preserve">Resulting Rising OVLO Threshold (min) = </t>
  </si>
  <si>
    <t xml:space="preserve">Resulting Rising OVLO Threshold (typ) = </t>
  </si>
  <si>
    <t xml:space="preserve">Resulting Rising OVLO Threshold (max) = </t>
  </si>
  <si>
    <t xml:space="preserve">Resulting falling OVLO Threshold (min) = </t>
  </si>
  <si>
    <t xml:space="preserve">Resulting falling OVLO Threshold (typ) = </t>
  </si>
  <si>
    <t xml:space="preserve">Resulting falling OVLO Threshold (max) = </t>
  </si>
  <si>
    <t>Desired Rising OVLO Threshold</t>
  </si>
  <si>
    <t>Target Timer (1.5x typical)</t>
  </si>
  <si>
    <t xml:space="preserve">CL = </t>
  </si>
  <si>
    <t>Select Resistance  R1</t>
  </si>
  <si>
    <t>Recommended value of R2</t>
  </si>
  <si>
    <t>Recommended value of R3</t>
  </si>
  <si>
    <t>Recommended Rsns (max)</t>
  </si>
  <si>
    <t>Recommended Rsns (min)</t>
  </si>
  <si>
    <t>&lt;= % Error varies with Vsns</t>
  </si>
  <si>
    <t>Offset Error</t>
  </si>
  <si>
    <t>Gain Error</t>
  </si>
  <si>
    <t>% error</t>
  </si>
  <si>
    <t>&lt;= I bumped this up</t>
  </si>
  <si>
    <t>Min Rs =</t>
  </si>
  <si>
    <t>Maximum Allowed Foldback</t>
  </si>
  <si>
    <t>&lt;= I bumped this up too</t>
  </si>
  <si>
    <t>Step 2: RSENSE, RSET, RIMON, and Rfstrp</t>
  </si>
  <si>
    <t xml:space="preserve">RSNS Power dissipaiton at Max load. </t>
  </si>
  <si>
    <t>Target Current Limit  (ILIM)</t>
  </si>
  <si>
    <t>Fast Trip Threshold</t>
  </si>
  <si>
    <t>Calculated value of Rimon</t>
  </si>
  <si>
    <t>Enter the value of Rset</t>
  </si>
  <si>
    <t>Enter the value of Rimon</t>
  </si>
  <si>
    <t>Calculated value of Rset</t>
  </si>
  <si>
    <t>Calculated Rfstp</t>
  </si>
  <si>
    <t>Enter the value of Rfstp</t>
  </si>
  <si>
    <t>Calculated RPLIM</t>
  </si>
  <si>
    <t>Actual RPLIM</t>
  </si>
  <si>
    <r>
      <t>Minimum Power Limit to Ensure Vsns &gt; 1.5mV (P</t>
    </r>
    <r>
      <rPr>
        <vertAlign val="subscript"/>
        <sz val="10"/>
        <rFont val="Arial"/>
        <family val="2"/>
      </rPr>
      <t>LIM,MIN</t>
    </r>
    <r>
      <rPr>
        <sz val="10"/>
        <rFont val="Arial"/>
        <family val="2"/>
      </rPr>
      <t>)</t>
    </r>
  </si>
  <si>
    <t>Desired Rising UVLO Threshold</t>
  </si>
  <si>
    <t>Target Reverse Trip Threshold</t>
  </si>
  <si>
    <t>Oring FET Rdson (max) - 25C</t>
  </si>
  <si>
    <t>Oring FET Rdson (typ) - 25C</t>
  </si>
  <si>
    <t>Oring FET Rdson (min) - 25C</t>
  </si>
  <si>
    <t>Oring FET</t>
  </si>
  <si>
    <t># FETs</t>
  </si>
  <si>
    <r>
      <t>Minimum Ambient Operating Temperature: T</t>
    </r>
    <r>
      <rPr>
        <vertAlign val="subscript"/>
        <sz val="10"/>
        <rFont val="Arial"/>
        <family val="2"/>
      </rPr>
      <t>MIN</t>
    </r>
  </si>
  <si>
    <t>Normalized FET Rdson (@TMIN)</t>
  </si>
  <si>
    <t>Normalized FET Rdson (@TJMAX)</t>
  </si>
  <si>
    <t>Maximum Junction Temperature (TJMAX)</t>
  </si>
  <si>
    <t>Min Rdson (over temp)</t>
  </si>
  <si>
    <t>Max Rdson (over temp)</t>
  </si>
  <si>
    <t>Calculated Reverse Voltage Threshold (Vrv)</t>
  </si>
  <si>
    <t>Calculated Rrv</t>
  </si>
  <si>
    <t>Actual Rrv</t>
  </si>
  <si>
    <t>Reverse Voltage</t>
  </si>
  <si>
    <t>offset</t>
  </si>
  <si>
    <t>typ</t>
  </si>
  <si>
    <t>min</t>
  </si>
  <si>
    <t>max</t>
  </si>
  <si>
    <t>UVLO_f</t>
  </si>
  <si>
    <t>UVLO_r</t>
  </si>
  <si>
    <t>OVLO_r</t>
  </si>
  <si>
    <t>OVLO_f</t>
  </si>
  <si>
    <t>Computed values</t>
  </si>
  <si>
    <t>Programed values</t>
  </si>
  <si>
    <t>R2+R3</t>
  </si>
  <si>
    <t>Programming Current</t>
  </si>
  <si>
    <t>Minimum Reverse VoltageTrip Threshold</t>
  </si>
  <si>
    <t>Typical Reverse Voltage Trip Threshold</t>
  </si>
  <si>
    <t>Maximum Reverse Voltage Trip Threshold</t>
  </si>
  <si>
    <t>Typical Reverse Current Trip Threshold</t>
  </si>
  <si>
    <t>Maximum Reverse Current Trip Threshold</t>
  </si>
  <si>
    <t>Minimum Reverse Current Trip Threshold</t>
  </si>
  <si>
    <t>Filtering time constant</t>
  </si>
  <si>
    <t>µs</t>
  </si>
  <si>
    <t>Target Filtering time constant</t>
  </si>
  <si>
    <t>Rplim</t>
  </si>
  <si>
    <t>Single Timer or Dual Timer</t>
  </si>
  <si>
    <t>single</t>
  </si>
  <si>
    <t>dual</t>
  </si>
  <si>
    <t>calculated Cfst</t>
  </si>
  <si>
    <t>actual Cfst</t>
  </si>
  <si>
    <t>Resulting filtering  time constant</t>
  </si>
  <si>
    <t>Target Fast Trip (&gt;1.25 x ILIM is recommended)</t>
  </si>
  <si>
    <t>Select Fault timer</t>
  </si>
  <si>
    <t>Calculated Cflt</t>
  </si>
  <si>
    <t>Target Fault Capacitance</t>
  </si>
  <si>
    <t>Selected capacitance</t>
  </si>
  <si>
    <t>Final Fault timer</t>
  </si>
  <si>
    <t>Final Inrush timer</t>
  </si>
  <si>
    <t>Selected Cflt</t>
  </si>
  <si>
    <t>Resulting TFLT</t>
  </si>
  <si>
    <t>Component</t>
  </si>
  <si>
    <t>units</t>
  </si>
  <si>
    <t>Value</t>
  </si>
  <si>
    <t>Device Setting</t>
  </si>
  <si>
    <t>Rsens</t>
  </si>
  <si>
    <t>HS FET</t>
  </si>
  <si>
    <t># HS FETs</t>
  </si>
  <si>
    <t>OR FET</t>
  </si>
  <si>
    <t># OR FET</t>
  </si>
  <si>
    <t>C1</t>
  </si>
  <si>
    <t>Ccp</t>
  </si>
  <si>
    <t>Rrv</t>
  </si>
  <si>
    <t>Rset</t>
  </si>
  <si>
    <t>Rfst</t>
  </si>
  <si>
    <t>Rimon</t>
  </si>
  <si>
    <t>Cflt</t>
  </si>
  <si>
    <t>R1</t>
  </si>
  <si>
    <t>R2</t>
  </si>
  <si>
    <t>R3</t>
  </si>
  <si>
    <t>Rising UV threshold</t>
  </si>
  <si>
    <t>Rising OV threshold</t>
  </si>
  <si>
    <t>Fast Trip Filtering</t>
  </si>
  <si>
    <t>Iload vs Vimon</t>
  </si>
  <si>
    <t>Iload vs Vimonbuff</t>
  </si>
  <si>
    <t>mV/A</t>
  </si>
  <si>
    <t>fault timer</t>
  </si>
  <si>
    <t>Reverse Current Threshold</t>
  </si>
  <si>
    <t>Reverse Current Filtering</t>
  </si>
  <si>
    <t>target crv</t>
  </si>
  <si>
    <t>actual crv</t>
  </si>
  <si>
    <t>Reverse Current Filtering Time Constant</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</si>
  <si>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</si>
  <si>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</si>
  <si>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</si>
  <si>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</si>
  <si>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</si>
  <si>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</si>
  <si>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</si>
  <si>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</si>
  <si>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</si>
  <si>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</si>
  <si>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</si>
  <si>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</si>
  <si>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</si>
  <si>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IC option</t>
  </si>
  <si>
    <t>Temp for derating</t>
  </si>
  <si>
    <t>Number of MOSFETs</t>
  </si>
  <si>
    <t>Rsns</t>
  </si>
  <si>
    <t>value</t>
  </si>
  <si>
    <t>tolerance</t>
  </si>
  <si>
    <t>ohm</t>
  </si>
  <si>
    <t>m-ohm</t>
  </si>
  <si>
    <t>%</t>
  </si>
  <si>
    <t>Copied Values</t>
  </si>
  <si>
    <t>Vimon</t>
  </si>
  <si>
    <t>Plim Spec (vds = 12V)</t>
  </si>
  <si>
    <t>error</t>
  </si>
  <si>
    <t>uV</t>
  </si>
  <si>
    <t>IC tolerances</t>
  </si>
  <si>
    <t>Servo Spec</t>
  </si>
  <si>
    <t xml:space="preserve">ILIM </t>
  </si>
  <si>
    <t>Ilim tolerance</t>
  </si>
  <si>
    <t>Fast Trip</t>
  </si>
  <si>
    <t xml:space="preserve">min </t>
  </si>
  <si>
    <t>type</t>
  </si>
  <si>
    <t>Calculations</t>
  </si>
  <si>
    <t>1) Fast Trip Tolerances</t>
  </si>
  <si>
    <t>Vfst</t>
  </si>
  <si>
    <t>value (mV)</t>
  </si>
  <si>
    <t>tolerance (mV)</t>
  </si>
  <si>
    <t>Lower target</t>
  </si>
  <si>
    <t>Upper target</t>
  </si>
  <si>
    <t>weight1</t>
  </si>
  <si>
    <t>weight2</t>
  </si>
  <si>
    <t>Tolerance</t>
  </si>
  <si>
    <t>Ifst</t>
  </si>
  <si>
    <t>2) Current Monitoring</t>
  </si>
  <si>
    <t>Full scale</t>
  </si>
  <si>
    <t>20% sclae</t>
  </si>
  <si>
    <t>Full scale error</t>
  </si>
  <si>
    <t>20% scale error</t>
  </si>
  <si>
    <t xml:space="preserve">IC only: </t>
  </si>
  <si>
    <t>Component Error</t>
  </si>
  <si>
    <t>Total error</t>
  </si>
  <si>
    <t>Vin</t>
  </si>
  <si>
    <t>Error</t>
  </si>
  <si>
    <t>Ilim</t>
  </si>
  <si>
    <t>3)</t>
  </si>
  <si>
    <t>4) Imon_buf</t>
  </si>
  <si>
    <t xml:space="preserve">Full Scale </t>
  </si>
  <si>
    <t>Just buffer error</t>
  </si>
  <si>
    <t>total error</t>
  </si>
  <si>
    <t>full scale</t>
  </si>
  <si>
    <t>Imonbuff</t>
  </si>
  <si>
    <t>gain</t>
  </si>
  <si>
    <t>Vimon_min</t>
  </si>
  <si>
    <t>Multiplier</t>
  </si>
  <si>
    <t>Servo</t>
  </si>
  <si>
    <t>Vsns_min</t>
  </si>
  <si>
    <t>IC_errr</t>
  </si>
  <si>
    <t>comp error</t>
  </si>
  <si>
    <t>Total Error</t>
  </si>
  <si>
    <t>power limit</t>
  </si>
  <si>
    <t>5) Power Limit</t>
  </si>
  <si>
    <t>UV OV</t>
  </si>
  <si>
    <t>Timers</t>
  </si>
  <si>
    <t>6) Timer tolerance</t>
  </si>
  <si>
    <t>7) UV/OV tolerance</t>
  </si>
  <si>
    <t>NA</t>
  </si>
  <si>
    <t>Use Worst Case or RMS (Root Mean Square) for Error Calculation</t>
  </si>
  <si>
    <t>worst case</t>
  </si>
  <si>
    <t>R1 / R2 / R3</t>
  </si>
  <si>
    <t>Summary:</t>
  </si>
  <si>
    <t>20% full scale</t>
  </si>
  <si>
    <t>Imon accuracy</t>
  </si>
  <si>
    <t>Imonbuff accuracy</t>
  </si>
  <si>
    <t>TINR</t>
  </si>
  <si>
    <t>TFLT</t>
  </si>
  <si>
    <t>Cinr</t>
  </si>
  <si>
    <t>IC + comp</t>
  </si>
  <si>
    <t>inrush timer</t>
  </si>
  <si>
    <t>Current Monitoring Accuracy</t>
  </si>
  <si>
    <t>Full Scale</t>
  </si>
  <si>
    <t>imon</t>
  </si>
  <si>
    <t>imonbuff</t>
  </si>
  <si>
    <t>Timer Sourcing Current</t>
  </si>
  <si>
    <t>Step 6: Insure Stability</t>
  </si>
  <si>
    <t>Step 7: Reverse Current Threshold</t>
  </si>
  <si>
    <t>S</t>
  </si>
  <si>
    <t>Hot Swap FET Ciss</t>
  </si>
  <si>
    <t xml:space="preserve">External Cgs Requred? </t>
  </si>
  <si>
    <t>Target External Cgs</t>
  </si>
  <si>
    <t>Actual External Cgs</t>
  </si>
  <si>
    <r>
      <t>R</t>
    </r>
    <r>
      <rPr>
        <vertAlign val="subscript"/>
        <sz val="10"/>
        <rFont val="Arial"/>
        <family val="2"/>
      </rPr>
      <t>HG</t>
    </r>
    <r>
      <rPr>
        <sz val="10"/>
        <rFont val="Arial"/>
        <family val="2"/>
      </rPr>
      <t>, R</t>
    </r>
    <r>
      <rPr>
        <vertAlign val="subscript"/>
        <sz val="10"/>
        <rFont val="Arial"/>
        <family val="2"/>
      </rPr>
      <t>BG</t>
    </r>
  </si>
  <si>
    <t>Cgs, ext</t>
  </si>
  <si>
    <t>Stability Check</t>
  </si>
  <si>
    <t>gm'</t>
  </si>
  <si>
    <t>Cgs,min</t>
  </si>
  <si>
    <t>Rimon/Rset</t>
  </si>
  <si>
    <t>Cgs, ext, tgt</t>
  </si>
  <si>
    <r>
      <t xml:space="preserve">                    </t>
    </r>
    <r>
      <rPr>
        <sz val="22"/>
        <color theme="0"/>
        <rFont val="Arial"/>
        <family val="2"/>
      </rPr>
      <t>TPS2474x Hot Swap and ORing Design Tool</t>
    </r>
  </si>
  <si>
    <t>Version 2</t>
  </si>
  <si>
    <t>Hot Swap FET  Transconductance (gm,  gfs)</t>
  </si>
  <si>
    <t>Ids at gm above</t>
  </si>
  <si>
    <t>TPS2474x Design-in Calculation Tool- Rev. A</t>
  </si>
  <si>
    <t>© 2015</t>
  </si>
  <si>
    <t>Robust Hot Swap Design</t>
  </si>
  <si>
    <t xml:space="preserve">    If not, try changing start-up conditions (soft start values, timer values), add more FETs in parallel, or switch to FET with better SOA.</t>
  </si>
  <si>
    <t>TPS24740 Datasheet (See "Application Informatoin")</t>
  </si>
  <si>
    <t>3. Enter MOSFET SOA characteristics &amp; power limit.</t>
  </si>
  <si>
    <t>4. Select start up conditions (load / no load). Check whether FET is operating with reasonable margin, within the SOA curve.</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</si>
  <si>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</si>
  <si>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'41 - Retry</t>
  </si>
  <si>
    <t>Constant Current</t>
    <phoneticPr fontId="3" type="noConversion"/>
  </si>
  <si>
    <t>CSD16415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</si>
</sst>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0.0"/>
    <numFmt numFmtId="166" formatCode="##0.00E+0"/>
    <numFmt numFmtId="167" formatCode="0.0000"/>
    <numFmt numFmtId="168" formatCode="0.000%"/>
    <numFmt numFmtId="169" formatCode="0.0%"/>
  </numFmts>
  <fonts count="47">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sz val="10"/>
      <color indexed="55"/>
      <name val="Arial"/>
      <family val="2"/>
    </font>
    <font>
      <sz val="10"/>
      <name val="Symbol"/>
      <family val="1"/>
      <charset val="2"/>
    </font>
    <font>
      <b/>
      <sz val="9"/>
      <color indexed="81"/>
      <name val="Tahoma"/>
      <family val="2"/>
    </font>
    <font>
      <b/>
      <u/>
      <sz val="11"/>
      <color indexed="10"/>
      <name val="Tahoma"/>
      <family val="2"/>
    </font>
    <font>
      <sz val="11"/>
      <color indexed="10"/>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b/>
      <sz val="11"/>
      <name val="Arial"/>
      <family val="2"/>
    </font>
    <font>
      <b/>
      <sz val="8"/>
      <color indexed="81"/>
      <name val="Arial"/>
      <family val="2"/>
    </font>
    <font>
      <sz val="16"/>
      <color rgb="FF000000"/>
      <name val="Arial"/>
      <family val="2"/>
    </font>
    <font>
      <vertAlign val="superscript"/>
      <sz val="10"/>
      <name val="Arial"/>
      <family val="2"/>
    </font>
    <font>
      <b/>
      <u/>
      <sz val="10"/>
      <name val="Arial"/>
      <family val="2"/>
    </font>
    <font>
      <b/>
      <sz val="11"/>
      <color theme="1"/>
      <name val="Calibri"/>
      <family val="2"/>
      <scheme val="minor"/>
    </font>
    <font>
      <u/>
      <sz val="11"/>
      <color theme="1"/>
      <name val="Calibri"/>
      <family val="2"/>
      <scheme val="minor"/>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sz val="10"/>
      <name val="Arial"/>
      <family val="2"/>
    </font>
    <font>
      <sz val="11"/>
      <color theme="0"/>
      <name val="Calibri"/>
      <family val="2"/>
      <scheme val="minor"/>
    </font>
    <font>
      <sz val="11"/>
      <name val="Calibri"/>
      <family val="2"/>
      <scheme val="minor"/>
    </font>
    <font>
      <sz val="10"/>
      <name val="Times New Roman"/>
      <family val="1"/>
    </font>
    <font>
      <b/>
      <sz val="11"/>
      <color theme="1"/>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sz val="11"/>
      <color rgb="FF000000"/>
      <name val="Arial"/>
      <family val="2"/>
    </font>
    <font>
      <sz val="9"/>
      <name val="細明體"/>
      <family val="3"/>
      <charset val="136"/>
    </font>
  </fonts>
  <fills count="1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39997558519241921"/>
        <bgColor indexed="65"/>
      </patternFill>
    </fill>
    <fill>
      <patternFill patternType="solid">
        <fgColor indexed="13"/>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3"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indexed="64"/>
      </right>
      <top style="medium">
        <color indexed="64"/>
      </top>
      <bottom/>
      <diagonal/>
    </border>
    <border>
      <left style="thin">
        <color indexed="64"/>
      </left>
      <right/>
      <top/>
      <bottom style="medium">
        <color indexed="64"/>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s>
  <cellStyleXfs count="5">
    <xf numFmtId="0" fontId="0" fillId="0" borderId="0"/>
    <xf numFmtId="0" fontId="14" fillId="0" borderId="0" applyNumberFormat="0" applyFill="0" applyBorder="0" applyAlignment="0" applyProtection="0">
      <alignment vertical="top"/>
      <protection locked="0"/>
    </xf>
    <xf numFmtId="0" fontId="1" fillId="0" borderId="0"/>
    <xf numFmtId="0" fontId="34" fillId="2" borderId="0">
      <alignment horizontal="center"/>
    </xf>
    <xf numFmtId="0" fontId="35" fillId="9" borderId="0" applyNumberFormat="0" applyBorder="0" applyAlignment="0" applyProtection="0"/>
  </cellStyleXfs>
  <cellXfs count="341">
    <xf numFmtId="0" fontId="0" fillId="0" borderId="0" xfId="0"/>
    <xf numFmtId="0" fontId="0" fillId="0" borderId="0" xfId="0" applyAlignment="1">
      <alignment horizontal="center"/>
    </xf>
    <xf numFmtId="0" fontId="0" fillId="0" borderId="0" xfId="0"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6" xfId="0" applyBorder="1"/>
    <xf numFmtId="0" fontId="0" fillId="0" borderId="8" xfId="0" applyBorder="1"/>
    <xf numFmtId="0" fontId="0" fillId="0" borderId="9" xfId="0" applyBorder="1"/>
    <xf numFmtId="2" fontId="0" fillId="0" borderId="0" xfId="0" applyNumberFormat="1" applyAlignment="1">
      <alignment horizontal="center"/>
    </xf>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14" xfId="0" applyFill="1" applyBorder="1" applyAlignment="1">
      <alignment horizontal="center"/>
    </xf>
    <xf numFmtId="0" fontId="1" fillId="0" borderId="0" xfId="0" applyFont="1"/>
    <xf numFmtId="0" fontId="1" fillId="0" borderId="0" xfId="0" applyFont="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18" xfId="0" applyFont="1" applyFill="1" applyBorder="1" applyAlignment="1" applyProtection="1">
      <alignment horizontal="center"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64" fontId="1" fillId="0" borderId="0" xfId="2" applyNumberFormat="1" applyAlignment="1" applyProtection="1">
      <alignment horizontal="center"/>
    </xf>
    <xf numFmtId="166" fontId="1" fillId="0" borderId="0" xfId="2" applyNumberFormat="1" applyAlignment="1" applyProtection="1">
      <alignment horizontal="center"/>
    </xf>
    <xf numFmtId="2" fontId="1" fillId="0" borderId="19" xfId="2" applyNumberFormat="1" applyBorder="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66" fontId="1" fillId="0" borderId="0" xfId="2" applyNumberFormat="1" applyAlignment="1">
      <alignment horizontal="center"/>
    </xf>
    <xf numFmtId="0" fontId="1" fillId="0" borderId="0" xfId="0" applyFont="1" applyAlignment="1">
      <alignment horizontal="center"/>
    </xf>
    <xf numFmtId="0" fontId="0" fillId="0" borderId="1" xfId="0" applyBorder="1"/>
    <xf numFmtId="0" fontId="0" fillId="0" borderId="0" xfId="0" applyFill="1" applyBorder="1" applyAlignment="1">
      <alignment horizontal="center"/>
    </xf>
    <xf numFmtId="0" fontId="1"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0" fontId="28" fillId="0" borderId="0" xfId="0" applyFont="1" applyBorder="1"/>
    <xf numFmtId="2" fontId="0" fillId="0" borderId="0" xfId="0" applyNumberFormat="1" applyBorder="1" applyAlignment="1">
      <alignment horizontal="center"/>
    </xf>
    <xf numFmtId="0" fontId="1" fillId="0" borderId="0" xfId="0" applyFont="1" applyBorder="1"/>
    <xf numFmtId="0" fontId="29" fillId="0" borderId="0" xfId="0" applyFont="1"/>
    <xf numFmtId="0" fontId="30" fillId="0" borderId="0" xfId="0" applyFont="1" applyBorder="1" applyAlignment="1">
      <alignment horizontal="center"/>
    </xf>
    <xf numFmtId="0" fontId="27" fillId="0" borderId="0" xfId="0" applyFont="1" applyBorder="1"/>
    <xf numFmtId="0" fontId="0" fillId="0" borderId="0" xfId="0" applyBorder="1" applyAlignment="1">
      <alignment horizontal="center"/>
    </xf>
    <xf numFmtId="0" fontId="0" fillId="0" borderId="0" xfId="0" applyFont="1" applyBorder="1"/>
    <xf numFmtId="2" fontId="0" fillId="0" borderId="0" xfId="0" applyNumberFormat="1" applyBorder="1"/>
    <xf numFmtId="0" fontId="1" fillId="0" borderId="0" xfId="0" applyFont="1" applyBorder="1" applyAlignment="1">
      <alignment horizontal="right"/>
    </xf>
    <xf numFmtId="2" fontId="1" fillId="0" borderId="0" xfId="0" applyNumberFormat="1" applyFont="1" applyBorder="1" applyAlignment="1">
      <alignment horizontal="left"/>
    </xf>
    <xf numFmtId="0" fontId="1" fillId="0" borderId="0" xfId="0" applyFont="1" applyBorder="1" applyAlignment="1">
      <alignment horizontal="center"/>
    </xf>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0" fillId="0" borderId="0" xfId="0" applyFill="1" applyBorder="1" applyAlignment="1" applyProtection="1">
      <alignment horizontal="center"/>
    </xf>
    <xf numFmtId="0" fontId="16" fillId="0" borderId="0" xfId="0" applyFont="1" applyFill="1" applyBorder="1" applyProtection="1"/>
    <xf numFmtId="2" fontId="0" fillId="3" borderId="1" xfId="0" applyNumberFormat="1" applyFill="1" applyBorder="1" applyAlignment="1" applyProtection="1">
      <alignment horizontal="center" vertical="center"/>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xf>
    <xf numFmtId="167" fontId="0" fillId="0" borderId="0" xfId="0" applyNumberFormat="1"/>
    <xf numFmtId="1" fontId="0" fillId="0" borderId="0" xfId="0" applyNumberFormat="1"/>
    <xf numFmtId="2" fontId="1" fillId="0" borderId="0" xfId="2" applyNumberFormat="1"/>
    <xf numFmtId="0" fontId="26" fillId="0" borderId="0" xfId="2" applyFont="1"/>
    <xf numFmtId="0" fontId="26" fillId="0" borderId="0" xfId="2" applyFont="1" applyAlignment="1" applyProtection="1">
      <alignment horizontal="center"/>
    </xf>
    <xf numFmtId="0" fontId="26" fillId="0" borderId="0" xfId="2" applyFont="1" applyAlignment="1">
      <alignment horizontal="center"/>
    </xf>
    <xf numFmtId="10" fontId="1" fillId="0" borderId="0" xfId="2" applyNumberFormat="1"/>
    <xf numFmtId="0" fontId="1" fillId="0" borderId="0" xfId="0" applyFont="1" applyAlignment="1">
      <alignment horizontal="center"/>
    </xf>
    <xf numFmtId="0" fontId="1" fillId="0" borderId="1" xfId="0" applyFont="1" applyFill="1" applyBorder="1" applyAlignment="1">
      <alignment horizontal="center"/>
    </xf>
    <xf numFmtId="0" fontId="1" fillId="0" borderId="6" xfId="0" applyFont="1" applyFill="1" applyBorder="1" applyAlignment="1">
      <alignment horizontal="center"/>
    </xf>
    <xf numFmtId="0" fontId="29" fillId="0" borderId="0" xfId="2" applyFont="1"/>
    <xf numFmtId="165" fontId="0" fillId="0" borderId="1" xfId="0" applyNumberFormat="1" applyFill="1" applyBorder="1" applyAlignment="1" applyProtection="1">
      <alignment horizontal="center" vertical="center"/>
    </xf>
    <xf numFmtId="0" fontId="2" fillId="0" borderId="0" xfId="0" applyFont="1" applyAlignment="1">
      <alignment horizontal="center"/>
    </xf>
    <xf numFmtId="2" fontId="0" fillId="0" borderId="0" xfId="0" applyNumberFormat="1" applyBorder="1" applyAlignment="1">
      <alignment horizontal="center"/>
    </xf>
    <xf numFmtId="0" fontId="29" fillId="0" borderId="0" xfId="0" applyFont="1" applyBorder="1" applyAlignment="1">
      <alignment horizontal="center"/>
    </xf>
    <xf numFmtId="0" fontId="1" fillId="0" borderId="0" xfId="0" applyFont="1" applyFill="1" applyBorder="1" applyAlignment="1">
      <alignment horizontal="right"/>
    </xf>
    <xf numFmtId="0" fontId="29" fillId="0" borderId="0" xfId="0" applyFont="1" applyBorder="1" applyAlignment="1">
      <alignment horizontal="left"/>
    </xf>
    <xf numFmtId="0" fontId="0" fillId="0" borderId="0" xfId="0" applyAlignment="1">
      <alignment horizontal="center"/>
    </xf>
    <xf numFmtId="0" fontId="0" fillId="8" borderId="15"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0" borderId="11" xfId="0" applyBorder="1"/>
    <xf numFmtId="0" fontId="1" fillId="0" borderId="1" xfId="0" applyFont="1" applyFill="1" applyBorder="1"/>
    <xf numFmtId="0"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2" fontId="29" fillId="0" borderId="0" xfId="0" applyNumberFormat="1" applyFont="1" applyBorder="1" applyAlignment="1">
      <alignment horizontal="center"/>
    </xf>
    <xf numFmtId="0" fontId="1" fillId="0" borderId="5" xfId="0" applyFont="1" applyFill="1" applyBorder="1" applyAlignment="1">
      <alignment horizontal="right"/>
    </xf>
    <xf numFmtId="0" fontId="1" fillId="0" borderId="7" xfId="0" applyFont="1" applyFill="1" applyBorder="1" applyAlignment="1">
      <alignment horizontal="right"/>
    </xf>
    <xf numFmtId="0" fontId="1" fillId="0" borderId="10" xfId="0" applyFont="1" applyFill="1" applyBorder="1" applyAlignment="1">
      <alignment horizontal="right"/>
    </xf>
    <xf numFmtId="0" fontId="0" fillId="8" borderId="11" xfId="0" applyFill="1" applyBorder="1" applyAlignment="1" applyProtection="1">
      <alignment horizontal="center" vertical="center"/>
      <protection locked="0"/>
    </xf>
    <xf numFmtId="0" fontId="0" fillId="0" borderId="0" xfId="0"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1" fillId="0" borderId="0" xfId="0" applyFont="1" applyAlignment="1">
      <alignment horizontal="center"/>
    </xf>
    <xf numFmtId="0" fontId="36" fillId="9" borderId="1" xfId="4" applyNumberFormat="1" applyFont="1" applyBorder="1" applyAlignment="1" applyProtection="1">
      <alignment horizontal="center"/>
      <protection locked="0"/>
    </xf>
    <xf numFmtId="0" fontId="0" fillId="6" borderId="1" xfId="0" applyNumberFormat="1" applyFill="1" applyBorder="1" applyAlignment="1" applyProtection="1">
      <alignment horizontal="center"/>
      <protection locked="0"/>
    </xf>
    <xf numFmtId="0" fontId="0" fillId="6" borderId="1" xfId="0" applyFill="1" applyBorder="1" applyAlignment="1" applyProtection="1">
      <alignment horizontal="center"/>
      <protection locked="0"/>
    </xf>
    <xf numFmtId="10" fontId="0" fillId="0" borderId="0" xfId="0" applyNumberFormat="1" applyAlignment="1">
      <alignment horizontal="center"/>
    </xf>
    <xf numFmtId="2" fontId="0" fillId="3" borderId="11" xfId="0" applyNumberFormat="1" applyFill="1" applyBorder="1" applyAlignment="1" applyProtection="1">
      <alignment horizontal="center" vertical="center"/>
    </xf>
    <xf numFmtId="0" fontId="36" fillId="9" borderId="14" xfId="4" applyNumberFormat="1" applyFont="1" applyBorder="1" applyAlignment="1" applyProtection="1">
      <alignment horizontal="center" vertical="center"/>
      <protection locked="0"/>
    </xf>
    <xf numFmtId="0" fontId="0" fillId="10" borderId="29" xfId="0" applyFill="1" applyBorder="1" applyProtection="1"/>
    <xf numFmtId="0" fontId="0" fillId="10" borderId="30" xfId="0" applyFill="1" applyBorder="1" applyProtection="1"/>
    <xf numFmtId="0" fontId="0" fillId="10" borderId="31" xfId="0" applyFill="1" applyBorder="1" applyProtection="1"/>
    <xf numFmtId="0" fontId="0" fillId="10" borderId="32" xfId="0" applyFill="1" applyBorder="1" applyProtection="1"/>
    <xf numFmtId="0" fontId="0" fillId="10" borderId="0" xfId="0" applyFill="1" applyBorder="1" applyProtection="1"/>
    <xf numFmtId="0" fontId="0" fillId="10" borderId="33" xfId="0" applyFill="1" applyBorder="1" applyProtection="1"/>
    <xf numFmtId="0" fontId="39" fillId="10" borderId="0" xfId="0" applyFont="1" applyFill="1" applyBorder="1" applyProtection="1"/>
    <xf numFmtId="0" fontId="40" fillId="10" borderId="0" xfId="0" applyFont="1" applyFill="1" applyBorder="1" applyProtection="1"/>
    <xf numFmtId="0" fontId="41" fillId="10" borderId="0" xfId="0" applyFont="1" applyFill="1" applyBorder="1" applyProtection="1"/>
    <xf numFmtId="0" fontId="1" fillId="10" borderId="0" xfId="0" applyFont="1" applyFill="1" applyBorder="1" applyProtection="1"/>
    <xf numFmtId="0" fontId="0" fillId="10" borderId="34" xfId="0" applyFill="1" applyBorder="1" applyProtection="1"/>
    <xf numFmtId="0" fontId="0" fillId="10" borderId="35" xfId="0" applyFill="1" applyBorder="1" applyProtection="1"/>
    <xf numFmtId="0" fontId="0" fillId="10" borderId="36" xfId="0" applyFill="1" applyBorder="1" applyProtection="1"/>
    <xf numFmtId="0" fontId="0" fillId="11" borderId="0" xfId="0" applyFill="1"/>
    <xf numFmtId="0" fontId="1" fillId="0" borderId="0" xfId="0" applyFont="1" applyFill="1"/>
    <xf numFmtId="0" fontId="1" fillId="12" borderId="0" xfId="0" applyFont="1" applyFill="1"/>
    <xf numFmtId="0" fontId="2" fillId="11" borderId="0" xfId="0" applyFont="1" applyFill="1"/>
    <xf numFmtId="0" fontId="2" fillId="0" borderId="0" xfId="0" applyFont="1" applyFill="1"/>
    <xf numFmtId="0" fontId="0" fillId="12" borderId="0" xfId="0" applyFill="1"/>
    <xf numFmtId="0" fontId="0" fillId="12" borderId="0" xfId="0" applyFill="1" applyAlignment="1">
      <alignment horizontal="right"/>
    </xf>
    <xf numFmtId="0" fontId="0" fillId="13" borderId="0" xfId="0" applyFill="1"/>
    <xf numFmtId="0" fontId="36" fillId="9" borderId="1" xfId="4" applyFont="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36" fillId="6" borderId="1" xfId="4" applyFont="1" applyFill="1" applyBorder="1" applyAlignment="1" applyProtection="1">
      <alignment horizontal="center"/>
      <protection locked="0"/>
    </xf>
    <xf numFmtId="2" fontId="36" fillId="9" borderId="1" xfId="4" applyNumberFormat="1" applyFont="1" applyBorder="1" applyAlignment="1" applyProtection="1">
      <alignment horizontal="center" vertical="center"/>
      <protection locked="0"/>
    </xf>
    <xf numFmtId="0" fontId="0" fillId="2" borderId="0" xfId="0" applyFill="1" applyProtection="1"/>
    <xf numFmtId="0" fontId="0" fillId="2" borderId="0" xfId="0" applyFill="1" applyAlignment="1" applyProtection="1">
      <alignment horizontal="center"/>
    </xf>
    <xf numFmtId="0" fontId="0" fillId="0" borderId="0" xfId="0" applyProtection="1"/>
    <xf numFmtId="0" fontId="7" fillId="2" borderId="0" xfId="0" applyFont="1" applyFill="1" applyAlignment="1" applyProtection="1">
      <alignment horizontal="left"/>
    </xf>
    <xf numFmtId="0" fontId="1" fillId="2" borderId="0" xfId="0" applyFont="1" applyFill="1" applyProtection="1"/>
    <xf numFmtId="14" fontId="7"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1" fillId="4" borderId="1" xfId="0" applyFont="1" applyFill="1" applyBorder="1" applyAlignment="1" applyProtection="1">
      <alignment horizontal="center"/>
    </xf>
    <xf numFmtId="0" fontId="22" fillId="7" borderId="17" xfId="0" applyFont="1" applyFill="1" applyBorder="1" applyProtection="1"/>
    <xf numFmtId="0" fontId="0" fillId="2" borderId="18" xfId="0" applyFill="1" applyBorder="1" applyProtection="1"/>
    <xf numFmtId="0" fontId="1" fillId="2" borderId="18" xfId="0" applyFont="1" applyFill="1" applyBorder="1" applyAlignment="1" applyProtection="1">
      <alignment horizontal="right" vertical="center"/>
    </xf>
    <xf numFmtId="0" fontId="1" fillId="2" borderId="26" xfId="0" applyFont="1" applyFill="1" applyBorder="1" applyAlignment="1" applyProtection="1">
      <alignment horizontal="center" vertical="center"/>
    </xf>
    <xf numFmtId="0" fontId="0" fillId="2" borderId="22" xfId="0" applyFill="1" applyBorder="1" applyProtection="1"/>
    <xf numFmtId="0" fontId="20" fillId="2" borderId="19" xfId="0" applyFont="1" applyFill="1" applyBorder="1" applyProtection="1"/>
    <xf numFmtId="0" fontId="0" fillId="2" borderId="0" xfId="0" applyFill="1" applyBorder="1" applyProtection="1"/>
    <xf numFmtId="0" fontId="1" fillId="2" borderId="0" xfId="0" applyFont="1" applyFill="1" applyBorder="1" applyAlignment="1" applyProtection="1">
      <alignment horizontal="right" vertical="center"/>
    </xf>
    <xf numFmtId="0" fontId="1" fillId="2" borderId="13"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13" xfId="0" applyFill="1" applyBorder="1" applyAlignment="1" applyProtection="1">
      <alignment horizontal="center" vertical="center"/>
    </xf>
    <xf numFmtId="0" fontId="0" fillId="7" borderId="18" xfId="0" applyFill="1" applyBorder="1" applyProtection="1"/>
    <xf numFmtId="0" fontId="1" fillId="0" borderId="26" xfId="0" applyFont="1" applyBorder="1" applyAlignment="1" applyProtection="1">
      <alignment horizontal="center" vertical="center"/>
    </xf>
    <xf numFmtId="0" fontId="1" fillId="0" borderId="0" xfId="0" applyFont="1" applyProtection="1"/>
    <xf numFmtId="0" fontId="0" fillId="0" borderId="19" xfId="0" applyBorder="1" applyProtection="1"/>
    <xf numFmtId="0" fontId="0" fillId="3" borderId="0" xfId="0" applyFill="1" applyBorder="1" applyProtection="1"/>
    <xf numFmtId="0" fontId="1" fillId="0" borderId="13" xfId="0" applyFont="1" applyBorder="1" applyAlignment="1" applyProtection="1">
      <alignment horizontal="center" vertical="center"/>
    </xf>
    <xf numFmtId="2" fontId="0" fillId="0" borderId="1" xfId="0" applyNumberFormat="1" applyBorder="1" applyAlignment="1" applyProtection="1">
      <alignment horizontal="center" vertical="center"/>
    </xf>
    <xf numFmtId="0" fontId="0" fillId="3" borderId="6" xfId="0" applyFill="1" applyBorder="1" applyProtection="1"/>
    <xf numFmtId="0" fontId="0" fillId="3" borderId="23" xfId="0" applyFill="1" applyBorder="1" applyProtection="1"/>
    <xf numFmtId="0" fontId="0" fillId="3" borderId="19" xfId="0" applyFill="1" applyBorder="1" applyProtection="1"/>
    <xf numFmtId="0" fontId="1" fillId="0" borderId="0" xfId="0" applyFont="1" applyBorder="1" applyAlignment="1" applyProtection="1">
      <alignment horizontal="right"/>
    </xf>
    <xf numFmtId="0" fontId="0" fillId="0" borderId="1" xfId="0" applyBorder="1" applyAlignment="1" applyProtection="1">
      <alignment horizontal="center"/>
    </xf>
    <xf numFmtId="0" fontId="37" fillId="0" borderId="13" xfId="0" applyFont="1" applyBorder="1" applyAlignment="1" applyProtection="1">
      <alignment horizontal="center"/>
    </xf>
    <xf numFmtId="0" fontId="37" fillId="2" borderId="13" xfId="0" applyFont="1" applyFill="1" applyBorder="1" applyAlignment="1" applyProtection="1">
      <alignment horizontal="center" vertical="center"/>
    </xf>
    <xf numFmtId="0" fontId="1" fillId="2" borderId="0" xfId="0" applyFont="1" applyFill="1" applyBorder="1" applyProtection="1"/>
    <xf numFmtId="165" fontId="0" fillId="2" borderId="1" xfId="0" applyNumberFormat="1" applyFill="1" applyBorder="1" applyAlignment="1" applyProtection="1">
      <alignment horizontal="center" vertical="center"/>
    </xf>
    <xf numFmtId="165" fontId="0" fillId="2" borderId="11" xfId="0" applyNumberFormat="1" applyFill="1" applyBorder="1" applyAlignment="1" applyProtection="1">
      <alignment horizontal="center" vertical="center"/>
    </xf>
    <xf numFmtId="0" fontId="0" fillId="0" borderId="0" xfId="0" applyBorder="1" applyProtection="1"/>
    <xf numFmtId="0" fontId="1" fillId="0" borderId="0" xfId="0" quotePrefix="1" applyFont="1" applyProtection="1"/>
    <xf numFmtId="0" fontId="1" fillId="0" borderId="0" xfId="0" applyFont="1" applyBorder="1" applyAlignment="1" applyProtection="1">
      <alignment horizontal="center"/>
    </xf>
    <xf numFmtId="0" fontId="0" fillId="2" borderId="6" xfId="0" applyFill="1" applyBorder="1" applyProtection="1"/>
    <xf numFmtId="0" fontId="0" fillId="2" borderId="21" xfId="0" applyFill="1" applyBorder="1" applyProtection="1"/>
    <xf numFmtId="0" fontId="0" fillId="2" borderId="20" xfId="0" applyFill="1" applyBorder="1" applyProtection="1"/>
    <xf numFmtId="0" fontId="1" fillId="2" borderId="20" xfId="0" applyFont="1" applyFill="1" applyBorder="1" applyAlignment="1" applyProtection="1">
      <alignment horizontal="right" vertical="center"/>
    </xf>
    <xf numFmtId="165" fontId="0" fillId="2" borderId="16" xfId="0" applyNumberForma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1" fillId="2" borderId="20" xfId="0" applyFont="1" applyFill="1" applyBorder="1" applyProtection="1"/>
    <xf numFmtId="0" fontId="0" fillId="2" borderId="24" xfId="0" applyFill="1" applyBorder="1" applyProtection="1"/>
    <xf numFmtId="0" fontId="22" fillId="7" borderId="19" xfId="0" applyFont="1" applyFill="1" applyBorder="1" applyProtection="1"/>
    <xf numFmtId="0" fontId="1" fillId="2" borderId="0" xfId="0" applyFont="1" applyFill="1" applyBorder="1" applyAlignment="1" applyProtection="1">
      <alignment horizontal="right"/>
    </xf>
    <xf numFmtId="0" fontId="2" fillId="0" borderId="0" xfId="0" applyFont="1" applyProtection="1"/>
    <xf numFmtId="165" fontId="1" fillId="0" borderId="0" xfId="0" applyNumberFormat="1" applyFont="1" applyProtection="1"/>
    <xf numFmtId="0" fontId="1" fillId="3" borderId="0" xfId="0" applyFont="1" applyFill="1" applyBorder="1" applyAlignment="1" applyProtection="1">
      <alignment horizontal="right" vertical="center"/>
    </xf>
    <xf numFmtId="0" fontId="6" fillId="2" borderId="13" xfId="0" applyFont="1" applyFill="1" applyBorder="1" applyAlignment="1" applyProtection="1">
      <alignment horizontal="center" vertical="center"/>
    </xf>
    <xf numFmtId="0" fontId="1" fillId="2" borderId="18" xfId="0" applyFont="1" applyFill="1" applyBorder="1" applyAlignment="1" applyProtection="1">
      <alignment horizontal="right"/>
    </xf>
    <xf numFmtId="0" fontId="0" fillId="2" borderId="27" xfId="0" applyFill="1" applyBorder="1" applyAlignment="1" applyProtection="1">
      <alignment horizontal="center" vertical="center"/>
    </xf>
    <xf numFmtId="0" fontId="0" fillId="2" borderId="7" xfId="0" applyFill="1" applyBorder="1" applyAlignment="1" applyProtection="1">
      <alignment horizontal="center" vertical="center"/>
    </xf>
    <xf numFmtId="2" fontId="0" fillId="2" borderId="1" xfId="0" applyNumberFormat="1" applyFill="1" applyBorder="1" applyAlignment="1" applyProtection="1">
      <alignment horizontal="center" vertical="center"/>
    </xf>
    <xf numFmtId="0" fontId="1" fillId="2" borderId="7" xfId="0" applyFon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2" borderId="2" xfId="0" applyFill="1" applyBorder="1" applyProtection="1"/>
    <xf numFmtId="0" fontId="0" fillId="0" borderId="0" xfId="0" applyBorder="1" applyAlignment="1" applyProtection="1">
      <alignment horizontal="center"/>
    </xf>
    <xf numFmtId="0" fontId="1" fillId="3" borderId="7" xfId="0" applyFont="1" applyFill="1" applyBorder="1" applyAlignment="1" applyProtection="1">
      <alignment horizontal="center"/>
    </xf>
    <xf numFmtId="0" fontId="1" fillId="3" borderId="0" xfId="0" applyFont="1" applyFill="1" applyBorder="1" applyAlignment="1" applyProtection="1">
      <alignment horizontal="right"/>
    </xf>
    <xf numFmtId="0" fontId="1" fillId="2" borderId="0" xfId="0" applyFont="1" applyFill="1" applyBorder="1" applyAlignment="1" applyProtection="1">
      <alignment horizontal="center" vertical="center"/>
    </xf>
    <xf numFmtId="0" fontId="0" fillId="3" borderId="21" xfId="0" applyFill="1" applyBorder="1" applyProtection="1"/>
    <xf numFmtId="0" fontId="0" fillId="3" borderId="20" xfId="0" applyFill="1" applyBorder="1" applyProtection="1"/>
    <xf numFmtId="0" fontId="1" fillId="0" borderId="20" xfId="0" applyFont="1" applyBorder="1" applyAlignment="1" applyProtection="1">
      <alignment horizontal="right"/>
    </xf>
    <xf numFmtId="0" fontId="1" fillId="2" borderId="20" xfId="0" applyFont="1" applyFill="1" applyBorder="1" applyAlignment="1" applyProtection="1">
      <alignment horizontal="center" vertical="center"/>
    </xf>
    <xf numFmtId="0" fontId="0" fillId="2" borderId="28" xfId="0" applyFill="1" applyBorder="1" applyProtection="1"/>
    <xf numFmtId="0" fontId="0" fillId="7" borderId="0" xfId="0" applyFill="1" applyBorder="1" applyProtection="1"/>
    <xf numFmtId="0" fontId="6" fillId="2" borderId="7" xfId="0" applyFont="1" applyFill="1" applyBorder="1" applyAlignment="1" applyProtection="1">
      <alignment horizontal="center" vertical="center"/>
    </xf>
    <xf numFmtId="0" fontId="1" fillId="2" borderId="7" xfId="0" applyFont="1" applyFill="1" applyBorder="1" applyAlignment="1" applyProtection="1">
      <alignment horizontal="right" vertical="center"/>
    </xf>
    <xf numFmtId="2" fontId="0" fillId="2" borderId="12" xfId="0" applyNumberForma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0" fillId="0" borderId="0" xfId="0" applyAlignment="1" applyProtection="1">
      <alignment horizontal="center"/>
    </xf>
    <xf numFmtId="0" fontId="0" fillId="2" borderId="0" xfId="0" applyFill="1" applyBorder="1" applyAlignment="1" applyProtection="1">
      <alignment horizontal="center"/>
    </xf>
    <xf numFmtId="0" fontId="0" fillId="0" borderId="21" xfId="0" applyBorder="1" applyProtection="1"/>
    <xf numFmtId="0" fontId="0" fillId="0" borderId="20" xfId="0" applyBorder="1" applyProtection="1"/>
    <xf numFmtId="0" fontId="0" fillId="0" borderId="25" xfId="0" applyBorder="1" applyAlignment="1" applyProtection="1">
      <alignment horizontal="center"/>
    </xf>
    <xf numFmtId="0" fontId="0" fillId="0" borderId="7" xfId="0" applyBorder="1" applyAlignment="1" applyProtection="1">
      <alignment horizontal="center"/>
    </xf>
    <xf numFmtId="0" fontId="1" fillId="0" borderId="7" xfId="0" applyFont="1" applyBorder="1" applyAlignment="1" applyProtection="1">
      <alignment horizontal="center"/>
    </xf>
    <xf numFmtId="0" fontId="1" fillId="0" borderId="0" xfId="0" applyFont="1" applyAlignment="1" applyProtection="1">
      <alignment horizontal="right"/>
    </xf>
    <xf numFmtId="2" fontId="0" fillId="2" borderId="1" xfId="0" applyNumberFormat="1" applyFill="1" applyBorder="1" applyAlignment="1" applyProtection="1">
      <alignment horizontal="center"/>
    </xf>
    <xf numFmtId="0" fontId="1" fillId="0" borderId="0" xfId="0" applyFont="1" applyFill="1" applyBorder="1" applyAlignment="1" applyProtection="1">
      <alignment horizontal="right"/>
    </xf>
    <xf numFmtId="0" fontId="0" fillId="0" borderId="1" xfId="0" applyBorder="1" applyAlignment="1" applyProtection="1">
      <alignment horizontal="center" vertical="center"/>
    </xf>
    <xf numFmtId="0" fontId="8" fillId="2" borderId="7" xfId="0" applyFont="1" applyFill="1" applyBorder="1" applyAlignment="1" applyProtection="1">
      <alignment horizontal="center" vertical="center"/>
    </xf>
    <xf numFmtId="0" fontId="1" fillId="0" borderId="0" xfId="0" applyFont="1" applyAlignment="1" applyProtection="1">
      <alignment horizontal="center"/>
    </xf>
    <xf numFmtId="0" fontId="0" fillId="0" borderId="18" xfId="0" applyBorder="1" applyProtection="1"/>
    <xf numFmtId="0" fontId="0" fillId="0" borderId="18" xfId="0" applyBorder="1" applyAlignment="1" applyProtection="1">
      <alignment horizontal="center"/>
    </xf>
    <xf numFmtId="0" fontId="38" fillId="2" borderId="1" xfId="0" applyFont="1" applyFill="1" applyBorder="1" applyAlignment="1" applyProtection="1">
      <alignment horizontal="right" vertical="center"/>
    </xf>
    <xf numFmtId="0" fontId="2" fillId="2" borderId="1" xfId="0" applyFont="1" applyFill="1" applyBorder="1" applyAlignment="1" applyProtection="1">
      <alignment horizontal="center" vertical="center"/>
    </xf>
    <xf numFmtId="0" fontId="2" fillId="2" borderId="1" xfId="0" applyFont="1" applyFill="1" applyBorder="1" applyAlignment="1" applyProtection="1">
      <alignment horizontal="right" vertical="center"/>
    </xf>
    <xf numFmtId="0" fontId="1" fillId="0" borderId="0" xfId="0" applyFont="1" applyBorder="1" applyAlignment="1" applyProtection="1">
      <alignment horizontal="left"/>
    </xf>
    <xf numFmtId="0" fontId="0" fillId="0" borderId="23" xfId="0" applyBorder="1" applyProtection="1"/>
    <xf numFmtId="0" fontId="21" fillId="2" borderId="1" xfId="0" applyFont="1" applyFill="1" applyBorder="1" applyAlignment="1" applyProtection="1">
      <alignment horizontal="right" vertical="center"/>
    </xf>
    <xf numFmtId="0" fontId="0" fillId="2" borderId="1" xfId="0"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 fillId="2" borderId="0" xfId="0" applyFont="1" applyFill="1" applyBorder="1" applyProtection="1"/>
    <xf numFmtId="0" fontId="2" fillId="2" borderId="23" xfId="0" applyFont="1" applyFill="1" applyBorder="1" applyAlignment="1" applyProtection="1">
      <alignment horizontal="left"/>
    </xf>
    <xf numFmtId="0" fontId="1" fillId="2" borderId="1" xfId="0" applyFont="1" applyFill="1" applyBorder="1" applyAlignment="1" applyProtection="1">
      <alignment horizontal="right" vertical="center"/>
    </xf>
    <xf numFmtId="0" fontId="1" fillId="2" borderId="23" xfId="0" applyFont="1" applyFill="1" applyBorder="1" applyProtection="1"/>
    <xf numFmtId="0" fontId="6"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0" fillId="2" borderId="1" xfId="0" applyNumberFormat="1" applyFill="1" applyBorder="1" applyAlignment="1" applyProtection="1">
      <alignment horizontal="center" vertical="center"/>
    </xf>
    <xf numFmtId="1" fontId="1" fillId="2" borderId="1" xfId="0" applyNumberFormat="1" applyFont="1" applyFill="1" applyBorder="1" applyAlignment="1" applyProtection="1">
      <alignment horizontal="center" vertical="center"/>
    </xf>
    <xf numFmtId="2" fontId="0" fillId="0" borderId="1" xfId="0" applyNumberFormat="1" applyBorder="1" applyAlignment="1" applyProtection="1">
      <alignment horizontal="center"/>
    </xf>
    <xf numFmtId="164" fontId="1" fillId="2" borderId="0" xfId="0" applyNumberFormat="1" applyFont="1" applyFill="1" applyBorder="1" applyAlignment="1" applyProtection="1">
      <alignment horizontal="right"/>
    </xf>
    <xf numFmtId="0" fontId="1" fillId="0" borderId="1" xfId="0" applyFont="1" applyBorder="1" applyAlignment="1" applyProtection="1">
      <alignment horizontal="center"/>
    </xf>
    <xf numFmtId="0" fontId="1" fillId="2" borderId="0" xfId="0" applyFont="1" applyFill="1" applyBorder="1" applyAlignment="1" applyProtection="1">
      <alignment horizontal="left"/>
    </xf>
    <xf numFmtId="0" fontId="2" fillId="2" borderId="1" xfId="0" applyFont="1" applyFill="1" applyBorder="1" applyAlignment="1" applyProtection="1">
      <alignment horizontal="right"/>
    </xf>
    <xf numFmtId="0" fontId="2" fillId="2" borderId="1" xfId="0" applyFont="1" applyFill="1" applyBorder="1" applyAlignment="1" applyProtection="1">
      <alignment horizontal="center"/>
    </xf>
    <xf numFmtId="0" fontId="2" fillId="2" borderId="1" xfId="0" applyFont="1" applyFill="1" applyBorder="1" applyAlignment="1" applyProtection="1">
      <alignment horizontal="left"/>
    </xf>
    <xf numFmtId="0" fontId="1" fillId="2" borderId="1" xfId="0" applyFont="1" applyFill="1" applyBorder="1" applyAlignment="1" applyProtection="1">
      <alignment horizontal="right"/>
    </xf>
    <xf numFmtId="0" fontId="1" fillId="2" borderId="1" xfId="0" applyFont="1" applyFill="1" applyBorder="1" applyAlignment="1" applyProtection="1">
      <alignment horizontal="center"/>
    </xf>
    <xf numFmtId="165" fontId="0" fillId="0" borderId="1" xfId="0" applyNumberFormat="1" applyBorder="1" applyAlignment="1" applyProtection="1">
      <alignment horizontal="center" vertical="center"/>
    </xf>
    <xf numFmtId="0" fontId="0" fillId="2" borderId="19" xfId="0" applyFill="1" applyBorder="1" applyAlignment="1" applyProtection="1">
      <alignment horizontal="right"/>
    </xf>
    <xf numFmtId="0" fontId="1" fillId="0" borderId="1" xfId="0" applyFont="1" applyBorder="1" applyAlignment="1" applyProtection="1">
      <alignment horizontal="right"/>
    </xf>
    <xf numFmtId="0" fontId="2" fillId="2" borderId="19" xfId="0" applyFont="1" applyFill="1" applyBorder="1" applyProtection="1"/>
    <xf numFmtId="164" fontId="1" fillId="2" borderId="1" xfId="0" applyNumberFormat="1" applyFont="1" applyFill="1" applyBorder="1" applyAlignment="1" applyProtection="1">
      <alignment horizontal="right"/>
    </xf>
    <xf numFmtId="0" fontId="0" fillId="2" borderId="20" xfId="0" applyFill="1" applyBorder="1" applyAlignment="1" applyProtection="1">
      <alignment horizontal="center"/>
    </xf>
    <xf numFmtId="0" fontId="0" fillId="3" borderId="0" xfId="0" applyFill="1" applyProtection="1"/>
    <xf numFmtId="0" fontId="22" fillId="2" borderId="0" xfId="0" applyFont="1" applyFill="1" applyProtection="1"/>
    <xf numFmtId="0" fontId="1" fillId="3" borderId="19" xfId="0" applyFont="1" applyFill="1" applyBorder="1" applyProtection="1"/>
    <xf numFmtId="0" fontId="20" fillId="3" borderId="19" xfId="0" applyFont="1" applyFill="1" applyBorder="1" applyProtection="1"/>
    <xf numFmtId="0" fontId="0" fillId="8" borderId="14" xfId="0" applyFill="1" applyBorder="1" applyAlignment="1" applyProtection="1">
      <alignment horizontal="center" vertical="center"/>
      <protection locked="0"/>
    </xf>
    <xf numFmtId="0" fontId="0" fillId="14" borderId="1" xfId="0" applyFill="1" applyBorder="1"/>
    <xf numFmtId="0" fontId="1" fillId="14" borderId="1" xfId="0" applyFont="1" applyFill="1" applyBorder="1"/>
    <xf numFmtId="10" fontId="0" fillId="0" borderId="0" xfId="0" applyNumberFormat="1"/>
    <xf numFmtId="10" fontId="0" fillId="0" borderId="1" xfId="0" applyNumberFormat="1" applyBorder="1"/>
    <xf numFmtId="0" fontId="0" fillId="0" borderId="1" xfId="0" applyFill="1" applyBorder="1"/>
    <xf numFmtId="165" fontId="0" fillId="0" borderId="0" xfId="0" applyNumberFormat="1"/>
    <xf numFmtId="168" fontId="0" fillId="0" borderId="0" xfId="0" applyNumberFormat="1"/>
    <xf numFmtId="9" fontId="0" fillId="0" borderId="0" xfId="0" applyNumberFormat="1"/>
    <xf numFmtId="169" fontId="0" fillId="0" borderId="0" xfId="0" applyNumberFormat="1"/>
    <xf numFmtId="2" fontId="0" fillId="0" borderId="0" xfId="0" applyNumberFormat="1" applyBorder="1" applyAlignment="1" applyProtection="1">
      <alignment horizontal="center"/>
    </xf>
    <xf numFmtId="0" fontId="1" fillId="2" borderId="0" xfId="0" applyFont="1" applyFill="1" applyBorder="1" applyAlignment="1" applyProtection="1">
      <alignment horizontal="center"/>
    </xf>
    <xf numFmtId="0" fontId="2" fillId="0" borderId="1" xfId="0" applyFont="1" applyBorder="1" applyProtection="1"/>
    <xf numFmtId="0" fontId="0" fillId="0" borderId="1" xfId="0" applyBorder="1" applyProtection="1"/>
    <xf numFmtId="0" fontId="1" fillId="0" borderId="0" xfId="0" applyFont="1" applyBorder="1" applyAlignment="1" applyProtection="1">
      <alignment horizontal="right" vertical="center"/>
    </xf>
    <xf numFmtId="0" fontId="0" fillId="0" borderId="1" xfId="0" applyFont="1" applyFill="1" applyBorder="1"/>
    <xf numFmtId="0" fontId="1" fillId="6" borderId="1" xfId="0" applyNumberFormat="1" applyFont="1" applyFill="1" applyBorder="1" applyAlignment="1" applyProtection="1">
      <alignment horizontal="center"/>
      <protection locked="0"/>
    </xf>
    <xf numFmtId="0" fontId="1" fillId="0" borderId="1" xfId="0" applyFont="1" applyBorder="1" applyProtection="1"/>
    <xf numFmtId="0" fontId="0" fillId="0" borderId="0" xfId="0" applyFill="1" applyBorder="1"/>
    <xf numFmtId="0" fontId="0" fillId="0" borderId="0" xfId="0" applyFont="1" applyFill="1" applyBorder="1"/>
    <xf numFmtId="0" fontId="1"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164" fontId="1" fillId="2" borderId="1" xfId="0" applyNumberFormat="1" applyFont="1" applyFill="1" applyBorder="1" applyAlignment="1" applyProtection="1">
      <alignment horizontal="center" vertical="center"/>
    </xf>
    <xf numFmtId="2" fontId="1" fillId="0" borderId="1" xfId="0" applyNumberFormat="1" applyFont="1" applyBorder="1" applyAlignment="1" applyProtection="1">
      <alignment horizontal="center"/>
    </xf>
    <xf numFmtId="169" fontId="0" fillId="0" borderId="1" xfId="0" applyNumberFormat="1" applyBorder="1" applyAlignment="1" applyProtection="1">
      <alignment horizontal="center" vertical="center"/>
    </xf>
    <xf numFmtId="165" fontId="1" fillId="0" borderId="1" xfId="0" applyNumberFormat="1" applyFont="1" applyBorder="1" applyAlignment="1" applyProtection="1">
      <alignment horizontal="center" vertical="center"/>
    </xf>
    <xf numFmtId="1" fontId="0" fillId="0" borderId="1" xfId="0" applyNumberFormat="1" applyBorder="1"/>
    <xf numFmtId="0" fontId="36" fillId="6" borderId="1" xfId="4" applyFont="1" applyFill="1" applyBorder="1" applyAlignment="1" applyProtection="1">
      <alignment horizontal="center" vertical="center"/>
      <protection locked="0"/>
    </xf>
    <xf numFmtId="2" fontId="0" fillId="2" borderId="16" xfId="0" applyNumberFormat="1" applyFill="1" applyBorder="1" applyAlignment="1" applyProtection="1">
      <alignment horizontal="center" vertical="center"/>
    </xf>
    <xf numFmtId="2" fontId="2" fillId="0" borderId="1" xfId="0" applyNumberFormat="1" applyFont="1" applyBorder="1" applyAlignment="1" applyProtection="1">
      <alignment horizontal="center"/>
    </xf>
    <xf numFmtId="0" fontId="42" fillId="10" borderId="0" xfId="2" applyFont="1" applyFill="1" applyProtection="1"/>
    <xf numFmtId="0" fontId="1" fillId="10" borderId="0" xfId="2" applyFill="1" applyProtection="1"/>
    <xf numFmtId="0" fontId="1" fillId="10" borderId="0" xfId="2" applyFill="1" applyBorder="1" applyProtection="1"/>
    <xf numFmtId="0" fontId="43" fillId="10" borderId="0" xfId="2" applyFont="1" applyFill="1" applyAlignment="1" applyProtection="1"/>
    <xf numFmtId="0" fontId="43" fillId="10" borderId="0" xfId="2" applyFont="1" applyFill="1" applyAlignment="1" applyProtection="1">
      <alignment wrapText="1"/>
    </xf>
    <xf numFmtId="0" fontId="44" fillId="10" borderId="0" xfId="2" applyFont="1" applyFill="1" applyAlignment="1" applyProtection="1">
      <alignment vertical="center"/>
    </xf>
    <xf numFmtId="0" fontId="44" fillId="10" borderId="0" xfId="2" applyFont="1" applyFill="1" applyProtection="1"/>
    <xf numFmtId="0" fontId="1" fillId="10" borderId="0" xfId="2" applyFont="1" applyFill="1" applyBorder="1" applyProtection="1"/>
    <xf numFmtId="0" fontId="14" fillId="10" borderId="0" xfId="1" applyFill="1" applyAlignment="1" applyProtection="1">
      <alignment horizontal="left"/>
    </xf>
    <xf numFmtId="0" fontId="14" fillId="5" borderId="0" xfId="1" applyFill="1" applyAlignment="1" applyProtection="1"/>
    <xf numFmtId="0" fontId="45" fillId="0" borderId="17"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4" xfId="0" applyFont="1" applyBorder="1" applyAlignment="1">
      <alignment horizontal="center" vertical="center" wrapText="1"/>
    </xf>
    <xf numFmtId="0" fontId="29" fillId="0" borderId="19" xfId="0" applyFont="1" applyBorder="1" applyAlignment="1" applyProtection="1">
      <alignment horizontal="center"/>
    </xf>
    <xf numFmtId="0" fontId="29" fillId="0" borderId="0" xfId="0" applyFont="1" applyBorder="1" applyAlignment="1" applyProtection="1">
      <alignment horizontal="center"/>
    </xf>
    <xf numFmtId="0" fontId="13" fillId="3" borderId="0" xfId="0" applyFont="1" applyFill="1" applyBorder="1" applyAlignment="1" applyProtection="1">
      <alignment horizontal="center" vertical="center"/>
    </xf>
    <xf numFmtId="0" fontId="17" fillId="4" borderId="17" xfId="0" applyFont="1" applyFill="1" applyBorder="1" applyAlignment="1" applyProtection="1">
      <alignment horizontal="left" vertical="center"/>
    </xf>
    <xf numFmtId="0" fontId="17" fillId="4" borderId="18" xfId="0" applyFont="1" applyFill="1" applyBorder="1" applyAlignment="1" applyProtection="1">
      <alignment horizontal="left" vertical="center"/>
    </xf>
    <xf numFmtId="0" fontId="26" fillId="0" borderId="0" xfId="0" applyFont="1" applyAlignment="1">
      <alignment horizontal="center"/>
    </xf>
    <xf numFmtId="0" fontId="29"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26" fillId="0" borderId="1" xfId="2" applyFont="1" applyBorder="1" applyAlignment="1">
      <alignment horizontal="center"/>
    </xf>
    <xf numFmtId="2" fontId="28" fillId="0" borderId="0" xfId="0" applyNumberFormat="1" applyFont="1" applyBorder="1" applyAlignment="1">
      <alignment horizontal="center"/>
    </xf>
    <xf numFmtId="2" fontId="0" fillId="0" borderId="0" xfId="0" applyNumberFormat="1" applyBorder="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0" borderId="11" xfId="0" applyFont="1" applyBorder="1" applyAlignment="1">
      <alignment horizontal="center"/>
    </xf>
    <xf numFmtId="0" fontId="0" fillId="0" borderId="11" xfId="0" applyBorder="1" applyAlignment="1">
      <alignment horizontal="center"/>
    </xf>
    <xf numFmtId="0" fontId="29" fillId="0" borderId="0" xfId="0" applyFont="1" applyBorder="1" applyAlignment="1">
      <alignment horizontal="center"/>
    </xf>
    <xf numFmtId="2" fontId="1" fillId="0" borderId="0" xfId="0" applyNumberFormat="1" applyFont="1" applyBorder="1" applyAlignment="1">
      <alignment horizontal="center"/>
    </xf>
    <xf numFmtId="0" fontId="0" fillId="0" borderId="0" xfId="0" applyBorder="1" applyAlignment="1">
      <alignment horizontal="center"/>
    </xf>
    <xf numFmtId="0" fontId="1" fillId="14" borderId="1" xfId="0" applyFont="1" applyFill="1" applyBorder="1" applyAlignment="1">
      <alignment horizontal="center"/>
    </xf>
    <xf numFmtId="0" fontId="0" fillId="14" borderId="1" xfId="0" applyFill="1" applyBorder="1" applyAlignment="1">
      <alignment horizontal="center"/>
    </xf>
    <xf numFmtId="0" fontId="1" fillId="0" borderId="9" xfId="0" applyFont="1" applyBorder="1" applyAlignment="1">
      <alignment horizontal="center"/>
    </xf>
  </cellXfs>
  <cellStyles count="5">
    <cellStyle name="60% - Accent3" xfId="4" builtinId="40"/>
    <cellStyle name="Hyperlink" xfId="1" builtinId="8"/>
    <cellStyle name="Normal" xfId="0" builtinId="0"/>
    <cellStyle name="Normal 2" xfId="2"/>
    <cellStyle name="Style 1" xfId="3"/>
  </cellStyles>
  <dxfs count="16">
    <dxf>
      <font>
        <color theme="0"/>
      </font>
      <fill>
        <patternFill>
          <bgColor theme="0"/>
        </patternFill>
      </fill>
    </dxf>
    <dxf>
      <font>
        <color theme="0"/>
      </font>
      <fill>
        <patternFill>
          <bgColor theme="0"/>
        </patternFill>
      </fill>
    </dxf>
    <dxf>
      <fill>
        <patternFill>
          <bgColor rgb="FFFF0000"/>
        </patternFill>
      </fill>
    </dxf>
    <dxf>
      <fill>
        <patternFill>
          <bgColor indexed="10"/>
        </patternFill>
      </fill>
    </dxf>
    <dxf>
      <font>
        <color theme="0"/>
      </font>
      <fill>
        <patternFill>
          <bgColor theme="0"/>
        </patternFill>
      </fill>
    </dxf>
    <dxf>
      <fill>
        <patternFill>
          <bgColor rgb="FFFF0000"/>
        </patternFill>
      </fill>
    </dxf>
    <dxf>
      <fill>
        <patternFill>
          <bgColor rgb="FFFF0000"/>
        </patternFill>
      </fill>
    </dxf>
    <dxf>
      <font>
        <color theme="0"/>
      </font>
      <fill>
        <patternFill>
          <bgColor theme="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9"/>
          <c:w val="0.83144069779259899"/>
          <c:h val="0.76916929287639579"/>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Equations!$R$131:$R$150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Equations!$V$131:$V$150</c:f>
              <c:numCache>
                <c:formatCode>0.00</c:formatCode>
                <c:ptCount val="20"/>
                <c:pt idx="0">
                  <c:v>275.70784213562979</c:v>
                </c:pt>
                <c:pt idx="1">
                  <c:v>137.85392106781489</c:v>
                </c:pt>
                <c:pt idx="2">
                  <c:v>91.90261404520993</c:v>
                </c:pt>
                <c:pt idx="3">
                  <c:v>68.926960533907447</c:v>
                </c:pt>
                <c:pt idx="4">
                  <c:v>55.141568427125961</c:v>
                </c:pt>
                <c:pt idx="5">
                  <c:v>45.951307022604965</c:v>
                </c:pt>
                <c:pt idx="6">
                  <c:v>39.386834590804256</c:v>
                </c:pt>
                <c:pt idx="7">
                  <c:v>34.463480266953724</c:v>
                </c:pt>
                <c:pt idx="8">
                  <c:v>30.634204681736644</c:v>
                </c:pt>
                <c:pt idx="9">
                  <c:v>27.57078421356298</c:v>
                </c:pt>
                <c:pt idx="10">
                  <c:v>25.064349285057254</c:v>
                </c:pt>
                <c:pt idx="11">
                  <c:v>22.975653511302482</c:v>
                </c:pt>
                <c:pt idx="12">
                  <c:v>21.208295548894601</c:v>
                </c:pt>
                <c:pt idx="13">
                  <c:v>19.693417295402128</c:v>
                </c:pt>
                <c:pt idx="14">
                  <c:v>18.380522809041985</c:v>
                </c:pt>
                <c:pt idx="15">
                  <c:v>17.231740133476862</c:v>
                </c:pt>
                <c:pt idx="16">
                  <c:v>16.218108360919398</c:v>
                </c:pt>
                <c:pt idx="17">
                  <c:v>15.317102340868322</c:v>
                </c:pt>
                <c:pt idx="18">
                  <c:v>14.510939059769989</c:v>
                </c:pt>
                <c:pt idx="19">
                  <c:v>13.78539210678149</c:v>
                </c:pt>
              </c:numCache>
            </c:numRef>
          </c:yVal>
          <c:smooth val="0"/>
        </c:ser>
        <c:ser>
          <c:idx val="1"/>
          <c:order val="1"/>
          <c:tx>
            <c:v>Typ Device SOA Limit</c:v>
          </c:tx>
          <c:spPr>
            <a:ln w="25400">
              <a:solidFill>
                <a:srgbClr val="FF0000"/>
              </a:solidFill>
              <a:prstDash val="solid"/>
            </a:ln>
          </c:spPr>
          <c:marker>
            <c:symbol val="none"/>
          </c:marker>
          <c:xVal>
            <c:numRef>
              <c:f>Equations!$R$131:$R$150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Equations!$T$131:$T$150</c:f>
              <c:numCache>
                <c:formatCode>0.00</c:formatCode>
                <c:ptCount val="20"/>
                <c:pt idx="0">
                  <c:v>19.855839416058391</c:v>
                </c:pt>
                <c:pt idx="1">
                  <c:v>19.855839416058391</c:v>
                </c:pt>
                <c:pt idx="2">
                  <c:v>19.855839416058391</c:v>
                </c:pt>
                <c:pt idx="3">
                  <c:v>19.855839416058391</c:v>
                </c:pt>
                <c:pt idx="4">
                  <c:v>19.855839416058391</c:v>
                </c:pt>
                <c:pt idx="5">
                  <c:v>17.235971715328464</c:v>
                </c:pt>
                <c:pt idx="6">
                  <c:v>14.773690041710113</c:v>
                </c:pt>
                <c:pt idx="7">
                  <c:v>12.926978786496349</c:v>
                </c:pt>
                <c:pt idx="8">
                  <c:v>11.490647810218977</c:v>
                </c:pt>
                <c:pt idx="9">
                  <c:v>10.341583029197079</c:v>
                </c:pt>
                <c:pt idx="10">
                  <c:v>9.4014391174518899</c:v>
                </c:pt>
                <c:pt idx="11">
                  <c:v>8.6179858576642321</c:v>
                </c:pt>
                <c:pt idx="12">
                  <c:v>7.9550638686131379</c:v>
                </c:pt>
                <c:pt idx="13">
                  <c:v>5.0000000000000003E-10</c:v>
                </c:pt>
                <c:pt idx="14">
                  <c:v>5.0000000000000003E-10</c:v>
                </c:pt>
                <c:pt idx="15">
                  <c:v>5.0000000000000003E-10</c:v>
                </c:pt>
                <c:pt idx="16">
                  <c:v>5.0000000000000003E-10</c:v>
                </c:pt>
                <c:pt idx="17">
                  <c:v>5.0000000000000003E-10</c:v>
                </c:pt>
                <c:pt idx="18">
                  <c:v>5.0000000000000003E-10</c:v>
                </c:pt>
                <c:pt idx="19">
                  <c:v>5.0000000000000003E-10</c:v>
                </c:pt>
              </c:numCache>
            </c:numRef>
          </c:yVal>
          <c:smooth val="0"/>
        </c:ser>
        <c:dLbls>
          <c:showLegendKey val="0"/>
          <c:showVal val="0"/>
          <c:showCatName val="0"/>
          <c:showSerName val="0"/>
          <c:showPercent val="0"/>
          <c:showBubbleSize val="0"/>
        </c:dLbls>
        <c:axId val="62973824"/>
        <c:axId val="63295488"/>
      </c:scatterChart>
      <c:valAx>
        <c:axId val="62973824"/>
        <c:scaling>
          <c:logBase val="10"/>
          <c:orientation val="minMax"/>
          <c:max val="5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12"/>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3295488"/>
        <c:crossesAt val="0.1"/>
        <c:crossBetween val="midCat"/>
      </c:valAx>
      <c:valAx>
        <c:axId val="63295488"/>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9E-2"/>
              <c:y val="0.21497860712616404"/>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2973824"/>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93"/>
          <c:y val="5.8933081466572404E-2"/>
          <c:w val="0.51713412648236479"/>
          <c:h val="0.226445734366053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I</a:t>
            </a:r>
            <a:r>
              <a:rPr lang="en-US" baseline="-25000"/>
              <a:t>LOAD</a:t>
            </a:r>
            <a:r>
              <a:rPr lang="en-US" baseline="0"/>
              <a:t> and I</a:t>
            </a:r>
            <a:r>
              <a:rPr lang="en-US" baseline="-25000"/>
              <a:t>FET</a:t>
            </a:r>
            <a:r>
              <a:rPr lang="en-US" baseline="0"/>
              <a:t> vs Vout </a:t>
            </a:r>
            <a:r>
              <a:rPr lang="en-US" sz="1800" b="1" i="0" baseline="0">
                <a:effectLst/>
              </a:rPr>
              <a:t>(V</a:t>
            </a:r>
            <a:r>
              <a:rPr lang="en-US" sz="1800" b="1" i="0" baseline="-25000">
                <a:effectLst/>
              </a:rPr>
              <a:t>IN</a:t>
            </a:r>
            <a:r>
              <a:rPr lang="en-US" sz="1800" b="1" i="0" baseline="0">
                <a:effectLst/>
              </a:rPr>
              <a:t> = V</a:t>
            </a:r>
            <a:r>
              <a:rPr lang="en-US" sz="1800" b="1" i="0" baseline="-25000">
                <a:effectLst/>
              </a:rPr>
              <a:t>INMAX</a:t>
            </a:r>
            <a:r>
              <a:rPr lang="en-US" sz="1800" b="1" i="0" baseline="0">
                <a:effectLst/>
              </a:rPr>
              <a:t>)</a:t>
            </a:r>
            <a:r>
              <a:rPr lang="en-US" baseline="0"/>
              <a:t> </a:t>
            </a:r>
            <a:r>
              <a:rPr lang="en-US" sz="1200" baseline="0"/>
              <a:t>                                              </a:t>
            </a:r>
            <a:endParaRPr lang="en-US" sz="1200" baseline="-25000"/>
          </a:p>
        </c:rich>
      </c:tx>
      <c:layout>
        <c:manualLayout>
          <c:xMode val="edge"/>
          <c:yMode val="edge"/>
          <c:x val="0.21925951733909371"/>
          <c:y val="3.8826293122199494E-3"/>
        </c:manualLayout>
      </c:layout>
      <c:overlay val="1"/>
      <c:spPr>
        <a:solidFill>
          <a:schemeClr val="bg1"/>
        </a:solidFill>
      </c:spPr>
    </c:title>
    <c:autoTitleDeleted val="0"/>
    <c:plotArea>
      <c:layout>
        <c:manualLayout>
          <c:layoutTarget val="inner"/>
          <c:xMode val="edge"/>
          <c:yMode val="edge"/>
          <c:x val="0.15203109554174488"/>
          <c:y val="0.16372043618857038"/>
          <c:w val="0.768657511036137"/>
          <c:h val="0.67629667848284769"/>
        </c:manualLayout>
      </c:layout>
      <c:scatterChart>
        <c:scatterStyle val="smoothMarker"/>
        <c:varyColors val="0"/>
        <c:ser>
          <c:idx val="0"/>
          <c:order val="0"/>
          <c:tx>
            <c:strRef>
              <c:f>Start_up!$C$7</c:f>
              <c:strCache>
                <c:ptCount val="1"/>
                <c:pt idx="0">
                  <c:v>ILOAD</c:v>
                </c:pt>
              </c:strCache>
            </c:strRef>
          </c:tx>
          <c:marker>
            <c:symbol val="none"/>
          </c:marker>
          <c:xVal>
            <c:numRef>
              <c:f>Start_up!$B$8:$B$109</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Start_up!$C$8:$C$109</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6</c:v>
                </c:pt>
                <c:pt idx="57">
                  <c:v>6</c:v>
                </c:pt>
                <c:pt idx="58">
                  <c:v>6</c:v>
                </c:pt>
                <c:pt idx="59">
                  <c:v>6</c:v>
                </c:pt>
                <c:pt idx="60">
                  <c:v>6</c:v>
                </c:pt>
                <c:pt idx="61">
                  <c:v>6</c:v>
                </c:pt>
                <c:pt idx="62">
                  <c:v>6</c:v>
                </c:pt>
                <c:pt idx="63">
                  <c:v>6</c:v>
                </c:pt>
                <c:pt idx="64">
                  <c:v>6</c:v>
                </c:pt>
                <c:pt idx="65">
                  <c:v>6</c:v>
                </c:pt>
                <c:pt idx="66">
                  <c:v>6</c:v>
                </c:pt>
                <c:pt idx="67">
                  <c:v>6</c:v>
                </c:pt>
                <c:pt idx="68">
                  <c:v>6</c:v>
                </c:pt>
                <c:pt idx="69">
                  <c:v>6</c:v>
                </c:pt>
                <c:pt idx="70">
                  <c:v>6</c:v>
                </c:pt>
                <c:pt idx="71">
                  <c:v>6</c:v>
                </c:pt>
                <c:pt idx="72">
                  <c:v>6</c:v>
                </c:pt>
                <c:pt idx="73">
                  <c:v>6</c:v>
                </c:pt>
                <c:pt idx="74">
                  <c:v>6</c:v>
                </c:pt>
                <c:pt idx="75">
                  <c:v>6</c:v>
                </c:pt>
                <c:pt idx="76">
                  <c:v>6</c:v>
                </c:pt>
                <c:pt idx="77">
                  <c:v>6</c:v>
                </c:pt>
                <c:pt idx="78">
                  <c:v>6</c:v>
                </c:pt>
                <c:pt idx="79">
                  <c:v>6</c:v>
                </c:pt>
                <c:pt idx="80">
                  <c:v>6</c:v>
                </c:pt>
                <c:pt idx="81">
                  <c:v>6</c:v>
                </c:pt>
                <c:pt idx="82">
                  <c:v>6</c:v>
                </c:pt>
                <c:pt idx="83">
                  <c:v>6</c:v>
                </c:pt>
                <c:pt idx="84">
                  <c:v>6</c:v>
                </c:pt>
                <c:pt idx="85">
                  <c:v>6</c:v>
                </c:pt>
                <c:pt idx="86">
                  <c:v>6</c:v>
                </c:pt>
                <c:pt idx="87">
                  <c:v>6</c:v>
                </c:pt>
                <c:pt idx="88">
                  <c:v>6</c:v>
                </c:pt>
                <c:pt idx="89">
                  <c:v>6</c:v>
                </c:pt>
                <c:pt idx="90">
                  <c:v>6</c:v>
                </c:pt>
                <c:pt idx="91">
                  <c:v>6</c:v>
                </c:pt>
                <c:pt idx="92">
                  <c:v>6</c:v>
                </c:pt>
                <c:pt idx="93">
                  <c:v>6</c:v>
                </c:pt>
                <c:pt idx="94">
                  <c:v>6</c:v>
                </c:pt>
                <c:pt idx="95">
                  <c:v>6</c:v>
                </c:pt>
                <c:pt idx="96">
                  <c:v>6</c:v>
                </c:pt>
                <c:pt idx="97">
                  <c:v>6</c:v>
                </c:pt>
                <c:pt idx="98">
                  <c:v>6</c:v>
                </c:pt>
                <c:pt idx="99">
                  <c:v>6</c:v>
                </c:pt>
                <c:pt idx="100">
                  <c:v>6</c:v>
                </c:pt>
                <c:pt idx="101">
                  <c:v>6</c:v>
                </c:pt>
              </c:numCache>
            </c:numRef>
          </c:yVal>
          <c:smooth val="1"/>
        </c:ser>
        <c:ser>
          <c:idx val="1"/>
          <c:order val="1"/>
          <c:tx>
            <c:strRef>
              <c:f>Start_up!$G$7</c:f>
              <c:strCache>
                <c:ptCount val="1"/>
                <c:pt idx="0">
                  <c:v>IFET</c:v>
                </c:pt>
              </c:strCache>
            </c:strRef>
          </c:tx>
          <c:marker>
            <c:symbol val="none"/>
          </c:marker>
          <c:xVal>
            <c:numRef>
              <c:f>Start_up!$B$8:$B$109</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Start_up!$G$8:$G$110</c:f>
              <c:numCache>
                <c:formatCode>General</c:formatCode>
                <c:ptCount val="103"/>
                <c:pt idx="0">
                  <c:v>7.9550638686131379</c:v>
                </c:pt>
                <c:pt idx="1">
                  <c:v>8.032297498405498</c:v>
                </c:pt>
                <c:pt idx="2">
                  <c:v>8.1110455130957479</c:v>
                </c:pt>
                <c:pt idx="3">
                  <c:v>8.1913528944135283</c:v>
                </c:pt>
                <c:pt idx="4">
                  <c:v>8.2732664233576632</c:v>
                </c:pt>
                <c:pt idx="5">
                  <c:v>8.3568347710683462</c:v>
                </c:pt>
                <c:pt idx="6">
                  <c:v>8.4421085952629227</c:v>
                </c:pt>
                <c:pt idx="7">
                  <c:v>8.5291406426367669</c:v>
                </c:pt>
                <c:pt idx="8">
                  <c:v>8.6179858576642321</c:v>
                </c:pt>
                <c:pt idx="9">
                  <c:v>8.7087014982712248</c:v>
                </c:pt>
                <c:pt idx="10">
                  <c:v>8.8013472588911306</c:v>
                </c:pt>
                <c:pt idx="11">
                  <c:v>8.8959854014598534</c:v>
                </c:pt>
                <c:pt idx="12">
                  <c:v>8.9926808949539812</c:v>
                </c:pt>
                <c:pt idx="13">
                  <c:v>9.0915015641293007</c:v>
                </c:pt>
                <c:pt idx="14">
                  <c:v>9.1925182481751815</c:v>
                </c:pt>
                <c:pt idx="15">
                  <c:v>9.2958049700647898</c:v>
                </c:pt>
                <c:pt idx="16">
                  <c:v>9.4014391174518899</c:v>
                </c:pt>
                <c:pt idx="17">
                  <c:v>9.5095016360432911</c:v>
                </c:pt>
                <c:pt idx="18">
                  <c:v>9.6200772364624001</c:v>
                </c:pt>
                <c:pt idx="19">
                  <c:v>9.7332546157148983</c:v>
                </c:pt>
                <c:pt idx="20">
                  <c:v>9.8491266944734086</c:v>
                </c:pt>
                <c:pt idx="21">
                  <c:v>9.9677908715152572</c:v>
                </c:pt>
                <c:pt idx="22">
                  <c:v>10.089349296777637</c:v>
                </c:pt>
                <c:pt idx="23">
                  <c:v>10.213909164639091</c:v>
                </c:pt>
                <c:pt idx="24">
                  <c:v>10.341583029197079</c:v>
                </c:pt>
                <c:pt idx="25">
                  <c:v>10.472489143490714</c:v>
                </c:pt>
                <c:pt idx="26">
                  <c:v>10.606751824817517</c:v>
                </c:pt>
                <c:pt idx="27">
                  <c:v>10.744501848516446</c:v>
                </c:pt>
                <c:pt idx="28">
                  <c:v>10.885876872839031</c:v>
                </c:pt>
                <c:pt idx="29">
                  <c:v>11.031021897810218</c:v>
                </c:pt>
                <c:pt idx="30">
                  <c:v>11.180089761294139</c:v>
                </c:pt>
                <c:pt idx="31">
                  <c:v>11.333241675832415</c:v>
                </c:pt>
                <c:pt idx="32">
                  <c:v>11.490647810218977</c:v>
                </c:pt>
                <c:pt idx="33">
                  <c:v>11.652487920222061</c:v>
                </c:pt>
                <c:pt idx="34">
                  <c:v>11.81895203336809</c:v>
                </c:pt>
                <c:pt idx="35">
                  <c:v>11.990241193271975</c:v>
                </c:pt>
                <c:pt idx="36">
                  <c:v>12.166568269643623</c:v>
                </c:pt>
                <c:pt idx="37">
                  <c:v>12.348158840832333</c:v>
                </c:pt>
                <c:pt idx="38">
                  <c:v>12.535252156602521</c:v>
                </c:pt>
                <c:pt idx="39">
                  <c:v>12.728102189781021</c:v>
                </c:pt>
                <c:pt idx="40">
                  <c:v>12.926978786496349</c:v>
                </c:pt>
                <c:pt idx="41">
                  <c:v>13.132168925964544</c:v>
                </c:pt>
                <c:pt idx="42">
                  <c:v>13.34397810218978</c:v>
                </c:pt>
                <c:pt idx="43">
                  <c:v>13.56273184156994</c:v>
                </c:pt>
                <c:pt idx="44">
                  <c:v>13.788777372262773</c:v>
                </c:pt>
                <c:pt idx="45">
                  <c:v>14.022485463318073</c:v>
                </c:pt>
                <c:pt idx="46">
                  <c:v>14.264252454064938</c:v>
                </c:pt>
                <c:pt idx="47">
                  <c:v>14.514502497118707</c:v>
                </c:pt>
                <c:pt idx="48">
                  <c:v>14.773690041710113</c:v>
                </c:pt>
                <c:pt idx="49">
                  <c:v>15.042302587923023</c:v>
                </c:pt>
                <c:pt idx="50">
                  <c:v>15.320863746958636</c:v>
                </c:pt>
                <c:pt idx="51">
                  <c:v>15.609936647844648</c:v>
                </c:pt>
                <c:pt idx="52">
                  <c:v>15.910127737226276</c:v>
                </c:pt>
                <c:pt idx="53">
                  <c:v>16.222091026191496</c:v>
                </c:pt>
                <c:pt idx="54">
                  <c:v>16.54653284671533</c:v>
                </c:pt>
                <c:pt idx="55">
                  <c:v>16.884217190525845</c:v>
                </c:pt>
                <c:pt idx="56">
                  <c:v>17.235971715328464</c:v>
                </c:pt>
                <c:pt idx="57">
                  <c:v>17.602694517782265</c:v>
                </c:pt>
                <c:pt idx="58">
                  <c:v>17.985361789907962</c:v>
                </c:pt>
                <c:pt idx="59">
                  <c:v>18.385036496350363</c:v>
                </c:pt>
                <c:pt idx="60">
                  <c:v>18.802878234903776</c:v>
                </c:pt>
                <c:pt idx="61">
                  <c:v>19.2401544729248</c:v>
                </c:pt>
                <c:pt idx="62">
                  <c:v>19.698253388946817</c:v>
                </c:pt>
                <c:pt idx="63">
                  <c:v>19.855839416058391</c:v>
                </c:pt>
                <c:pt idx="64">
                  <c:v>19.855839416058391</c:v>
                </c:pt>
                <c:pt idx="65">
                  <c:v>19.855839416058391</c:v>
                </c:pt>
                <c:pt idx="66">
                  <c:v>19.855839416058391</c:v>
                </c:pt>
                <c:pt idx="67">
                  <c:v>19.855839416058391</c:v>
                </c:pt>
                <c:pt idx="68">
                  <c:v>19.855839416058391</c:v>
                </c:pt>
                <c:pt idx="69">
                  <c:v>19.855839416058391</c:v>
                </c:pt>
                <c:pt idx="70">
                  <c:v>19.855839416058391</c:v>
                </c:pt>
                <c:pt idx="71">
                  <c:v>19.855839416058391</c:v>
                </c:pt>
                <c:pt idx="72">
                  <c:v>19.855839416058391</c:v>
                </c:pt>
                <c:pt idx="73">
                  <c:v>19.855839416058391</c:v>
                </c:pt>
                <c:pt idx="74">
                  <c:v>19.855839416058391</c:v>
                </c:pt>
                <c:pt idx="75">
                  <c:v>19.855839416058391</c:v>
                </c:pt>
                <c:pt idx="76">
                  <c:v>19.855839416058391</c:v>
                </c:pt>
                <c:pt idx="77">
                  <c:v>19.855839416058391</c:v>
                </c:pt>
                <c:pt idx="78">
                  <c:v>19.855839416058391</c:v>
                </c:pt>
                <c:pt idx="79">
                  <c:v>19.855839416058391</c:v>
                </c:pt>
                <c:pt idx="80">
                  <c:v>19.855839416058391</c:v>
                </c:pt>
                <c:pt idx="81">
                  <c:v>19.855839416058391</c:v>
                </c:pt>
                <c:pt idx="82">
                  <c:v>19.855839416058391</c:v>
                </c:pt>
                <c:pt idx="83">
                  <c:v>19.855839416058391</c:v>
                </c:pt>
                <c:pt idx="84">
                  <c:v>19.855839416058391</c:v>
                </c:pt>
                <c:pt idx="85">
                  <c:v>19.855839416058391</c:v>
                </c:pt>
                <c:pt idx="86">
                  <c:v>19.855839416058391</c:v>
                </c:pt>
                <c:pt idx="87">
                  <c:v>19.855839416058391</c:v>
                </c:pt>
                <c:pt idx="88">
                  <c:v>19.855839416058391</c:v>
                </c:pt>
                <c:pt idx="89">
                  <c:v>19.855839416058391</c:v>
                </c:pt>
                <c:pt idx="90">
                  <c:v>19.855839416058391</c:v>
                </c:pt>
                <c:pt idx="91">
                  <c:v>19.855839416058391</c:v>
                </c:pt>
                <c:pt idx="92">
                  <c:v>19.855839416058391</c:v>
                </c:pt>
                <c:pt idx="93">
                  <c:v>19.855839416058391</c:v>
                </c:pt>
                <c:pt idx="94">
                  <c:v>19.855839416058391</c:v>
                </c:pt>
                <c:pt idx="95">
                  <c:v>19.855839416058391</c:v>
                </c:pt>
                <c:pt idx="96">
                  <c:v>19.855839416058391</c:v>
                </c:pt>
                <c:pt idx="97">
                  <c:v>19.855839416058391</c:v>
                </c:pt>
                <c:pt idx="98">
                  <c:v>19.855839416058391</c:v>
                </c:pt>
                <c:pt idx="99">
                  <c:v>19.855839416058391</c:v>
                </c:pt>
                <c:pt idx="100">
                  <c:v>19.855839416058391</c:v>
                </c:pt>
                <c:pt idx="101">
                  <c:v>19.855839416058391</c:v>
                </c:pt>
                <c:pt idx="102">
                  <c:v>19.855839416058391</c:v>
                </c:pt>
              </c:numCache>
            </c:numRef>
          </c:yVal>
          <c:smooth val="1"/>
        </c:ser>
        <c:dLbls>
          <c:showLegendKey val="0"/>
          <c:showVal val="0"/>
          <c:showCatName val="0"/>
          <c:showSerName val="0"/>
          <c:showPercent val="0"/>
          <c:showBubbleSize val="0"/>
        </c:dLbls>
        <c:axId val="63485056"/>
        <c:axId val="63486976"/>
      </c:scatterChart>
      <c:valAx>
        <c:axId val="63485056"/>
        <c:scaling>
          <c:orientation val="minMax"/>
        </c:scaling>
        <c:delete val="0"/>
        <c:axPos val="b"/>
        <c:title>
          <c:tx>
            <c:rich>
              <a:bodyPr/>
              <a:lstStyle/>
              <a:p>
                <a:pPr>
                  <a:defRPr/>
                </a:pPr>
                <a:r>
                  <a:rPr lang="en-US"/>
                  <a:t>Output</a:t>
                </a:r>
                <a:r>
                  <a:rPr lang="en-US" baseline="0"/>
                  <a:t> Voltage (V)</a:t>
                </a:r>
                <a:endParaRPr lang="en-US"/>
              </a:p>
            </c:rich>
          </c:tx>
          <c:layout/>
          <c:overlay val="0"/>
        </c:title>
        <c:numFmt formatCode="0.00" sourceLinked="1"/>
        <c:majorTickMark val="out"/>
        <c:minorTickMark val="none"/>
        <c:tickLblPos val="nextTo"/>
        <c:crossAx val="63486976"/>
        <c:crosses val="autoZero"/>
        <c:crossBetween val="midCat"/>
      </c:valAx>
      <c:valAx>
        <c:axId val="63486976"/>
        <c:scaling>
          <c:orientation val="minMax"/>
          <c:min val="0"/>
        </c:scaling>
        <c:delete val="0"/>
        <c:axPos val="l"/>
        <c:majorGridlines/>
        <c:title>
          <c:tx>
            <c:rich>
              <a:bodyPr rot="-5400000" vert="horz"/>
              <a:lstStyle/>
              <a:p>
                <a:pPr>
                  <a:defRPr/>
                </a:pPr>
                <a:r>
                  <a:rPr lang="en-US"/>
                  <a:t>Current (A)</a:t>
                </a:r>
              </a:p>
            </c:rich>
          </c:tx>
          <c:layout>
            <c:manualLayout>
              <c:xMode val="edge"/>
              <c:yMode val="edge"/>
              <c:x val="1.4321650059229323E-2"/>
              <c:y val="0.40230014852794571"/>
            </c:manualLayout>
          </c:layout>
          <c:overlay val="0"/>
        </c:title>
        <c:numFmt formatCode="0.0" sourceLinked="0"/>
        <c:majorTickMark val="out"/>
        <c:minorTickMark val="none"/>
        <c:tickLblPos val="nextTo"/>
        <c:crossAx val="63485056"/>
        <c:crosses val="autoZero"/>
        <c:crossBetween val="midCat"/>
      </c:valAx>
    </c:plotArea>
    <c:legend>
      <c:legendPos val="r"/>
      <c:layout>
        <c:manualLayout>
          <c:xMode val="edge"/>
          <c:yMode val="edge"/>
          <c:x val="0.19152567906997936"/>
          <c:y val="0.22066945910601443"/>
          <c:w val="0.21462230092985587"/>
          <c:h val="0.18516649249275957"/>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6"/>
          <c:y val="0.1417796039772744"/>
          <c:w val="0.69967132057676107"/>
          <c:h val="0.71191183688825022"/>
        </c:manualLayout>
      </c:layout>
      <c:scatterChart>
        <c:scatterStyle val="smoothMarker"/>
        <c:varyColors val="0"/>
        <c:ser>
          <c:idx val="0"/>
          <c:order val="0"/>
          <c:tx>
            <c:strRef>
              <c:f>Start_up!$C$7</c:f>
              <c:strCache>
                <c:ptCount val="1"/>
                <c:pt idx="0">
                  <c:v>ILOAD</c:v>
                </c:pt>
              </c:strCache>
            </c:strRef>
          </c:tx>
          <c:marker>
            <c:symbol val="none"/>
          </c:marker>
          <c:xVal>
            <c:numRef>
              <c:f>Start_up!$B$8:$B$109</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Start_up!$C$8:$C$109</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6</c:v>
                </c:pt>
                <c:pt idx="57">
                  <c:v>6</c:v>
                </c:pt>
                <c:pt idx="58">
                  <c:v>6</c:v>
                </c:pt>
                <c:pt idx="59">
                  <c:v>6</c:v>
                </c:pt>
                <c:pt idx="60">
                  <c:v>6</c:v>
                </c:pt>
                <c:pt idx="61">
                  <c:v>6</c:v>
                </c:pt>
                <c:pt idx="62">
                  <c:v>6</c:v>
                </c:pt>
                <c:pt idx="63">
                  <c:v>6</c:v>
                </c:pt>
                <c:pt idx="64">
                  <c:v>6</c:v>
                </c:pt>
                <c:pt idx="65">
                  <c:v>6</c:v>
                </c:pt>
                <c:pt idx="66">
                  <c:v>6</c:v>
                </c:pt>
                <c:pt idx="67">
                  <c:v>6</c:v>
                </c:pt>
                <c:pt idx="68">
                  <c:v>6</c:v>
                </c:pt>
                <c:pt idx="69">
                  <c:v>6</c:v>
                </c:pt>
                <c:pt idx="70">
                  <c:v>6</c:v>
                </c:pt>
                <c:pt idx="71">
                  <c:v>6</c:v>
                </c:pt>
                <c:pt idx="72">
                  <c:v>6</c:v>
                </c:pt>
                <c:pt idx="73">
                  <c:v>6</c:v>
                </c:pt>
                <c:pt idx="74">
                  <c:v>6</c:v>
                </c:pt>
                <c:pt idx="75">
                  <c:v>6</c:v>
                </c:pt>
                <c:pt idx="76">
                  <c:v>6</c:v>
                </c:pt>
                <c:pt idx="77">
                  <c:v>6</c:v>
                </c:pt>
                <c:pt idx="78">
                  <c:v>6</c:v>
                </c:pt>
                <c:pt idx="79">
                  <c:v>6</c:v>
                </c:pt>
                <c:pt idx="80">
                  <c:v>6</c:v>
                </c:pt>
                <c:pt idx="81">
                  <c:v>6</c:v>
                </c:pt>
                <c:pt idx="82">
                  <c:v>6</c:v>
                </c:pt>
                <c:pt idx="83">
                  <c:v>6</c:v>
                </c:pt>
                <c:pt idx="84">
                  <c:v>6</c:v>
                </c:pt>
                <c:pt idx="85">
                  <c:v>6</c:v>
                </c:pt>
                <c:pt idx="86">
                  <c:v>6</c:v>
                </c:pt>
                <c:pt idx="87">
                  <c:v>6</c:v>
                </c:pt>
                <c:pt idx="88">
                  <c:v>6</c:v>
                </c:pt>
                <c:pt idx="89">
                  <c:v>6</c:v>
                </c:pt>
                <c:pt idx="90">
                  <c:v>6</c:v>
                </c:pt>
                <c:pt idx="91">
                  <c:v>6</c:v>
                </c:pt>
                <c:pt idx="92">
                  <c:v>6</c:v>
                </c:pt>
                <c:pt idx="93">
                  <c:v>6</c:v>
                </c:pt>
                <c:pt idx="94">
                  <c:v>6</c:v>
                </c:pt>
                <c:pt idx="95">
                  <c:v>6</c:v>
                </c:pt>
                <c:pt idx="96">
                  <c:v>6</c:v>
                </c:pt>
                <c:pt idx="97">
                  <c:v>6</c:v>
                </c:pt>
                <c:pt idx="98">
                  <c:v>6</c:v>
                </c:pt>
                <c:pt idx="99">
                  <c:v>6</c:v>
                </c:pt>
                <c:pt idx="100">
                  <c:v>6</c:v>
                </c:pt>
                <c:pt idx="101">
                  <c:v>6</c:v>
                </c:pt>
              </c:numCache>
            </c:numRef>
          </c:yVal>
          <c:smooth val="1"/>
        </c:ser>
        <c:ser>
          <c:idx val="1"/>
          <c:order val="1"/>
          <c:tx>
            <c:strRef>
              <c:f>Start_up!$G$7</c:f>
              <c:strCache>
                <c:ptCount val="1"/>
                <c:pt idx="0">
                  <c:v>IFET</c:v>
                </c:pt>
              </c:strCache>
            </c:strRef>
          </c:tx>
          <c:marker>
            <c:symbol val="none"/>
          </c:marker>
          <c:xVal>
            <c:numRef>
              <c:f>Start_up!$B$8:$B$109</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Start_up!$G$8:$G$110</c:f>
              <c:numCache>
                <c:formatCode>General</c:formatCode>
                <c:ptCount val="103"/>
                <c:pt idx="0">
                  <c:v>7.9550638686131379</c:v>
                </c:pt>
                <c:pt idx="1">
                  <c:v>8.032297498405498</c:v>
                </c:pt>
                <c:pt idx="2">
                  <c:v>8.1110455130957479</c:v>
                </c:pt>
                <c:pt idx="3">
                  <c:v>8.1913528944135283</c:v>
                </c:pt>
                <c:pt idx="4">
                  <c:v>8.2732664233576632</c:v>
                </c:pt>
                <c:pt idx="5">
                  <c:v>8.3568347710683462</c:v>
                </c:pt>
                <c:pt idx="6">
                  <c:v>8.4421085952629227</c:v>
                </c:pt>
                <c:pt idx="7">
                  <c:v>8.5291406426367669</c:v>
                </c:pt>
                <c:pt idx="8">
                  <c:v>8.6179858576642321</c:v>
                </c:pt>
                <c:pt idx="9">
                  <c:v>8.7087014982712248</c:v>
                </c:pt>
                <c:pt idx="10">
                  <c:v>8.8013472588911306</c:v>
                </c:pt>
                <c:pt idx="11">
                  <c:v>8.8959854014598534</c:v>
                </c:pt>
                <c:pt idx="12">
                  <c:v>8.9926808949539812</c:v>
                </c:pt>
                <c:pt idx="13">
                  <c:v>9.0915015641293007</c:v>
                </c:pt>
                <c:pt idx="14">
                  <c:v>9.1925182481751815</c:v>
                </c:pt>
                <c:pt idx="15">
                  <c:v>9.2958049700647898</c:v>
                </c:pt>
                <c:pt idx="16">
                  <c:v>9.4014391174518899</c:v>
                </c:pt>
                <c:pt idx="17">
                  <c:v>9.5095016360432911</c:v>
                </c:pt>
                <c:pt idx="18">
                  <c:v>9.6200772364624001</c:v>
                </c:pt>
                <c:pt idx="19">
                  <c:v>9.7332546157148983</c:v>
                </c:pt>
                <c:pt idx="20">
                  <c:v>9.8491266944734086</c:v>
                </c:pt>
                <c:pt idx="21">
                  <c:v>9.9677908715152572</c:v>
                </c:pt>
                <c:pt idx="22">
                  <c:v>10.089349296777637</c:v>
                </c:pt>
                <c:pt idx="23">
                  <c:v>10.213909164639091</c:v>
                </c:pt>
                <c:pt idx="24">
                  <c:v>10.341583029197079</c:v>
                </c:pt>
                <c:pt idx="25">
                  <c:v>10.472489143490714</c:v>
                </c:pt>
                <c:pt idx="26">
                  <c:v>10.606751824817517</c:v>
                </c:pt>
                <c:pt idx="27">
                  <c:v>10.744501848516446</c:v>
                </c:pt>
                <c:pt idx="28">
                  <c:v>10.885876872839031</c:v>
                </c:pt>
                <c:pt idx="29">
                  <c:v>11.031021897810218</c:v>
                </c:pt>
                <c:pt idx="30">
                  <c:v>11.180089761294139</c:v>
                </c:pt>
                <c:pt idx="31">
                  <c:v>11.333241675832415</c:v>
                </c:pt>
                <c:pt idx="32">
                  <c:v>11.490647810218977</c:v>
                </c:pt>
                <c:pt idx="33">
                  <c:v>11.652487920222061</c:v>
                </c:pt>
                <c:pt idx="34">
                  <c:v>11.81895203336809</c:v>
                </c:pt>
                <c:pt idx="35">
                  <c:v>11.990241193271975</c:v>
                </c:pt>
                <c:pt idx="36">
                  <c:v>12.166568269643623</c:v>
                </c:pt>
                <c:pt idx="37">
                  <c:v>12.348158840832333</c:v>
                </c:pt>
                <c:pt idx="38">
                  <c:v>12.535252156602521</c:v>
                </c:pt>
                <c:pt idx="39">
                  <c:v>12.728102189781021</c:v>
                </c:pt>
                <c:pt idx="40">
                  <c:v>12.926978786496349</c:v>
                </c:pt>
                <c:pt idx="41">
                  <c:v>13.132168925964544</c:v>
                </c:pt>
                <c:pt idx="42">
                  <c:v>13.34397810218978</c:v>
                </c:pt>
                <c:pt idx="43">
                  <c:v>13.56273184156994</c:v>
                </c:pt>
                <c:pt idx="44">
                  <c:v>13.788777372262773</c:v>
                </c:pt>
                <c:pt idx="45">
                  <c:v>14.022485463318073</c:v>
                </c:pt>
                <c:pt idx="46">
                  <c:v>14.264252454064938</c:v>
                </c:pt>
                <c:pt idx="47">
                  <c:v>14.514502497118707</c:v>
                </c:pt>
                <c:pt idx="48">
                  <c:v>14.773690041710113</c:v>
                </c:pt>
                <c:pt idx="49">
                  <c:v>15.042302587923023</c:v>
                </c:pt>
                <c:pt idx="50">
                  <c:v>15.320863746958636</c:v>
                </c:pt>
                <c:pt idx="51">
                  <c:v>15.609936647844648</c:v>
                </c:pt>
                <c:pt idx="52">
                  <c:v>15.910127737226276</c:v>
                </c:pt>
                <c:pt idx="53">
                  <c:v>16.222091026191496</c:v>
                </c:pt>
                <c:pt idx="54">
                  <c:v>16.54653284671533</c:v>
                </c:pt>
                <c:pt idx="55">
                  <c:v>16.884217190525845</c:v>
                </c:pt>
                <c:pt idx="56">
                  <c:v>17.235971715328464</c:v>
                </c:pt>
                <c:pt idx="57">
                  <c:v>17.602694517782265</c:v>
                </c:pt>
                <c:pt idx="58">
                  <c:v>17.985361789907962</c:v>
                </c:pt>
                <c:pt idx="59">
                  <c:v>18.385036496350363</c:v>
                </c:pt>
                <c:pt idx="60">
                  <c:v>18.802878234903776</c:v>
                </c:pt>
                <c:pt idx="61">
                  <c:v>19.2401544729248</c:v>
                </c:pt>
                <c:pt idx="62">
                  <c:v>19.698253388946817</c:v>
                </c:pt>
                <c:pt idx="63">
                  <c:v>19.855839416058391</c:v>
                </c:pt>
                <c:pt idx="64">
                  <c:v>19.855839416058391</c:v>
                </c:pt>
                <c:pt idx="65">
                  <c:v>19.855839416058391</c:v>
                </c:pt>
                <c:pt idx="66">
                  <c:v>19.855839416058391</c:v>
                </c:pt>
                <c:pt idx="67">
                  <c:v>19.855839416058391</c:v>
                </c:pt>
                <c:pt idx="68">
                  <c:v>19.855839416058391</c:v>
                </c:pt>
                <c:pt idx="69">
                  <c:v>19.855839416058391</c:v>
                </c:pt>
                <c:pt idx="70">
                  <c:v>19.855839416058391</c:v>
                </c:pt>
                <c:pt idx="71">
                  <c:v>19.855839416058391</c:v>
                </c:pt>
                <c:pt idx="72">
                  <c:v>19.855839416058391</c:v>
                </c:pt>
                <c:pt idx="73">
                  <c:v>19.855839416058391</c:v>
                </c:pt>
                <c:pt idx="74">
                  <c:v>19.855839416058391</c:v>
                </c:pt>
                <c:pt idx="75">
                  <c:v>19.855839416058391</c:v>
                </c:pt>
                <c:pt idx="76">
                  <c:v>19.855839416058391</c:v>
                </c:pt>
                <c:pt idx="77">
                  <c:v>19.855839416058391</c:v>
                </c:pt>
                <c:pt idx="78">
                  <c:v>19.855839416058391</c:v>
                </c:pt>
                <c:pt idx="79">
                  <c:v>19.855839416058391</c:v>
                </c:pt>
                <c:pt idx="80">
                  <c:v>19.855839416058391</c:v>
                </c:pt>
                <c:pt idx="81">
                  <c:v>19.855839416058391</c:v>
                </c:pt>
                <c:pt idx="82">
                  <c:v>19.855839416058391</c:v>
                </c:pt>
                <c:pt idx="83">
                  <c:v>19.855839416058391</c:v>
                </c:pt>
                <c:pt idx="84">
                  <c:v>19.855839416058391</c:v>
                </c:pt>
                <c:pt idx="85">
                  <c:v>19.855839416058391</c:v>
                </c:pt>
                <c:pt idx="86">
                  <c:v>19.855839416058391</c:v>
                </c:pt>
                <c:pt idx="87">
                  <c:v>19.855839416058391</c:v>
                </c:pt>
                <c:pt idx="88">
                  <c:v>19.855839416058391</c:v>
                </c:pt>
                <c:pt idx="89">
                  <c:v>19.855839416058391</c:v>
                </c:pt>
                <c:pt idx="90">
                  <c:v>19.855839416058391</c:v>
                </c:pt>
                <c:pt idx="91">
                  <c:v>19.855839416058391</c:v>
                </c:pt>
                <c:pt idx="92">
                  <c:v>19.855839416058391</c:v>
                </c:pt>
                <c:pt idx="93">
                  <c:v>19.855839416058391</c:v>
                </c:pt>
                <c:pt idx="94">
                  <c:v>19.855839416058391</c:v>
                </c:pt>
                <c:pt idx="95">
                  <c:v>19.855839416058391</c:v>
                </c:pt>
                <c:pt idx="96">
                  <c:v>19.855839416058391</c:v>
                </c:pt>
                <c:pt idx="97">
                  <c:v>19.855839416058391</c:v>
                </c:pt>
                <c:pt idx="98">
                  <c:v>19.855839416058391</c:v>
                </c:pt>
                <c:pt idx="99">
                  <c:v>19.855839416058391</c:v>
                </c:pt>
                <c:pt idx="100">
                  <c:v>19.855839416058391</c:v>
                </c:pt>
                <c:pt idx="101">
                  <c:v>19.855839416058391</c:v>
                </c:pt>
                <c:pt idx="102">
                  <c:v>19.855839416058391</c:v>
                </c:pt>
              </c:numCache>
            </c:numRef>
          </c:yVal>
          <c:smooth val="1"/>
        </c:ser>
        <c:dLbls>
          <c:showLegendKey val="0"/>
          <c:showVal val="0"/>
          <c:showCatName val="0"/>
          <c:showSerName val="0"/>
          <c:showPercent val="0"/>
          <c:showBubbleSize val="0"/>
        </c:dLbls>
        <c:axId val="65005056"/>
        <c:axId val="65006976"/>
      </c:scatterChart>
      <c:valAx>
        <c:axId val="6500505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65006976"/>
        <c:crosses val="autoZero"/>
        <c:crossBetween val="midCat"/>
      </c:valAx>
      <c:valAx>
        <c:axId val="65006976"/>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65005056"/>
        <c:crosses val="autoZero"/>
        <c:crossBetween val="midCat"/>
      </c:valAx>
    </c:plotArea>
    <c:legend>
      <c:legendPos val="r"/>
      <c:layout>
        <c:manualLayout>
          <c:xMode val="edge"/>
          <c:yMode val="edge"/>
          <c:x val="0.34624252358789731"/>
          <c:y val="0.24479126489117181"/>
          <c:w val="0.21462230092985587"/>
          <c:h val="0.1679244395525828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4.png"/><Relationship Id="rId7" Type="http://schemas.openxmlformats.org/officeDocument/2006/relationships/image" Target="../media/image6.png"/><Relationship Id="rId12" Type="http://schemas.openxmlformats.org/officeDocument/2006/relationships/image" Target="../media/image11.png"/><Relationship Id="rId2" Type="http://schemas.openxmlformats.org/officeDocument/2006/relationships/image" Target="../media/image3.emf"/><Relationship Id="rId1" Type="http://schemas.openxmlformats.org/officeDocument/2006/relationships/image" Target="../media/image2.png"/><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chart" Target="../charts/chart2.xml"/><Relationship Id="rId10" Type="http://schemas.openxmlformats.org/officeDocument/2006/relationships/image" Target="../media/image9.png"/><Relationship Id="rId4" Type="http://schemas.openxmlformats.org/officeDocument/2006/relationships/chart" Target="../charts/chart1.xml"/><Relationship Id="rId9"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xdr:cNvSpPr>
          <a:spLocks noChangeArrowheads="1"/>
        </xdr:cNvSpPr>
      </xdr:nvSpPr>
      <xdr:spPr bwMode="auto">
        <a:xfrm>
          <a:off x="0" y="280035"/>
          <a:ext cx="9725025" cy="939165"/>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46705</xdr:colOff>
      <xdr:row>2</xdr:row>
      <xdr:rowOff>156305</xdr:rowOff>
    </xdr:from>
    <xdr:to>
      <xdr:col>3</xdr:col>
      <xdr:colOff>504826</xdr:colOff>
      <xdr:row>3</xdr:row>
      <xdr:rowOff>137160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305" y="499205"/>
          <a:ext cx="1677321" cy="361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1820</xdr:colOff>
      <xdr:row>1</xdr:row>
      <xdr:rowOff>104775</xdr:rowOff>
    </xdr:from>
    <xdr:to>
      <xdr:col>8</xdr:col>
      <xdr:colOff>778566</xdr:colOff>
      <xdr:row>5</xdr:row>
      <xdr:rowOff>157369</xdr:rowOff>
    </xdr:to>
    <xdr:sp macro="" textlink="">
      <xdr:nvSpPr>
        <xdr:cNvPr id="1025" name="Text Box 1"/>
        <xdr:cNvSpPr txBox="1">
          <a:spLocks noChangeArrowheads="1"/>
        </xdr:cNvSpPr>
      </xdr:nvSpPr>
      <xdr:spPr bwMode="auto">
        <a:xfrm>
          <a:off x="26668" y="875058"/>
          <a:ext cx="8255941" cy="748333"/>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TPS2474x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TPS2474x datasheet for more detail.</a:t>
          </a:r>
        </a:p>
      </xdr:txBody>
    </xdr:sp>
    <xdr:clientData/>
  </xdr:twoCellAnchor>
  <xdr:twoCellAnchor>
    <xdr:from>
      <xdr:col>39</xdr:col>
      <xdr:colOff>0</xdr:colOff>
      <xdr:row>50</xdr:row>
      <xdr:rowOff>0</xdr:rowOff>
    </xdr:from>
    <xdr:to>
      <xdr:col>39</xdr:col>
      <xdr:colOff>0</xdr:colOff>
      <xdr:row>57</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0</xdr:col>
      <xdr:colOff>76200</xdr:colOff>
      <xdr:row>0</xdr:row>
      <xdr:rowOff>171450</xdr:rowOff>
    </xdr:from>
    <xdr:to>
      <xdr:col>1</xdr:col>
      <xdr:colOff>1657687</xdr:colOff>
      <xdr:row>0</xdr:row>
      <xdr:rowOff>609600</xdr:rowOff>
    </xdr:to>
    <xdr:pic>
      <xdr:nvPicPr>
        <xdr:cNvPr id="10" name="Picture 9"/>
        <xdr:cNvPicPr/>
      </xdr:nvPicPr>
      <xdr:blipFill>
        <a:blip xmlns:r="http://schemas.openxmlformats.org/officeDocument/2006/relationships" r:embed="rId1"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167</xdr:row>
      <xdr:rowOff>95251</xdr:rowOff>
    </xdr:from>
    <xdr:to>
      <xdr:col>10</xdr:col>
      <xdr:colOff>387598</xdr:colOff>
      <xdr:row>167</xdr:row>
      <xdr:rowOff>97409</xdr:rowOff>
    </xdr:to>
    <xdr:pic>
      <xdr:nvPicPr>
        <xdr:cNvPr id="3" name="Picture 216"/>
        <xdr:cNvPicPr>
          <a:picLocks noChangeAspect="1" noChangeArrowheads="1"/>
        </xdr:cNvPicPr>
      </xdr:nvPicPr>
      <xdr:blipFill>
        <a:blip xmlns:r="http://schemas.openxmlformats.org/officeDocument/2006/relationships" r:embed="rId2"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3"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274321</xdr:colOff>
      <xdr:row>40</xdr:row>
      <xdr:rowOff>76201</xdr:rowOff>
    </xdr:from>
    <xdr:to>
      <xdr:col>38</xdr:col>
      <xdr:colOff>304801</xdr:colOff>
      <xdr:row>56</xdr:row>
      <xdr:rowOff>106681</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8</xdr:col>
      <xdr:colOff>53340</xdr:colOff>
      <xdr:row>30</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299357</xdr:colOff>
      <xdr:row>57</xdr:row>
      <xdr:rowOff>60960</xdr:rowOff>
    </xdr:from>
    <xdr:to>
      <xdr:col>38</xdr:col>
      <xdr:colOff>342900</xdr:colOff>
      <xdr:row>72</xdr:row>
      <xdr:rowOff>76200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11</xdr:col>
      <xdr:colOff>434340</xdr:colOff>
      <xdr:row>46</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59</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7</xdr:col>
      <xdr:colOff>196264</xdr:colOff>
      <xdr:row>23</xdr:row>
      <xdr:rowOff>43863</xdr:rowOff>
    </xdr:from>
    <xdr:to>
      <xdr:col>38</xdr:col>
      <xdr:colOff>508300</xdr:colOff>
      <xdr:row>34</xdr:row>
      <xdr:rowOff>186936</xdr:rowOff>
    </xdr:to>
    <xdr:pic>
      <xdr:nvPicPr>
        <xdr:cNvPr id="17" name="Picture 16" descr="OR_HS_GM_TPS24740.png"/>
        <xdr:cNvPicPr/>
      </xdr:nvPicPr>
      <xdr:blipFill>
        <a:blip xmlns:r="http://schemas.openxmlformats.org/officeDocument/2006/relationships" r:embed="rId6" cstate="print"/>
        <a:stretch>
          <a:fillRect/>
        </a:stretch>
      </xdr:blipFill>
      <xdr:spPr>
        <a:xfrm>
          <a:off x="7544121" y="4702949"/>
          <a:ext cx="4799511" cy="2256822"/>
        </a:xfrm>
        <a:prstGeom prst="rect">
          <a:avLst/>
        </a:prstGeom>
      </xdr:spPr>
    </xdr:pic>
    <xdr:clientData/>
  </xdr:twoCellAnchor>
  <xdr:twoCellAnchor editAs="oneCell">
    <xdr:from>
      <xdr:col>8</xdr:col>
      <xdr:colOff>251012</xdr:colOff>
      <xdr:row>73</xdr:row>
      <xdr:rowOff>145876</xdr:rowOff>
    </xdr:from>
    <xdr:to>
      <xdr:col>10</xdr:col>
      <xdr:colOff>304182</xdr:colOff>
      <xdr:row>81</xdr:row>
      <xdr:rowOff>35860</xdr:rowOff>
    </xdr:to>
    <xdr:pic>
      <xdr:nvPicPr>
        <xdr:cNvPr id="6" name="Picture 5"/>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919883" y="14085994"/>
          <a:ext cx="1550276" cy="1396054"/>
        </a:xfrm>
        <a:prstGeom prst="rect">
          <a:avLst/>
        </a:prstGeom>
      </xdr:spPr>
    </xdr:pic>
    <xdr:clientData/>
  </xdr:twoCellAnchor>
  <xdr:twoCellAnchor editAs="oneCell">
    <xdr:from>
      <xdr:col>8</xdr:col>
      <xdr:colOff>286870</xdr:colOff>
      <xdr:row>119</xdr:row>
      <xdr:rowOff>106295</xdr:rowOff>
    </xdr:from>
    <xdr:to>
      <xdr:col>38</xdr:col>
      <xdr:colOff>1595719</xdr:colOff>
      <xdr:row>131</xdr:row>
      <xdr:rowOff>62752</xdr:rowOff>
    </xdr:to>
    <xdr:pic>
      <xdr:nvPicPr>
        <xdr:cNvPr id="18" name="Picture 17" descr="OR_HS_GM_TPS24740.png"/>
        <xdr:cNvPicPr/>
      </xdr:nvPicPr>
      <xdr:blipFill>
        <a:blip xmlns:r="http://schemas.openxmlformats.org/officeDocument/2006/relationships" r:embed="rId6" cstate="print"/>
        <a:stretch>
          <a:fillRect/>
        </a:stretch>
      </xdr:blipFill>
      <xdr:spPr>
        <a:xfrm>
          <a:off x="8399929" y="22141542"/>
          <a:ext cx="5065060" cy="2251423"/>
        </a:xfrm>
        <a:prstGeom prst="rect">
          <a:avLst/>
        </a:prstGeom>
      </xdr:spPr>
    </xdr:pic>
    <xdr:clientData/>
  </xdr:twoCellAnchor>
  <xdr:twoCellAnchor editAs="oneCell">
    <xdr:from>
      <xdr:col>10</xdr:col>
      <xdr:colOff>295022</xdr:colOff>
      <xdr:row>134</xdr:row>
      <xdr:rowOff>24237</xdr:rowOff>
    </xdr:from>
    <xdr:to>
      <xdr:col>38</xdr:col>
      <xdr:colOff>833921</xdr:colOff>
      <xdr:row>138</xdr:row>
      <xdr:rowOff>130628</xdr:rowOff>
    </xdr:to>
    <xdr:pic>
      <xdr:nvPicPr>
        <xdr:cNvPr id="7" name="Picture 6"/>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179251" y="24571523"/>
          <a:ext cx="2792241" cy="890163"/>
        </a:xfrm>
        <a:prstGeom prst="rect">
          <a:avLst/>
        </a:prstGeom>
      </xdr:spPr>
    </xdr:pic>
    <xdr:clientData/>
  </xdr:twoCellAnchor>
  <xdr:oneCellAnchor>
    <xdr:from>
      <xdr:col>11</xdr:col>
      <xdr:colOff>313766</xdr:colOff>
      <xdr:row>132</xdr:row>
      <xdr:rowOff>125505</xdr:rowOff>
    </xdr:from>
    <xdr:ext cx="1000530" cy="264560"/>
    <xdr:sp macro="" textlink="">
      <xdr:nvSpPr>
        <xdr:cNvPr id="8" name="TextBox 7"/>
        <xdr:cNvSpPr txBox="1"/>
      </xdr:nvSpPr>
      <xdr:spPr>
        <a:xfrm>
          <a:off x="10802472" y="24643976"/>
          <a:ext cx="100053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Timer Options</a:t>
          </a:r>
        </a:p>
      </xdr:txBody>
    </xdr:sp>
    <xdr:clientData/>
  </xdr:oneCellAnchor>
  <xdr:twoCellAnchor editAs="oneCell">
    <xdr:from>
      <xdr:col>1</xdr:col>
      <xdr:colOff>484990</xdr:colOff>
      <xdr:row>119</xdr:row>
      <xdr:rowOff>99060</xdr:rowOff>
    </xdr:from>
    <xdr:to>
      <xdr:col>2</xdr:col>
      <xdr:colOff>1293607</xdr:colOff>
      <xdr:row>132</xdr:row>
      <xdr:rowOff>6147</xdr:rowOff>
    </xdr:to>
    <xdr:pic>
      <xdr:nvPicPr>
        <xdr:cNvPr id="21" name="Picture 2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15470" y="22090380"/>
          <a:ext cx="2662070" cy="2414069"/>
        </a:xfrm>
        <a:prstGeom prst="rect">
          <a:avLst/>
        </a:prstGeom>
      </xdr:spPr>
    </xdr:pic>
    <xdr:clientData/>
  </xdr:twoCellAnchor>
  <xdr:twoCellAnchor editAs="oneCell">
    <xdr:from>
      <xdr:col>7</xdr:col>
      <xdr:colOff>239486</xdr:colOff>
      <xdr:row>92</xdr:row>
      <xdr:rowOff>35922</xdr:rowOff>
    </xdr:from>
    <xdr:to>
      <xdr:col>38</xdr:col>
      <xdr:colOff>411394</xdr:colOff>
      <xdr:row>111</xdr:row>
      <xdr:rowOff>48135</xdr:rowOff>
    </xdr:to>
    <xdr:pic>
      <xdr:nvPicPr>
        <xdr:cNvPr id="9" name="Picture 8"/>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587343" y="17126493"/>
          <a:ext cx="4659383" cy="3735127"/>
        </a:xfrm>
        <a:prstGeom prst="rect">
          <a:avLst/>
        </a:prstGeom>
      </xdr:spPr>
    </xdr:pic>
    <xdr:clientData/>
  </xdr:twoCellAnchor>
  <xdr:twoCellAnchor editAs="oneCell">
    <xdr:from>
      <xdr:col>7</xdr:col>
      <xdr:colOff>272143</xdr:colOff>
      <xdr:row>82</xdr:row>
      <xdr:rowOff>119743</xdr:rowOff>
    </xdr:from>
    <xdr:to>
      <xdr:col>9</xdr:col>
      <xdr:colOff>348343</xdr:colOff>
      <xdr:row>89</xdr:row>
      <xdr:rowOff>88254</xdr:rowOff>
    </xdr:to>
    <xdr:pic>
      <xdr:nvPicPr>
        <xdr:cNvPr id="12" name="Picture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913914" y="16023772"/>
          <a:ext cx="1709058" cy="1340111"/>
        </a:xfrm>
        <a:prstGeom prst="rect">
          <a:avLst/>
        </a:prstGeom>
      </xdr:spPr>
    </xdr:pic>
    <xdr:clientData/>
  </xdr:twoCellAnchor>
  <xdr:twoCellAnchor editAs="oneCell">
    <xdr:from>
      <xdr:col>1</xdr:col>
      <xdr:colOff>1176299</xdr:colOff>
      <xdr:row>88</xdr:row>
      <xdr:rowOff>111418</xdr:rowOff>
    </xdr:from>
    <xdr:to>
      <xdr:col>12</xdr:col>
      <xdr:colOff>79915</xdr:colOff>
      <xdr:row>89</xdr:row>
      <xdr:rowOff>281204</xdr:rowOff>
    </xdr:to>
    <xdr:pic>
      <xdr:nvPicPr>
        <xdr:cNvPr id="13" name="Picture 12"/>
        <xdr:cNvPicPr>
          <a:picLocks noChangeAspect="1"/>
        </xdr:cNvPicPr>
      </xdr:nvPicPr>
      <xdr:blipFill>
        <a:blip xmlns:r="http://schemas.openxmlformats.org/officeDocument/2006/relationships" r:embed="rId12" cstate="print"/>
        <a:stretch>
          <a:fillRect/>
        </a:stretch>
      </xdr:blipFill>
      <xdr:spPr>
        <a:xfrm>
          <a:off x="1203193" y="16875418"/>
          <a:ext cx="10342581" cy="358045"/>
        </a:xfrm>
        <a:prstGeom prst="rect">
          <a:avLst/>
        </a:prstGeom>
      </xdr:spPr>
    </xdr:pic>
    <xdr:clientData/>
  </xdr:twoCellAnchor>
  <xdr:twoCellAnchor>
    <xdr:from>
      <xdr:col>5</xdr:col>
      <xdr:colOff>286871</xdr:colOff>
      <xdr:row>88</xdr:row>
      <xdr:rowOff>53788</xdr:rowOff>
    </xdr:from>
    <xdr:to>
      <xdr:col>6</xdr:col>
      <xdr:colOff>8965</xdr:colOff>
      <xdr:row>89</xdr:row>
      <xdr:rowOff>304800</xdr:rowOff>
    </xdr:to>
    <xdr:sp macro="" textlink="">
      <xdr:nvSpPr>
        <xdr:cNvPr id="14" name="Oval 13"/>
        <xdr:cNvSpPr/>
      </xdr:nvSpPr>
      <xdr:spPr>
        <a:xfrm>
          <a:off x="6320118" y="16817788"/>
          <a:ext cx="851647" cy="4392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277908</xdr:colOff>
      <xdr:row>88</xdr:row>
      <xdr:rowOff>35859</xdr:rowOff>
    </xdr:from>
    <xdr:to>
      <xdr:col>10</xdr:col>
      <xdr:colOff>519955</xdr:colOff>
      <xdr:row>89</xdr:row>
      <xdr:rowOff>286871</xdr:rowOff>
    </xdr:to>
    <xdr:sp macro="" textlink="">
      <xdr:nvSpPr>
        <xdr:cNvPr id="25" name="Oval 24"/>
        <xdr:cNvSpPr/>
      </xdr:nvSpPr>
      <xdr:spPr>
        <a:xfrm>
          <a:off x="9556379" y="16799859"/>
          <a:ext cx="851647" cy="4392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xdr:from>
          <xdr:col>9</xdr:col>
          <xdr:colOff>38100</xdr:colOff>
          <xdr:row>0</xdr:row>
          <xdr:rowOff>99060</xdr:rowOff>
        </xdr:from>
        <xdr:to>
          <xdr:col>12</xdr:col>
          <xdr:colOff>655320</xdr:colOff>
          <xdr:row>1</xdr:row>
          <xdr:rowOff>0</xdr:rowOff>
        </xdr:to>
        <xdr:sp macro="" textlink="">
          <xdr:nvSpPr>
            <xdr:cNvPr id="1242" name="Button 218" hidden="1">
              <a:extLst>
                <a:ext uri="{63B3BB69-23CF-44E3-9099-C40C66FF867C}">
                  <a14:compatExt spid="_x0000_s1242"/>
                </a:ext>
              </a:extLst>
            </xdr:cNvPr>
            <xdr:cNvSpPr/>
          </xdr:nvSpPr>
          <xdr:spPr>
            <a:xfrm>
              <a:off x="0" y="0"/>
              <a:ext cx="0" cy="0"/>
            </a:xfrm>
            <a:prstGeom prst="rect">
              <a:avLst/>
            </a:prstGeom>
          </xdr:spPr>
          <xdr:txBody>
            <a:bodyPr vertOverflow="clip" wrap="square" lIns="45720" tIns="36576" rIns="45720" bIns="36576" anchor="ctr" upright="1"/>
            <a:lstStyle/>
            <a:p>
              <a:pPr algn="ctr" rtl="0">
                <a:defRPr sz="1000"/>
              </a:pPr>
              <a:r>
                <a:rPr lang="en-US" sz="1600" b="0" i="0" u="none" strike="noStrike" baseline="0">
                  <a:solidFill>
                    <a:srgbClr val="000000"/>
                  </a:solidFill>
                  <a:latin typeface="Arial"/>
                  <a:cs typeface="Arial"/>
                </a:rPr>
                <a:t>View TI's System Protection</a:t>
              </a:r>
            </a:p>
            <a:p>
              <a:pPr algn="ctr" rtl="0">
                <a:defRPr sz="1000"/>
              </a:pPr>
              <a:r>
                <a:rPr lang="en-US" sz="1600" b="0" i="0" u="none" strike="noStrike" baseline="0">
                  <a:solidFill>
                    <a:srgbClr val="000000"/>
                  </a:solidFill>
                  <a:latin typeface="Arial"/>
                  <a:cs typeface="Arial"/>
                </a:rPr>
                <a:t>&amp; Power Management Solutions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97155</xdr:colOff>
      <xdr:row>61</xdr:row>
      <xdr:rowOff>22860</xdr:rowOff>
    </xdr:from>
    <xdr:to>
      <xdr:col>13</xdr:col>
      <xdr:colOff>20955</xdr:colOff>
      <xdr:row>86</xdr:row>
      <xdr:rowOff>133350</xdr:rowOff>
    </xdr:to>
    <xdr:sp macro="" textlink="">
      <xdr:nvSpPr>
        <xdr:cNvPr id="2" name="Text Box 17"/>
        <xdr:cNvSpPr txBox="1">
          <a:spLocks noChangeArrowheads="1"/>
        </xdr:cNvSpPr>
      </xdr:nvSpPr>
      <xdr:spPr bwMode="auto">
        <a:xfrm>
          <a:off x="4608195" y="11254740"/>
          <a:ext cx="4381500" cy="430149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Assumed Value</a:t>
          </a:r>
        </a:p>
        <a:p>
          <a:pPr algn="l" rtl="0">
            <a:defRPr sz="1000"/>
          </a:pPr>
          <a:endParaRPr lang="en-US" sz="1000" b="0" i="0" u="sng"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1.35V x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- 1.35V)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1.35V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- 1.35V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1.35V + (R1 x  </a:t>
          </a:r>
          <a:r>
            <a:rPr lang="en-US" sz="1000" b="0" i="0" u="sng" strike="noStrike" baseline="0">
              <a:solidFill>
                <a:srgbClr val="000000"/>
              </a:solidFill>
              <a:latin typeface="Arial"/>
              <a:cs typeface="Arial"/>
            </a:rPr>
            <a:t>( 1.35V     </a:t>
          </a:r>
          <a:r>
            <a:rPr lang="en-US" sz="1000" b="0" i="0" u="none" strike="noStrike" baseline="0">
              <a:solidFill>
                <a:srgbClr val="000000"/>
              </a:solidFill>
              <a:latin typeface="Arial"/>
              <a:cs typeface="Arial"/>
            </a:rPr>
            <a:t> +  23uA)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1.35V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1.35V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1.16V)</a:t>
          </a:r>
          <a:r>
            <a:rPr lang="en-US" sz="1000" b="0" i="0" u="none" strike="noStrike" baseline="0">
              <a:solidFill>
                <a:srgbClr val="000000"/>
              </a:solidFill>
              <a:latin typeface="Arial"/>
              <a:cs typeface="Arial"/>
            </a:rPr>
            <a:t>  -  23uA)) + 1.35V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111</xdr:row>
      <xdr:rowOff>133350</xdr:rowOff>
    </xdr:from>
    <xdr:to>
      <xdr:col>9</xdr:col>
      <xdr:colOff>276225</xdr:colOff>
      <xdr:row>122</xdr:row>
      <xdr:rowOff>142875</xdr:rowOff>
    </xdr:to>
    <xdr:sp macro="" textlink="">
      <xdr:nvSpPr>
        <xdr:cNvPr id="3" name="Text Box 98"/>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563880</xdr:colOff>
      <xdr:row>24</xdr:row>
      <xdr:rowOff>87630</xdr:rowOff>
    </xdr:from>
    <xdr:to>
      <xdr:col>27</xdr:col>
      <xdr:colOff>388620</xdr:colOff>
      <xdr:row>44</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pdf/slva673" TargetMode="External"/><Relationship Id="rId1" Type="http://schemas.openxmlformats.org/officeDocument/2006/relationships/hyperlink" Target="http://www.ti.com/general/docs/lit/getliterature.tsp?genericPartNumber=tps24740&amp;fileType=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topLeftCell="A115" zoomScaleNormal="100" workbookViewId="0">
      <selection activeCell="D20" sqref="D20"/>
    </sheetView>
  </sheetViews>
  <sheetFormatPr defaultColWidth="8.88671875" defaultRowHeight="13.2"/>
  <cols>
    <col min="1" max="15" width="8.88671875" style="145"/>
    <col min="16" max="16" width="18.33203125" style="145" customWidth="1"/>
    <col min="17" max="16384" width="8.88671875" style="145"/>
  </cols>
  <sheetData>
    <row r="1" spans="1:16" ht="13.8" thickTop="1">
      <c r="A1" s="118"/>
      <c r="B1" s="119"/>
      <c r="C1" s="119"/>
      <c r="D1" s="119"/>
      <c r="E1" s="119"/>
      <c r="F1" s="119"/>
      <c r="G1" s="119"/>
      <c r="H1" s="119"/>
      <c r="I1" s="119"/>
      <c r="J1" s="119"/>
      <c r="K1" s="119"/>
      <c r="L1" s="119"/>
      <c r="M1" s="119"/>
      <c r="N1" s="119"/>
      <c r="O1" s="119"/>
      <c r="P1" s="120"/>
    </row>
    <row r="2" spans="1:16">
      <c r="A2" s="121"/>
      <c r="B2" s="122"/>
      <c r="C2" s="122"/>
      <c r="D2" s="122"/>
      <c r="E2" s="122"/>
      <c r="F2" s="122"/>
      <c r="G2" s="122"/>
      <c r="H2" s="122"/>
      <c r="I2" s="122"/>
      <c r="J2" s="122"/>
      <c r="K2" s="122"/>
      <c r="L2" s="122"/>
      <c r="M2" s="122"/>
      <c r="N2" s="122"/>
      <c r="O2" s="122"/>
      <c r="P2" s="123"/>
    </row>
    <row r="3" spans="1:16" ht="30">
      <c r="A3" s="121"/>
      <c r="B3" s="122"/>
      <c r="C3" s="122"/>
      <c r="D3" s="124"/>
      <c r="E3" s="122"/>
      <c r="F3" s="122"/>
      <c r="G3" s="122"/>
      <c r="H3" s="122"/>
      <c r="I3" s="122"/>
      <c r="J3" s="122"/>
      <c r="K3" s="122"/>
      <c r="L3" s="125"/>
      <c r="M3" s="122"/>
      <c r="N3" s="122"/>
      <c r="O3" s="122"/>
      <c r="P3" s="123"/>
    </row>
    <row r="4" spans="1:16" ht="22.8">
      <c r="A4" s="121"/>
      <c r="B4" s="122"/>
      <c r="C4" s="122"/>
      <c r="D4" s="126"/>
      <c r="E4" s="122"/>
      <c r="F4" s="122"/>
      <c r="G4" s="122"/>
      <c r="H4" s="122"/>
      <c r="I4" s="122"/>
      <c r="J4" s="122"/>
      <c r="K4" s="122"/>
      <c r="L4" s="122"/>
      <c r="M4" s="122"/>
      <c r="N4" s="122"/>
      <c r="O4" s="122"/>
      <c r="P4" s="123"/>
    </row>
    <row r="5" spans="1:16">
      <c r="A5" s="121"/>
      <c r="B5" s="122"/>
      <c r="C5" s="122"/>
      <c r="D5" s="122"/>
      <c r="E5" s="122"/>
      <c r="F5" s="122"/>
      <c r="G5" s="122"/>
      <c r="H5" s="122"/>
      <c r="I5" s="122"/>
      <c r="J5" s="122"/>
      <c r="K5" s="122"/>
      <c r="L5" s="122"/>
      <c r="M5" s="122"/>
      <c r="N5" s="122"/>
      <c r="O5" s="122"/>
      <c r="P5" s="123"/>
    </row>
    <row r="6" spans="1:16">
      <c r="A6" s="121"/>
      <c r="B6" s="122"/>
      <c r="C6" s="122"/>
      <c r="D6" s="122"/>
      <c r="E6" s="122"/>
      <c r="F6" s="122"/>
      <c r="G6" s="122"/>
      <c r="H6" s="122"/>
      <c r="I6" s="122"/>
      <c r="J6" s="122"/>
      <c r="K6" s="122"/>
      <c r="L6" s="122"/>
      <c r="M6" s="122"/>
      <c r="N6" s="122"/>
      <c r="O6" s="122"/>
      <c r="P6" s="123"/>
    </row>
    <row r="7" spans="1:16" ht="15.6">
      <c r="A7" s="121"/>
      <c r="B7" s="122"/>
      <c r="C7" s="122"/>
      <c r="D7" s="122"/>
      <c r="E7" s="122"/>
      <c r="F7" s="122"/>
      <c r="G7" s="122"/>
      <c r="H7" s="122"/>
      <c r="I7" s="122"/>
      <c r="J7" s="122"/>
      <c r="K7" s="122"/>
      <c r="L7" s="122"/>
      <c r="M7" s="125" t="s">
        <v>481</v>
      </c>
      <c r="N7" s="122"/>
      <c r="O7" s="122"/>
      <c r="P7" s="123"/>
    </row>
    <row r="8" spans="1:16" ht="30">
      <c r="A8" s="121"/>
      <c r="B8" s="124" t="s">
        <v>480</v>
      </c>
      <c r="C8" s="122"/>
      <c r="D8" s="122"/>
      <c r="E8" s="122"/>
      <c r="F8" s="122"/>
      <c r="G8" s="122"/>
      <c r="H8" s="122"/>
      <c r="I8" s="122"/>
      <c r="J8" s="122"/>
      <c r="K8" s="122"/>
      <c r="L8" s="122"/>
      <c r="M8" s="122"/>
      <c r="N8" s="122"/>
      <c r="O8" s="122"/>
      <c r="P8" s="123"/>
    </row>
    <row r="9" spans="1:16">
      <c r="A9" s="121"/>
      <c r="B9" s="122"/>
      <c r="C9" s="122"/>
      <c r="D9" s="122"/>
      <c r="E9" s="122"/>
      <c r="F9" s="122"/>
      <c r="G9" s="122"/>
      <c r="H9" s="122"/>
      <c r="I9" s="122"/>
      <c r="J9" s="122"/>
      <c r="K9" s="122"/>
      <c r="L9" s="122"/>
      <c r="M9" s="122"/>
      <c r="N9" s="122"/>
      <c r="O9" s="122"/>
      <c r="P9" s="123"/>
    </row>
    <row r="10" spans="1:16" ht="20.399999999999999">
      <c r="A10" s="121"/>
      <c r="B10" s="300" t="s">
        <v>367</v>
      </c>
      <c r="C10" s="301"/>
      <c r="D10" s="301"/>
      <c r="E10" s="301"/>
      <c r="F10" s="302"/>
      <c r="G10" s="302"/>
      <c r="H10" s="302"/>
      <c r="I10" s="302"/>
      <c r="J10" s="122"/>
      <c r="K10" s="122"/>
      <c r="L10" s="122"/>
      <c r="M10" s="122"/>
      <c r="N10" s="122"/>
      <c r="O10" s="122"/>
      <c r="P10" s="123"/>
    </row>
    <row r="11" spans="1:16" ht="13.8">
      <c r="A11" s="121"/>
      <c r="B11" s="303" t="s">
        <v>368</v>
      </c>
      <c r="C11" s="304"/>
      <c r="D11" s="304"/>
      <c r="E11" s="304"/>
      <c r="F11" s="302"/>
      <c r="G11" s="302"/>
      <c r="H11" s="302"/>
      <c r="I11" s="302"/>
      <c r="J11" s="122"/>
      <c r="K11" s="122"/>
      <c r="L11" s="122"/>
      <c r="M11" s="122"/>
      <c r="N11" s="122"/>
      <c r="O11" s="122"/>
      <c r="P11" s="123"/>
    </row>
    <row r="12" spans="1:16" ht="13.8">
      <c r="A12" s="121"/>
      <c r="B12" s="303" t="s">
        <v>369</v>
      </c>
      <c r="C12" s="304"/>
      <c r="D12" s="304"/>
      <c r="E12" s="304"/>
      <c r="F12" s="302"/>
      <c r="G12" s="302"/>
      <c r="H12" s="302"/>
      <c r="I12" s="302"/>
      <c r="J12" s="122"/>
      <c r="K12" s="122"/>
      <c r="L12" s="122"/>
      <c r="M12" s="122"/>
      <c r="N12" s="122"/>
      <c r="O12" s="122"/>
      <c r="P12" s="123"/>
    </row>
    <row r="13" spans="1:16" ht="13.8">
      <c r="A13" s="121"/>
      <c r="B13" s="303"/>
      <c r="C13" s="304"/>
      <c r="D13" s="304"/>
      <c r="E13" s="304"/>
      <c r="F13" s="302"/>
      <c r="G13" s="302"/>
      <c r="H13" s="302"/>
      <c r="I13" s="302"/>
      <c r="J13" s="122"/>
      <c r="K13" s="122"/>
      <c r="L13" s="122"/>
      <c r="M13" s="122"/>
      <c r="N13" s="122"/>
      <c r="O13" s="122"/>
      <c r="P13" s="123"/>
    </row>
    <row r="14" spans="1:16">
      <c r="A14" s="121"/>
      <c r="B14" s="308" t="s">
        <v>482</v>
      </c>
      <c r="C14" s="308"/>
      <c r="D14" s="308"/>
      <c r="E14" s="301"/>
      <c r="F14" s="302"/>
      <c r="G14" s="302"/>
      <c r="H14" s="302"/>
      <c r="I14" s="302"/>
      <c r="J14" s="122"/>
      <c r="K14" s="122"/>
      <c r="L14" s="122"/>
      <c r="M14" s="122"/>
      <c r="N14" s="122"/>
      <c r="O14" s="122"/>
      <c r="P14" s="123"/>
    </row>
    <row r="15" spans="1:16">
      <c r="A15" s="121"/>
      <c r="B15" s="309" t="s">
        <v>484</v>
      </c>
      <c r="C15" s="309"/>
      <c r="D15" s="309"/>
      <c r="E15" s="309"/>
      <c r="F15" s="309"/>
      <c r="G15" s="309"/>
      <c r="H15" s="309"/>
      <c r="I15" s="309"/>
      <c r="J15" s="122"/>
      <c r="K15" s="122"/>
      <c r="L15" s="122"/>
      <c r="M15" s="122"/>
      <c r="N15" s="122"/>
      <c r="O15" s="122"/>
      <c r="P15" s="123"/>
    </row>
    <row r="16" spans="1:16">
      <c r="A16" s="121"/>
      <c r="B16" s="301"/>
      <c r="C16" s="301"/>
      <c r="D16" s="301"/>
      <c r="E16" s="301"/>
      <c r="F16" s="302"/>
      <c r="G16" s="302"/>
      <c r="H16" s="302"/>
      <c r="I16" s="302"/>
      <c r="J16" s="122"/>
      <c r="K16" s="122"/>
      <c r="L16" s="122"/>
      <c r="M16" s="122"/>
      <c r="N16" s="122"/>
      <c r="O16" s="122"/>
      <c r="P16" s="123"/>
    </row>
    <row r="17" spans="1:16">
      <c r="A17" s="121"/>
      <c r="B17" s="305" t="s">
        <v>370</v>
      </c>
      <c r="C17" s="301"/>
      <c r="D17" s="301"/>
      <c r="E17" s="301"/>
      <c r="F17" s="302"/>
      <c r="G17" s="302"/>
      <c r="H17" s="302"/>
      <c r="I17" s="302"/>
      <c r="J17" s="122"/>
      <c r="K17" s="122"/>
      <c r="L17" s="122"/>
      <c r="M17" s="122"/>
      <c r="N17" s="122"/>
      <c r="O17" s="122"/>
      <c r="P17" s="123"/>
    </row>
    <row r="18" spans="1:16">
      <c r="A18" s="121"/>
      <c r="B18" s="306" t="s">
        <v>371</v>
      </c>
      <c r="C18" s="301"/>
      <c r="D18" s="301"/>
      <c r="E18" s="301"/>
      <c r="F18" s="302"/>
      <c r="G18" s="302"/>
      <c r="H18" s="302"/>
      <c r="I18" s="302"/>
      <c r="J18" s="122"/>
      <c r="K18" s="122"/>
      <c r="L18" s="122"/>
      <c r="M18" s="122"/>
      <c r="N18" s="122"/>
      <c r="O18" s="122"/>
      <c r="P18" s="123"/>
    </row>
    <row r="19" spans="1:16">
      <c r="A19" s="121"/>
      <c r="B19" s="306" t="s">
        <v>372</v>
      </c>
      <c r="C19" s="301"/>
      <c r="D19" s="301"/>
      <c r="E19" s="301"/>
      <c r="F19" s="302"/>
      <c r="G19" s="302"/>
      <c r="H19" s="302"/>
      <c r="I19" s="302"/>
      <c r="J19" s="122"/>
      <c r="K19" s="122"/>
      <c r="L19" s="122"/>
      <c r="M19" s="122"/>
      <c r="N19" s="122"/>
      <c r="O19" s="122"/>
      <c r="P19" s="123"/>
    </row>
    <row r="20" spans="1:16">
      <c r="A20" s="121"/>
      <c r="B20" s="306" t="s">
        <v>485</v>
      </c>
      <c r="C20" s="301"/>
      <c r="D20" s="301"/>
      <c r="E20" s="301"/>
      <c r="F20" s="302"/>
      <c r="G20" s="302"/>
      <c r="H20" s="302"/>
      <c r="I20" s="302"/>
      <c r="J20" s="122"/>
      <c r="K20" s="122"/>
      <c r="L20" s="122"/>
      <c r="M20" s="122"/>
      <c r="N20" s="122"/>
      <c r="O20" s="122"/>
      <c r="P20" s="123"/>
    </row>
    <row r="21" spans="1:16">
      <c r="A21" s="121"/>
      <c r="B21" s="306" t="s">
        <v>486</v>
      </c>
      <c r="C21" s="301"/>
      <c r="D21" s="301"/>
      <c r="E21" s="301"/>
      <c r="F21" s="302"/>
      <c r="G21" s="302"/>
      <c r="H21" s="302"/>
      <c r="I21" s="302"/>
      <c r="J21" s="122"/>
      <c r="K21" s="122"/>
      <c r="L21" s="122"/>
      <c r="M21" s="122"/>
      <c r="N21" s="122"/>
      <c r="O21" s="122"/>
      <c r="P21" s="123"/>
    </row>
    <row r="22" spans="1:16">
      <c r="A22" s="121"/>
      <c r="B22" s="306" t="s">
        <v>483</v>
      </c>
      <c r="C22" s="301"/>
      <c r="D22" s="301"/>
      <c r="E22" s="301"/>
      <c r="F22" s="302"/>
      <c r="G22" s="302"/>
      <c r="H22" s="302"/>
      <c r="I22" s="302"/>
      <c r="J22" s="122"/>
      <c r="K22" s="122"/>
      <c r="L22" s="122"/>
      <c r="M22" s="122"/>
      <c r="N22" s="122"/>
      <c r="O22" s="122"/>
      <c r="P22" s="123"/>
    </row>
    <row r="23" spans="1:16">
      <c r="A23" s="121"/>
      <c r="B23" s="306" t="s">
        <v>373</v>
      </c>
      <c r="C23" s="301"/>
      <c r="D23" s="301"/>
      <c r="E23" s="301"/>
      <c r="F23" s="302"/>
      <c r="G23" s="302"/>
      <c r="H23" s="302"/>
      <c r="I23" s="302"/>
      <c r="J23" s="122"/>
      <c r="K23" s="122"/>
      <c r="L23" s="122"/>
      <c r="M23" s="122"/>
      <c r="N23" s="122"/>
      <c r="O23" s="122"/>
      <c r="P23" s="123"/>
    </row>
    <row r="24" spans="1:16">
      <c r="A24" s="121"/>
      <c r="B24" s="306" t="s">
        <v>374</v>
      </c>
      <c r="C24" s="301"/>
      <c r="D24" s="301"/>
      <c r="E24" s="301"/>
      <c r="F24" s="302"/>
      <c r="G24" s="302"/>
      <c r="H24" s="302"/>
      <c r="I24" s="302"/>
      <c r="J24" s="122"/>
      <c r="K24" s="122"/>
      <c r="L24" s="122"/>
      <c r="M24" s="122"/>
      <c r="N24" s="122"/>
      <c r="O24" s="122"/>
      <c r="P24" s="123"/>
    </row>
    <row r="25" spans="1:16">
      <c r="A25" s="121"/>
      <c r="B25" s="306"/>
      <c r="C25" s="301"/>
      <c r="D25" s="301"/>
      <c r="E25" s="301"/>
      <c r="F25" s="302"/>
      <c r="G25" s="302"/>
      <c r="H25" s="302"/>
      <c r="I25" s="302"/>
      <c r="J25" s="122"/>
      <c r="K25" s="122"/>
      <c r="L25" s="122"/>
      <c r="M25" s="122"/>
      <c r="N25" s="122"/>
      <c r="O25" s="122"/>
      <c r="P25" s="123"/>
    </row>
    <row r="26" spans="1:16" ht="20.399999999999999">
      <c r="A26" s="121"/>
      <c r="B26" s="300" t="s">
        <v>375</v>
      </c>
      <c r="C26" s="302"/>
      <c r="D26" s="302"/>
      <c r="E26" s="302"/>
      <c r="F26" s="302"/>
      <c r="G26" s="302"/>
      <c r="H26" s="302"/>
      <c r="I26" s="302"/>
      <c r="J26" s="122"/>
      <c r="K26" s="122"/>
      <c r="L26" s="122"/>
      <c r="M26" s="122"/>
      <c r="N26" s="122"/>
      <c r="O26" s="122"/>
      <c r="P26" s="123"/>
    </row>
    <row r="27" spans="1:16">
      <c r="A27" s="121"/>
      <c r="B27" s="307" t="s">
        <v>376</v>
      </c>
      <c r="C27" s="302"/>
      <c r="D27" s="302"/>
      <c r="E27" s="302"/>
      <c r="F27" s="302"/>
      <c r="G27" s="302"/>
      <c r="H27" s="302"/>
      <c r="I27" s="302"/>
      <c r="J27" s="122"/>
      <c r="K27" s="122"/>
      <c r="L27" s="122"/>
      <c r="M27" s="122"/>
      <c r="N27" s="122"/>
      <c r="O27" s="122"/>
      <c r="P27" s="123"/>
    </row>
    <row r="28" spans="1:16">
      <c r="A28" s="121"/>
      <c r="B28" s="302" t="s">
        <v>377</v>
      </c>
      <c r="C28" s="302"/>
      <c r="D28" s="302"/>
      <c r="E28" s="302"/>
      <c r="F28" s="302"/>
      <c r="G28" s="302"/>
      <c r="H28" s="302"/>
      <c r="I28" s="302"/>
      <c r="J28" s="122"/>
      <c r="K28" s="122"/>
      <c r="L28" s="122"/>
      <c r="M28" s="122"/>
      <c r="N28" s="122"/>
      <c r="O28" s="122"/>
      <c r="P28" s="123"/>
    </row>
    <row r="29" spans="1:16">
      <c r="A29" s="121"/>
      <c r="B29" s="302"/>
      <c r="C29" s="302"/>
      <c r="D29" s="302"/>
      <c r="E29" s="302"/>
      <c r="F29" s="302"/>
      <c r="G29" s="302"/>
      <c r="H29" s="302"/>
      <c r="I29" s="302"/>
      <c r="J29" s="122"/>
      <c r="K29" s="122"/>
      <c r="L29" s="122"/>
      <c r="M29" s="122"/>
      <c r="N29" s="122"/>
      <c r="O29" s="122"/>
      <c r="P29" s="123"/>
    </row>
    <row r="30" spans="1:16">
      <c r="A30" s="121"/>
      <c r="B30" s="307" t="s">
        <v>378</v>
      </c>
      <c r="C30" s="302"/>
      <c r="D30" s="302"/>
      <c r="E30" s="302"/>
      <c r="F30" s="302"/>
      <c r="G30" s="302"/>
      <c r="H30" s="302"/>
      <c r="I30" s="302"/>
      <c r="J30" s="122"/>
      <c r="K30" s="122"/>
      <c r="L30" s="122"/>
      <c r="M30" s="122"/>
      <c r="N30" s="122"/>
      <c r="O30" s="122"/>
      <c r="P30" s="123"/>
    </row>
    <row r="31" spans="1:16">
      <c r="A31" s="121"/>
      <c r="B31" s="302"/>
      <c r="C31" s="302"/>
      <c r="D31" s="302"/>
      <c r="E31" s="302"/>
      <c r="F31" s="302"/>
      <c r="G31" s="302"/>
      <c r="H31" s="302"/>
      <c r="I31" s="302"/>
      <c r="J31" s="122"/>
      <c r="K31" s="122"/>
      <c r="L31" s="122"/>
      <c r="M31" s="122"/>
      <c r="N31" s="122"/>
      <c r="O31" s="122"/>
      <c r="P31" s="123"/>
    </row>
    <row r="32" spans="1:16">
      <c r="A32" s="121"/>
      <c r="B32" s="302" t="s">
        <v>379</v>
      </c>
      <c r="C32" s="302"/>
      <c r="D32" s="302"/>
      <c r="E32" s="302"/>
      <c r="F32" s="302"/>
      <c r="G32" s="302"/>
      <c r="H32" s="302"/>
      <c r="I32" s="302"/>
      <c r="J32" s="122"/>
      <c r="K32" s="122"/>
      <c r="L32" s="122"/>
      <c r="M32" s="122"/>
      <c r="N32" s="122"/>
      <c r="O32" s="122"/>
      <c r="P32" s="123"/>
    </row>
    <row r="33" spans="1:16">
      <c r="A33" s="121"/>
      <c r="B33" s="122" t="s">
        <v>379</v>
      </c>
      <c r="C33" s="122"/>
      <c r="D33" s="122"/>
      <c r="E33" s="122"/>
      <c r="F33" s="122"/>
      <c r="G33" s="122"/>
      <c r="H33" s="122"/>
      <c r="I33" s="122"/>
      <c r="J33" s="122"/>
      <c r="K33" s="122"/>
      <c r="L33" s="122"/>
      <c r="M33" s="122"/>
      <c r="N33" s="122"/>
      <c r="O33" s="122"/>
      <c r="P33" s="123"/>
    </row>
    <row r="34" spans="1:16">
      <c r="A34" s="121"/>
      <c r="B34" s="127"/>
      <c r="C34" s="122"/>
      <c r="D34" s="122"/>
      <c r="E34" s="122"/>
      <c r="F34" s="122"/>
      <c r="G34" s="122"/>
      <c r="H34" s="122"/>
      <c r="I34" s="122"/>
      <c r="J34" s="122"/>
      <c r="K34" s="122"/>
      <c r="L34" s="122"/>
      <c r="M34" s="122"/>
      <c r="N34" s="122"/>
      <c r="O34" s="122"/>
      <c r="P34" s="123"/>
    </row>
    <row r="35" spans="1:16" ht="13.8" thickBot="1">
      <c r="A35" s="121"/>
      <c r="B35" s="122"/>
      <c r="C35" s="307"/>
      <c r="D35" s="302"/>
      <c r="E35" s="302"/>
      <c r="F35" s="302"/>
      <c r="G35" s="302"/>
      <c r="H35" s="302"/>
      <c r="I35" s="302"/>
      <c r="J35" s="302"/>
      <c r="K35" s="302"/>
      <c r="L35" s="302"/>
      <c r="M35" s="302"/>
      <c r="N35" s="302"/>
      <c r="O35" s="122"/>
      <c r="P35" s="123"/>
    </row>
    <row r="36" spans="1:16">
      <c r="A36" s="121"/>
      <c r="B36" s="122"/>
      <c r="C36" s="310" t="s">
        <v>487</v>
      </c>
      <c r="D36" s="311"/>
      <c r="E36" s="311"/>
      <c r="F36" s="311"/>
      <c r="G36" s="311"/>
      <c r="H36" s="311"/>
      <c r="I36" s="311"/>
      <c r="J36" s="311"/>
      <c r="K36" s="311"/>
      <c r="L36" s="311"/>
      <c r="M36" s="311"/>
      <c r="N36" s="312"/>
      <c r="O36" s="122"/>
      <c r="P36" s="123"/>
    </row>
    <row r="37" spans="1:16">
      <c r="A37" s="121"/>
      <c r="B37" s="122"/>
      <c r="C37" s="313"/>
      <c r="D37" s="314"/>
      <c r="E37" s="314"/>
      <c r="F37" s="314"/>
      <c r="G37" s="314"/>
      <c r="H37" s="314"/>
      <c r="I37" s="314"/>
      <c r="J37" s="314"/>
      <c r="K37" s="314"/>
      <c r="L37" s="314"/>
      <c r="M37" s="314"/>
      <c r="N37" s="315"/>
      <c r="O37" s="122"/>
      <c r="P37" s="123"/>
    </row>
    <row r="38" spans="1:16">
      <c r="A38" s="121"/>
      <c r="B38" s="122"/>
      <c r="C38" s="313"/>
      <c r="D38" s="314"/>
      <c r="E38" s="314"/>
      <c r="F38" s="314"/>
      <c r="G38" s="314"/>
      <c r="H38" s="314"/>
      <c r="I38" s="314"/>
      <c r="J38" s="314"/>
      <c r="K38" s="314"/>
      <c r="L38" s="314"/>
      <c r="M38" s="314"/>
      <c r="N38" s="315"/>
      <c r="O38" s="122"/>
      <c r="P38" s="123"/>
    </row>
    <row r="39" spans="1:16">
      <c r="A39" s="121"/>
      <c r="B39" s="122"/>
      <c r="C39" s="313"/>
      <c r="D39" s="314"/>
      <c r="E39" s="314"/>
      <c r="F39" s="314"/>
      <c r="G39" s="314"/>
      <c r="H39" s="314"/>
      <c r="I39" s="314"/>
      <c r="J39" s="314"/>
      <c r="K39" s="314"/>
      <c r="L39" s="314"/>
      <c r="M39" s="314"/>
      <c r="N39" s="315"/>
      <c r="O39" s="122"/>
      <c r="P39" s="123"/>
    </row>
    <row r="40" spans="1:16">
      <c r="A40" s="121"/>
      <c r="B40" s="122"/>
      <c r="C40" s="313"/>
      <c r="D40" s="314"/>
      <c r="E40" s="314"/>
      <c r="F40" s="314"/>
      <c r="G40" s="314"/>
      <c r="H40" s="314"/>
      <c r="I40" s="314"/>
      <c r="J40" s="314"/>
      <c r="K40" s="314"/>
      <c r="L40" s="314"/>
      <c r="M40" s="314"/>
      <c r="N40" s="315"/>
      <c r="O40" s="122"/>
      <c r="P40" s="123"/>
    </row>
    <row r="41" spans="1:16">
      <c r="A41" s="121"/>
      <c r="B41" s="122"/>
      <c r="C41" s="313"/>
      <c r="D41" s="314"/>
      <c r="E41" s="314"/>
      <c r="F41" s="314"/>
      <c r="G41" s="314"/>
      <c r="H41" s="314"/>
      <c r="I41" s="314"/>
      <c r="J41" s="314"/>
      <c r="K41" s="314"/>
      <c r="L41" s="314"/>
      <c r="M41" s="314"/>
      <c r="N41" s="315"/>
      <c r="O41" s="122"/>
      <c r="P41" s="123"/>
    </row>
    <row r="42" spans="1:16">
      <c r="A42" s="121"/>
      <c r="B42" s="122"/>
      <c r="C42" s="313"/>
      <c r="D42" s="314"/>
      <c r="E42" s="314"/>
      <c r="F42" s="314"/>
      <c r="G42" s="314"/>
      <c r="H42" s="314"/>
      <c r="I42" s="314"/>
      <c r="J42" s="314"/>
      <c r="K42" s="314"/>
      <c r="L42" s="314"/>
      <c r="M42" s="314"/>
      <c r="N42" s="315"/>
      <c r="O42" s="122"/>
      <c r="P42" s="123"/>
    </row>
    <row r="43" spans="1:16">
      <c r="A43" s="121"/>
      <c r="B43" s="122"/>
      <c r="C43" s="313"/>
      <c r="D43" s="314"/>
      <c r="E43" s="314"/>
      <c r="F43" s="314"/>
      <c r="G43" s="314"/>
      <c r="H43" s="314"/>
      <c r="I43" s="314"/>
      <c r="J43" s="314"/>
      <c r="K43" s="314"/>
      <c r="L43" s="314"/>
      <c r="M43" s="314"/>
      <c r="N43" s="315"/>
      <c r="O43" s="122"/>
      <c r="P43" s="123"/>
    </row>
    <row r="44" spans="1:16">
      <c r="A44" s="121"/>
      <c r="B44" s="122"/>
      <c r="C44" s="313"/>
      <c r="D44" s="314"/>
      <c r="E44" s="314"/>
      <c r="F44" s="314"/>
      <c r="G44" s="314"/>
      <c r="H44" s="314"/>
      <c r="I44" s="314"/>
      <c r="J44" s="314"/>
      <c r="K44" s="314"/>
      <c r="L44" s="314"/>
      <c r="M44" s="314"/>
      <c r="N44" s="315"/>
      <c r="O44" s="122"/>
      <c r="P44" s="123"/>
    </row>
    <row r="45" spans="1:16">
      <c r="A45" s="121"/>
      <c r="B45" s="122"/>
      <c r="C45" s="313"/>
      <c r="D45" s="314"/>
      <c r="E45" s="314"/>
      <c r="F45" s="314"/>
      <c r="G45" s="314"/>
      <c r="H45" s="314"/>
      <c r="I45" s="314"/>
      <c r="J45" s="314"/>
      <c r="K45" s="314"/>
      <c r="L45" s="314"/>
      <c r="M45" s="314"/>
      <c r="N45" s="315"/>
      <c r="O45" s="122"/>
      <c r="P45" s="123"/>
    </row>
    <row r="46" spans="1:16">
      <c r="A46" s="121"/>
      <c r="B46" s="122"/>
      <c r="C46" s="313"/>
      <c r="D46" s="314"/>
      <c r="E46" s="314"/>
      <c r="F46" s="314"/>
      <c r="G46" s="314"/>
      <c r="H46" s="314"/>
      <c r="I46" s="314"/>
      <c r="J46" s="314"/>
      <c r="K46" s="314"/>
      <c r="L46" s="314"/>
      <c r="M46" s="314"/>
      <c r="N46" s="315"/>
      <c r="O46" s="122"/>
      <c r="P46" s="123"/>
    </row>
    <row r="47" spans="1:16">
      <c r="A47" s="121"/>
      <c r="B47" s="122"/>
      <c r="C47" s="313"/>
      <c r="D47" s="314"/>
      <c r="E47" s="314"/>
      <c r="F47" s="314"/>
      <c r="G47" s="314"/>
      <c r="H47" s="314"/>
      <c r="I47" s="314"/>
      <c r="J47" s="314"/>
      <c r="K47" s="314"/>
      <c r="L47" s="314"/>
      <c r="M47" s="314"/>
      <c r="N47" s="315"/>
      <c r="O47" s="122"/>
      <c r="P47" s="123"/>
    </row>
    <row r="48" spans="1:16">
      <c r="A48" s="121"/>
      <c r="B48" s="122"/>
      <c r="C48" s="313"/>
      <c r="D48" s="314"/>
      <c r="E48" s="314"/>
      <c r="F48" s="314"/>
      <c r="G48" s="314"/>
      <c r="H48" s="314"/>
      <c r="I48" s="314"/>
      <c r="J48" s="314"/>
      <c r="K48" s="314"/>
      <c r="L48" s="314"/>
      <c r="M48" s="314"/>
      <c r="N48" s="315"/>
      <c r="O48" s="122"/>
      <c r="P48" s="123"/>
    </row>
    <row r="49" spans="1:16">
      <c r="A49" s="121"/>
      <c r="B49" s="122"/>
      <c r="C49" s="313"/>
      <c r="D49" s="314"/>
      <c r="E49" s="314"/>
      <c r="F49" s="314"/>
      <c r="G49" s="314"/>
      <c r="H49" s="314"/>
      <c r="I49" s="314"/>
      <c r="J49" s="314"/>
      <c r="K49" s="314"/>
      <c r="L49" s="314"/>
      <c r="M49" s="314"/>
      <c r="N49" s="315"/>
      <c r="O49" s="122"/>
      <c r="P49" s="123"/>
    </row>
    <row r="50" spans="1:16">
      <c r="A50" s="121"/>
      <c r="B50" s="122"/>
      <c r="C50" s="313"/>
      <c r="D50" s="314"/>
      <c r="E50" s="314"/>
      <c r="F50" s="314"/>
      <c r="G50" s="314"/>
      <c r="H50" s="314"/>
      <c r="I50" s="314"/>
      <c r="J50" s="314"/>
      <c r="K50" s="314"/>
      <c r="L50" s="314"/>
      <c r="M50" s="314"/>
      <c r="N50" s="315"/>
      <c r="O50" s="122"/>
      <c r="P50" s="123"/>
    </row>
    <row r="51" spans="1:16">
      <c r="A51" s="121"/>
      <c r="B51" s="122"/>
      <c r="C51" s="313"/>
      <c r="D51" s="314"/>
      <c r="E51" s="314"/>
      <c r="F51" s="314"/>
      <c r="G51" s="314"/>
      <c r="H51" s="314"/>
      <c r="I51" s="314"/>
      <c r="J51" s="314"/>
      <c r="K51" s="314"/>
      <c r="L51" s="314"/>
      <c r="M51" s="314"/>
      <c r="N51" s="315"/>
      <c r="O51" s="122"/>
      <c r="P51" s="123"/>
    </row>
    <row r="52" spans="1:16">
      <c r="A52" s="121"/>
      <c r="B52" s="122"/>
      <c r="C52" s="313"/>
      <c r="D52" s="314"/>
      <c r="E52" s="314"/>
      <c r="F52" s="314"/>
      <c r="G52" s="314"/>
      <c r="H52" s="314"/>
      <c r="I52" s="314"/>
      <c r="J52" s="314"/>
      <c r="K52" s="314"/>
      <c r="L52" s="314"/>
      <c r="M52" s="314"/>
      <c r="N52" s="315"/>
      <c r="O52" s="122"/>
      <c r="P52" s="123"/>
    </row>
    <row r="53" spans="1:16">
      <c r="A53" s="121"/>
      <c r="B53" s="122"/>
      <c r="C53" s="313"/>
      <c r="D53" s="314"/>
      <c r="E53" s="314"/>
      <c r="F53" s="314"/>
      <c r="G53" s="314"/>
      <c r="H53" s="314"/>
      <c r="I53" s="314"/>
      <c r="J53" s="314"/>
      <c r="K53" s="314"/>
      <c r="L53" s="314"/>
      <c r="M53" s="314"/>
      <c r="N53" s="315"/>
      <c r="O53" s="122"/>
      <c r="P53" s="123"/>
    </row>
    <row r="54" spans="1:16">
      <c r="A54" s="121"/>
      <c r="B54" s="122"/>
      <c r="C54" s="313"/>
      <c r="D54" s="314"/>
      <c r="E54" s="314"/>
      <c r="F54" s="314"/>
      <c r="G54" s="314"/>
      <c r="H54" s="314"/>
      <c r="I54" s="314"/>
      <c r="J54" s="314"/>
      <c r="K54" s="314"/>
      <c r="L54" s="314"/>
      <c r="M54" s="314"/>
      <c r="N54" s="315"/>
      <c r="O54" s="122"/>
      <c r="P54" s="123"/>
    </row>
    <row r="55" spans="1:16">
      <c r="A55" s="121"/>
      <c r="B55" s="122"/>
      <c r="C55" s="313"/>
      <c r="D55" s="314"/>
      <c r="E55" s="314"/>
      <c r="F55" s="314"/>
      <c r="G55" s="314"/>
      <c r="H55" s="314"/>
      <c r="I55" s="314"/>
      <c r="J55" s="314"/>
      <c r="K55" s="314"/>
      <c r="L55" s="314"/>
      <c r="M55" s="314"/>
      <c r="N55" s="315"/>
      <c r="O55" s="122"/>
      <c r="P55" s="123"/>
    </row>
    <row r="56" spans="1:16">
      <c r="A56" s="121"/>
      <c r="B56" s="122"/>
      <c r="C56" s="313"/>
      <c r="D56" s="314"/>
      <c r="E56" s="314"/>
      <c r="F56" s="314"/>
      <c r="G56" s="314"/>
      <c r="H56" s="314"/>
      <c r="I56" s="314"/>
      <c r="J56" s="314"/>
      <c r="K56" s="314"/>
      <c r="L56" s="314"/>
      <c r="M56" s="314"/>
      <c r="N56" s="315"/>
      <c r="O56" s="122"/>
      <c r="P56" s="123"/>
    </row>
    <row r="57" spans="1:16">
      <c r="A57" s="121"/>
      <c r="B57" s="122"/>
      <c r="C57" s="313"/>
      <c r="D57" s="314"/>
      <c r="E57" s="314"/>
      <c r="F57" s="314"/>
      <c r="G57" s="314"/>
      <c r="H57" s="314"/>
      <c r="I57" s="314"/>
      <c r="J57" s="314"/>
      <c r="K57" s="314"/>
      <c r="L57" s="314"/>
      <c r="M57" s="314"/>
      <c r="N57" s="315"/>
      <c r="O57" s="122"/>
      <c r="P57" s="123"/>
    </row>
    <row r="58" spans="1:16">
      <c r="A58" s="121"/>
      <c r="B58" s="122"/>
      <c r="C58" s="313"/>
      <c r="D58" s="314"/>
      <c r="E58" s="314"/>
      <c r="F58" s="314"/>
      <c r="G58" s="314"/>
      <c r="H58" s="314"/>
      <c r="I58" s="314"/>
      <c r="J58" s="314"/>
      <c r="K58" s="314"/>
      <c r="L58" s="314"/>
      <c r="M58" s="314"/>
      <c r="N58" s="315"/>
      <c r="O58" s="122"/>
      <c r="P58" s="123"/>
    </row>
    <row r="59" spans="1:16">
      <c r="A59" s="121"/>
      <c r="B59" s="122"/>
      <c r="C59" s="313"/>
      <c r="D59" s="314"/>
      <c r="E59" s="314"/>
      <c r="F59" s="314"/>
      <c r="G59" s="314"/>
      <c r="H59" s="314"/>
      <c r="I59" s="314"/>
      <c r="J59" s="314"/>
      <c r="K59" s="314"/>
      <c r="L59" s="314"/>
      <c r="M59" s="314"/>
      <c r="N59" s="315"/>
      <c r="O59" s="122"/>
      <c r="P59" s="123"/>
    </row>
    <row r="60" spans="1:16">
      <c r="A60" s="121"/>
      <c r="B60" s="122"/>
      <c r="C60" s="313"/>
      <c r="D60" s="314"/>
      <c r="E60" s="314"/>
      <c r="F60" s="314"/>
      <c r="G60" s="314"/>
      <c r="H60" s="314"/>
      <c r="I60" s="314"/>
      <c r="J60" s="314"/>
      <c r="K60" s="314"/>
      <c r="L60" s="314"/>
      <c r="M60" s="314"/>
      <c r="N60" s="315"/>
      <c r="O60" s="122"/>
      <c r="P60" s="123"/>
    </row>
    <row r="61" spans="1:16">
      <c r="A61" s="121"/>
      <c r="B61" s="122"/>
      <c r="C61" s="313"/>
      <c r="D61" s="314"/>
      <c r="E61" s="314"/>
      <c r="F61" s="314"/>
      <c r="G61" s="314"/>
      <c r="H61" s="314"/>
      <c r="I61" s="314"/>
      <c r="J61" s="314"/>
      <c r="K61" s="314"/>
      <c r="L61" s="314"/>
      <c r="M61" s="314"/>
      <c r="N61" s="315"/>
      <c r="O61" s="122"/>
      <c r="P61" s="123"/>
    </row>
    <row r="62" spans="1:16">
      <c r="A62" s="121"/>
      <c r="B62" s="122"/>
      <c r="C62" s="313"/>
      <c r="D62" s="314"/>
      <c r="E62" s="314"/>
      <c r="F62" s="314"/>
      <c r="G62" s="314"/>
      <c r="H62" s="314"/>
      <c r="I62" s="314"/>
      <c r="J62" s="314"/>
      <c r="K62" s="314"/>
      <c r="L62" s="314"/>
      <c r="M62" s="314"/>
      <c r="N62" s="315"/>
      <c r="O62" s="122"/>
      <c r="P62" s="123"/>
    </row>
    <row r="63" spans="1:16">
      <c r="A63" s="121"/>
      <c r="B63" s="122"/>
      <c r="C63" s="313"/>
      <c r="D63" s="314"/>
      <c r="E63" s="314"/>
      <c r="F63" s="314"/>
      <c r="G63" s="314"/>
      <c r="H63" s="314"/>
      <c r="I63" s="314"/>
      <c r="J63" s="314"/>
      <c r="K63" s="314"/>
      <c r="L63" s="314"/>
      <c r="M63" s="314"/>
      <c r="N63" s="315"/>
      <c r="O63" s="122"/>
      <c r="P63" s="123"/>
    </row>
    <row r="64" spans="1:16">
      <c r="A64" s="121"/>
      <c r="B64" s="122"/>
      <c r="C64" s="313"/>
      <c r="D64" s="314"/>
      <c r="E64" s="314"/>
      <c r="F64" s="314"/>
      <c r="G64" s="314"/>
      <c r="H64" s="314"/>
      <c r="I64" s="314"/>
      <c r="J64" s="314"/>
      <c r="K64" s="314"/>
      <c r="L64" s="314"/>
      <c r="M64" s="314"/>
      <c r="N64" s="315"/>
      <c r="O64" s="122"/>
      <c r="P64" s="123"/>
    </row>
    <row r="65" spans="1:16">
      <c r="A65" s="121"/>
      <c r="B65" s="122"/>
      <c r="C65" s="313"/>
      <c r="D65" s="314"/>
      <c r="E65" s="314"/>
      <c r="F65" s="314"/>
      <c r="G65" s="314"/>
      <c r="H65" s="314"/>
      <c r="I65" s="314"/>
      <c r="J65" s="314"/>
      <c r="K65" s="314"/>
      <c r="L65" s="314"/>
      <c r="M65" s="314"/>
      <c r="N65" s="315"/>
      <c r="O65" s="122"/>
      <c r="P65" s="123"/>
    </row>
    <row r="66" spans="1:16">
      <c r="A66" s="121"/>
      <c r="B66" s="122"/>
      <c r="C66" s="313"/>
      <c r="D66" s="314"/>
      <c r="E66" s="314"/>
      <c r="F66" s="314"/>
      <c r="G66" s="314"/>
      <c r="H66" s="314"/>
      <c r="I66" s="314"/>
      <c r="J66" s="314"/>
      <c r="K66" s="314"/>
      <c r="L66" s="314"/>
      <c r="M66" s="314"/>
      <c r="N66" s="315"/>
      <c r="O66" s="122"/>
      <c r="P66" s="123"/>
    </row>
    <row r="67" spans="1:16">
      <c r="A67" s="121"/>
      <c r="B67" s="122"/>
      <c r="C67" s="313"/>
      <c r="D67" s="314"/>
      <c r="E67" s="314"/>
      <c r="F67" s="314"/>
      <c r="G67" s="314"/>
      <c r="H67" s="314"/>
      <c r="I67" s="314"/>
      <c r="J67" s="314"/>
      <c r="K67" s="314"/>
      <c r="L67" s="314"/>
      <c r="M67" s="314"/>
      <c r="N67" s="315"/>
      <c r="O67" s="122"/>
      <c r="P67" s="123"/>
    </row>
    <row r="68" spans="1:16">
      <c r="A68" s="121"/>
      <c r="B68" s="122"/>
      <c r="C68" s="313"/>
      <c r="D68" s="314"/>
      <c r="E68" s="314"/>
      <c r="F68" s="314"/>
      <c r="G68" s="314"/>
      <c r="H68" s="314"/>
      <c r="I68" s="314"/>
      <c r="J68" s="314"/>
      <c r="K68" s="314"/>
      <c r="L68" s="314"/>
      <c r="M68" s="314"/>
      <c r="N68" s="315"/>
      <c r="O68" s="122"/>
      <c r="P68" s="123"/>
    </row>
    <row r="69" spans="1:16">
      <c r="A69" s="121"/>
      <c r="B69" s="122"/>
      <c r="C69" s="313"/>
      <c r="D69" s="314"/>
      <c r="E69" s="314"/>
      <c r="F69" s="314"/>
      <c r="G69" s="314"/>
      <c r="H69" s="314"/>
      <c r="I69" s="314"/>
      <c r="J69" s="314"/>
      <c r="K69" s="314"/>
      <c r="L69" s="314"/>
      <c r="M69" s="314"/>
      <c r="N69" s="315"/>
      <c r="O69" s="122"/>
      <c r="P69" s="123"/>
    </row>
    <row r="70" spans="1:16">
      <c r="A70" s="121"/>
      <c r="B70" s="122"/>
      <c r="C70" s="313"/>
      <c r="D70" s="314"/>
      <c r="E70" s="314"/>
      <c r="F70" s="314"/>
      <c r="G70" s="314"/>
      <c r="H70" s="314"/>
      <c r="I70" s="314"/>
      <c r="J70" s="314"/>
      <c r="K70" s="314"/>
      <c r="L70" s="314"/>
      <c r="M70" s="314"/>
      <c r="N70" s="315"/>
      <c r="O70" s="122"/>
      <c r="P70" s="123"/>
    </row>
    <row r="71" spans="1:16">
      <c r="A71" s="121"/>
      <c r="B71" s="122"/>
      <c r="C71" s="313"/>
      <c r="D71" s="314"/>
      <c r="E71" s="314"/>
      <c r="F71" s="314"/>
      <c r="G71" s="314"/>
      <c r="H71" s="314"/>
      <c r="I71" s="314"/>
      <c r="J71" s="314"/>
      <c r="K71" s="314"/>
      <c r="L71" s="314"/>
      <c r="M71" s="314"/>
      <c r="N71" s="315"/>
      <c r="O71" s="122"/>
      <c r="P71" s="123"/>
    </row>
    <row r="72" spans="1:16">
      <c r="A72" s="121"/>
      <c r="B72" s="122"/>
      <c r="C72" s="313"/>
      <c r="D72" s="314"/>
      <c r="E72" s="314"/>
      <c r="F72" s="314"/>
      <c r="G72" s="314"/>
      <c r="H72" s="314"/>
      <c r="I72" s="314"/>
      <c r="J72" s="314"/>
      <c r="K72" s="314"/>
      <c r="L72" s="314"/>
      <c r="M72" s="314"/>
      <c r="N72" s="315"/>
      <c r="O72" s="122"/>
      <c r="P72" s="123"/>
    </row>
    <row r="73" spans="1:16">
      <c r="A73" s="121"/>
      <c r="B73" s="122"/>
      <c r="C73" s="313"/>
      <c r="D73" s="314"/>
      <c r="E73" s="314"/>
      <c r="F73" s="314"/>
      <c r="G73" s="314"/>
      <c r="H73" s="314"/>
      <c r="I73" s="314"/>
      <c r="J73" s="314"/>
      <c r="K73" s="314"/>
      <c r="L73" s="314"/>
      <c r="M73" s="314"/>
      <c r="N73" s="315"/>
      <c r="O73" s="122"/>
      <c r="P73" s="123"/>
    </row>
    <row r="74" spans="1:16">
      <c r="A74" s="121"/>
      <c r="B74" s="122"/>
      <c r="C74" s="313"/>
      <c r="D74" s="314"/>
      <c r="E74" s="314"/>
      <c r="F74" s="314"/>
      <c r="G74" s="314"/>
      <c r="H74" s="314"/>
      <c r="I74" s="314"/>
      <c r="J74" s="314"/>
      <c r="K74" s="314"/>
      <c r="L74" s="314"/>
      <c r="M74" s="314"/>
      <c r="N74" s="315"/>
      <c r="O74" s="122"/>
      <c r="P74" s="123"/>
    </row>
    <row r="75" spans="1:16">
      <c r="A75" s="121"/>
      <c r="B75" s="122"/>
      <c r="C75" s="313"/>
      <c r="D75" s="314"/>
      <c r="E75" s="314"/>
      <c r="F75" s="314"/>
      <c r="G75" s="314"/>
      <c r="H75" s="314"/>
      <c r="I75" s="314"/>
      <c r="J75" s="314"/>
      <c r="K75" s="314"/>
      <c r="L75" s="314"/>
      <c r="M75" s="314"/>
      <c r="N75" s="315"/>
      <c r="O75" s="122"/>
      <c r="P75" s="123"/>
    </row>
    <row r="76" spans="1:16">
      <c r="A76" s="121"/>
      <c r="B76" s="122"/>
      <c r="C76" s="313"/>
      <c r="D76" s="314"/>
      <c r="E76" s="314"/>
      <c r="F76" s="314"/>
      <c r="G76" s="314"/>
      <c r="H76" s="314"/>
      <c r="I76" s="314"/>
      <c r="J76" s="314"/>
      <c r="K76" s="314"/>
      <c r="L76" s="314"/>
      <c r="M76" s="314"/>
      <c r="N76" s="315"/>
      <c r="O76" s="122"/>
      <c r="P76" s="123"/>
    </row>
    <row r="77" spans="1:16">
      <c r="A77" s="121"/>
      <c r="B77" s="122"/>
      <c r="C77" s="313"/>
      <c r="D77" s="314"/>
      <c r="E77" s="314"/>
      <c r="F77" s="314"/>
      <c r="G77" s="314"/>
      <c r="H77" s="314"/>
      <c r="I77" s="314"/>
      <c r="J77" s="314"/>
      <c r="K77" s="314"/>
      <c r="L77" s="314"/>
      <c r="M77" s="314"/>
      <c r="N77" s="315"/>
      <c r="O77" s="122"/>
      <c r="P77" s="123"/>
    </row>
    <row r="78" spans="1:16">
      <c r="A78" s="121"/>
      <c r="B78" s="122"/>
      <c r="C78" s="313"/>
      <c r="D78" s="314"/>
      <c r="E78" s="314"/>
      <c r="F78" s="314"/>
      <c r="G78" s="314"/>
      <c r="H78" s="314"/>
      <c r="I78" s="314"/>
      <c r="J78" s="314"/>
      <c r="K78" s="314"/>
      <c r="L78" s="314"/>
      <c r="M78" s="314"/>
      <c r="N78" s="315"/>
      <c r="O78" s="122"/>
      <c r="P78" s="123"/>
    </row>
    <row r="79" spans="1:16">
      <c r="A79" s="121"/>
      <c r="B79" s="122"/>
      <c r="C79" s="313"/>
      <c r="D79" s="314"/>
      <c r="E79" s="314"/>
      <c r="F79" s="314"/>
      <c r="G79" s="314"/>
      <c r="H79" s="314"/>
      <c r="I79" s="314"/>
      <c r="J79" s="314"/>
      <c r="K79" s="314"/>
      <c r="L79" s="314"/>
      <c r="M79" s="314"/>
      <c r="N79" s="315"/>
      <c r="O79" s="122"/>
      <c r="P79" s="123"/>
    </row>
    <row r="80" spans="1:16">
      <c r="A80" s="121"/>
      <c r="B80" s="122"/>
      <c r="C80" s="313"/>
      <c r="D80" s="314"/>
      <c r="E80" s="314"/>
      <c r="F80" s="314"/>
      <c r="G80" s="314"/>
      <c r="H80" s="314"/>
      <c r="I80" s="314"/>
      <c r="J80" s="314"/>
      <c r="K80" s="314"/>
      <c r="L80" s="314"/>
      <c r="M80" s="314"/>
      <c r="N80" s="315"/>
      <c r="O80" s="122"/>
      <c r="P80" s="123"/>
    </row>
    <row r="81" spans="1:16">
      <c r="A81" s="121"/>
      <c r="B81" s="122"/>
      <c r="C81" s="313"/>
      <c r="D81" s="314"/>
      <c r="E81" s="314"/>
      <c r="F81" s="314"/>
      <c r="G81" s="314"/>
      <c r="H81" s="314"/>
      <c r="I81" s="314"/>
      <c r="J81" s="314"/>
      <c r="K81" s="314"/>
      <c r="L81" s="314"/>
      <c r="M81" s="314"/>
      <c r="N81" s="315"/>
      <c r="O81" s="122"/>
      <c r="P81" s="123"/>
    </row>
    <row r="82" spans="1:16">
      <c r="A82" s="121"/>
      <c r="B82" s="122"/>
      <c r="C82" s="313"/>
      <c r="D82" s="314"/>
      <c r="E82" s="314"/>
      <c r="F82" s="314"/>
      <c r="G82" s="314"/>
      <c r="H82" s="314"/>
      <c r="I82" s="314"/>
      <c r="J82" s="314"/>
      <c r="K82" s="314"/>
      <c r="L82" s="314"/>
      <c r="M82" s="314"/>
      <c r="N82" s="315"/>
      <c r="O82" s="122"/>
      <c r="P82" s="123"/>
    </row>
    <row r="83" spans="1:16">
      <c r="A83" s="121"/>
      <c r="B83" s="122"/>
      <c r="C83" s="313"/>
      <c r="D83" s="314"/>
      <c r="E83" s="314"/>
      <c r="F83" s="314"/>
      <c r="G83" s="314"/>
      <c r="H83" s="314"/>
      <c r="I83" s="314"/>
      <c r="J83" s="314"/>
      <c r="K83" s="314"/>
      <c r="L83" s="314"/>
      <c r="M83" s="314"/>
      <c r="N83" s="315"/>
      <c r="O83" s="122"/>
      <c r="P83" s="123"/>
    </row>
    <row r="84" spans="1:16">
      <c r="A84" s="121"/>
      <c r="B84" s="122"/>
      <c r="C84" s="313"/>
      <c r="D84" s="314"/>
      <c r="E84" s="314"/>
      <c r="F84" s="314"/>
      <c r="G84" s="314"/>
      <c r="H84" s="314"/>
      <c r="I84" s="314"/>
      <c r="J84" s="314"/>
      <c r="K84" s="314"/>
      <c r="L84" s="314"/>
      <c r="M84" s="314"/>
      <c r="N84" s="315"/>
      <c r="O84" s="122"/>
      <c r="P84" s="123"/>
    </row>
    <row r="85" spans="1:16">
      <c r="A85" s="121"/>
      <c r="B85" s="122"/>
      <c r="C85" s="313"/>
      <c r="D85" s="314"/>
      <c r="E85" s="314"/>
      <c r="F85" s="314"/>
      <c r="G85" s="314"/>
      <c r="H85" s="314"/>
      <c r="I85" s="314"/>
      <c r="J85" s="314"/>
      <c r="K85" s="314"/>
      <c r="L85" s="314"/>
      <c r="M85" s="314"/>
      <c r="N85" s="315"/>
      <c r="O85" s="122"/>
      <c r="P85" s="123"/>
    </row>
    <row r="86" spans="1:16">
      <c r="A86" s="121"/>
      <c r="B86" s="122"/>
      <c r="C86" s="313"/>
      <c r="D86" s="314"/>
      <c r="E86" s="314"/>
      <c r="F86" s="314"/>
      <c r="G86" s="314"/>
      <c r="H86" s="314"/>
      <c r="I86" s="314"/>
      <c r="J86" s="314"/>
      <c r="K86" s="314"/>
      <c r="L86" s="314"/>
      <c r="M86" s="314"/>
      <c r="N86" s="315"/>
      <c r="O86" s="122"/>
      <c r="P86" s="123"/>
    </row>
    <row r="87" spans="1:16">
      <c r="A87" s="121"/>
      <c r="B87" s="122"/>
      <c r="C87" s="313"/>
      <c r="D87" s="314"/>
      <c r="E87" s="314"/>
      <c r="F87" s="314"/>
      <c r="G87" s="314"/>
      <c r="H87" s="314"/>
      <c r="I87" s="314"/>
      <c r="J87" s="314"/>
      <c r="K87" s="314"/>
      <c r="L87" s="314"/>
      <c r="M87" s="314"/>
      <c r="N87" s="315"/>
      <c r="O87" s="122"/>
      <c r="P87" s="123"/>
    </row>
    <row r="88" spans="1:16">
      <c r="A88" s="121"/>
      <c r="B88" s="122"/>
      <c r="C88" s="313"/>
      <c r="D88" s="314"/>
      <c r="E88" s="314"/>
      <c r="F88" s="314"/>
      <c r="G88" s="314"/>
      <c r="H88" s="314"/>
      <c r="I88" s="314"/>
      <c r="J88" s="314"/>
      <c r="K88" s="314"/>
      <c r="L88" s="314"/>
      <c r="M88" s="314"/>
      <c r="N88" s="315"/>
      <c r="O88" s="122"/>
      <c r="P88" s="123"/>
    </row>
    <row r="89" spans="1:16">
      <c r="A89" s="121"/>
      <c r="B89" s="122"/>
      <c r="C89" s="313"/>
      <c r="D89" s="314"/>
      <c r="E89" s="314"/>
      <c r="F89" s="314"/>
      <c r="G89" s="314"/>
      <c r="H89" s="314"/>
      <c r="I89" s="314"/>
      <c r="J89" s="314"/>
      <c r="K89" s="314"/>
      <c r="L89" s="314"/>
      <c r="M89" s="314"/>
      <c r="N89" s="315"/>
      <c r="O89" s="122"/>
      <c r="P89" s="123"/>
    </row>
    <row r="90" spans="1:16">
      <c r="A90" s="121"/>
      <c r="B90" s="122"/>
      <c r="C90" s="313"/>
      <c r="D90" s="314"/>
      <c r="E90" s="314"/>
      <c r="F90" s="314"/>
      <c r="G90" s="314"/>
      <c r="H90" s="314"/>
      <c r="I90" s="314"/>
      <c r="J90" s="314"/>
      <c r="K90" s="314"/>
      <c r="L90" s="314"/>
      <c r="M90" s="314"/>
      <c r="N90" s="315"/>
      <c r="O90" s="122"/>
      <c r="P90" s="123"/>
    </row>
    <row r="91" spans="1:16">
      <c r="A91" s="121"/>
      <c r="B91" s="122"/>
      <c r="C91" s="313"/>
      <c r="D91" s="314"/>
      <c r="E91" s="314"/>
      <c r="F91" s="314"/>
      <c r="G91" s="314"/>
      <c r="H91" s="314"/>
      <c r="I91" s="314"/>
      <c r="J91" s="314"/>
      <c r="K91" s="314"/>
      <c r="L91" s="314"/>
      <c r="M91" s="314"/>
      <c r="N91" s="315"/>
      <c r="O91" s="122"/>
      <c r="P91" s="123"/>
    </row>
    <row r="92" spans="1:16">
      <c r="A92" s="121"/>
      <c r="B92" s="122"/>
      <c r="C92" s="313"/>
      <c r="D92" s="314"/>
      <c r="E92" s="314"/>
      <c r="F92" s="314"/>
      <c r="G92" s="314"/>
      <c r="H92" s="314"/>
      <c r="I92" s="314"/>
      <c r="J92" s="314"/>
      <c r="K92" s="314"/>
      <c r="L92" s="314"/>
      <c r="M92" s="314"/>
      <c r="N92" s="315"/>
      <c r="O92" s="122"/>
      <c r="P92" s="123"/>
    </row>
    <row r="93" spans="1:16">
      <c r="A93" s="121"/>
      <c r="B93" s="122"/>
      <c r="C93" s="313"/>
      <c r="D93" s="314"/>
      <c r="E93" s="314"/>
      <c r="F93" s="314"/>
      <c r="G93" s="314"/>
      <c r="H93" s="314"/>
      <c r="I93" s="314"/>
      <c r="J93" s="314"/>
      <c r="K93" s="314"/>
      <c r="L93" s="314"/>
      <c r="M93" s="314"/>
      <c r="N93" s="315"/>
      <c r="O93" s="122"/>
      <c r="P93" s="123"/>
    </row>
    <row r="94" spans="1:16">
      <c r="A94" s="121"/>
      <c r="B94" s="122"/>
      <c r="C94" s="313"/>
      <c r="D94" s="314"/>
      <c r="E94" s="314"/>
      <c r="F94" s="314"/>
      <c r="G94" s="314"/>
      <c r="H94" s="314"/>
      <c r="I94" s="314"/>
      <c r="J94" s="314"/>
      <c r="K94" s="314"/>
      <c r="L94" s="314"/>
      <c r="M94" s="314"/>
      <c r="N94" s="315"/>
      <c r="O94" s="122"/>
      <c r="P94" s="123"/>
    </row>
    <row r="95" spans="1:16">
      <c r="A95" s="121"/>
      <c r="B95" s="122"/>
      <c r="C95" s="313"/>
      <c r="D95" s="314"/>
      <c r="E95" s="314"/>
      <c r="F95" s="314"/>
      <c r="G95" s="314"/>
      <c r="H95" s="314"/>
      <c r="I95" s="314"/>
      <c r="J95" s="314"/>
      <c r="K95" s="314"/>
      <c r="L95" s="314"/>
      <c r="M95" s="314"/>
      <c r="N95" s="315"/>
      <c r="O95" s="122"/>
      <c r="P95" s="123"/>
    </row>
    <row r="96" spans="1:16">
      <c r="A96" s="121"/>
      <c r="B96" s="122"/>
      <c r="C96" s="313"/>
      <c r="D96" s="314"/>
      <c r="E96" s="314"/>
      <c r="F96" s="314"/>
      <c r="G96" s="314"/>
      <c r="H96" s="314"/>
      <c r="I96" s="314"/>
      <c r="J96" s="314"/>
      <c r="K96" s="314"/>
      <c r="L96" s="314"/>
      <c r="M96" s="314"/>
      <c r="N96" s="315"/>
      <c r="O96" s="122"/>
      <c r="P96" s="123"/>
    </row>
    <row r="97" spans="1:16">
      <c r="A97" s="121"/>
      <c r="B97" s="122"/>
      <c r="C97" s="313"/>
      <c r="D97" s="314"/>
      <c r="E97" s="314"/>
      <c r="F97" s="314"/>
      <c r="G97" s="314"/>
      <c r="H97" s="314"/>
      <c r="I97" s="314"/>
      <c r="J97" s="314"/>
      <c r="K97" s="314"/>
      <c r="L97" s="314"/>
      <c r="M97" s="314"/>
      <c r="N97" s="315"/>
      <c r="O97" s="122"/>
      <c r="P97" s="123"/>
    </row>
    <row r="98" spans="1:16" ht="13.8" thickBot="1">
      <c r="A98" s="128"/>
      <c r="B98" s="129"/>
      <c r="C98" s="316"/>
      <c r="D98" s="317"/>
      <c r="E98" s="317"/>
      <c r="F98" s="317"/>
      <c r="G98" s="317"/>
      <c r="H98" s="317"/>
      <c r="I98" s="317"/>
      <c r="J98" s="317"/>
      <c r="K98" s="317"/>
      <c r="L98" s="317"/>
      <c r="M98" s="317"/>
      <c r="N98" s="318"/>
      <c r="O98" s="129"/>
      <c r="P98" s="130"/>
    </row>
    <row r="99" spans="1:16" ht="13.8" thickTop="1">
      <c r="C99" s="28"/>
      <c r="D99" s="28"/>
      <c r="E99" s="28"/>
      <c r="F99" s="28"/>
      <c r="G99" s="28"/>
      <c r="H99" s="28"/>
      <c r="I99" s="28"/>
      <c r="J99" s="28"/>
      <c r="K99" s="28"/>
      <c r="L99" s="28"/>
      <c r="M99" s="28"/>
      <c r="N99" s="28"/>
    </row>
    <row r="100" spans="1:16">
      <c r="C100"/>
      <c r="D100"/>
      <c r="E100"/>
      <c r="F100"/>
      <c r="G100"/>
      <c r="H100"/>
      <c r="I100"/>
      <c r="J100"/>
      <c r="K100"/>
      <c r="L100"/>
      <c r="M100"/>
      <c r="N100"/>
    </row>
  </sheetData>
  <sheetProtection password="EF53" sheet="1" objects="1" scenarios="1"/>
  <mergeCells count="3">
    <mergeCell ref="B14:D14"/>
    <mergeCell ref="B15:I15"/>
    <mergeCell ref="C36:N98"/>
  </mergeCells>
  <phoneticPr fontId="46" type="noConversion"/>
  <hyperlinks>
    <hyperlink ref="B15:I15" r:id="rId1" display="TPS24740 Datasheet (See &quot;Application Informatoin&quot;)"/>
    <hyperlink ref="B14"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230"/>
  <sheetViews>
    <sheetView tabSelected="1" topLeftCell="A108" zoomScaleNormal="100" zoomScaleSheetLayoutView="100" workbookViewId="0">
      <selection activeCell="F108" sqref="F108"/>
    </sheetView>
  </sheetViews>
  <sheetFormatPr defaultColWidth="8.88671875" defaultRowHeight="13.2"/>
  <cols>
    <col min="1" max="1" width="0.44140625" style="145" customWidth="1"/>
    <col min="2" max="2" width="26.88671875" style="145" customWidth="1"/>
    <col min="3" max="3" width="25.88671875" style="145" customWidth="1"/>
    <col min="4" max="4" width="17.6640625" style="145" customWidth="1"/>
    <col min="5" max="5" width="17" style="145" customWidth="1"/>
    <col min="6" max="6" width="16.44140625" style="145" customWidth="1"/>
    <col min="7" max="7" width="7" style="220" customWidth="1"/>
    <col min="8" max="8" width="10.88671875" style="145" customWidth="1"/>
    <col min="9" max="9" width="12.88671875" style="145" customWidth="1"/>
    <col min="10" max="10" width="8.88671875" style="145"/>
    <col min="11" max="11" width="14.109375" style="145" customWidth="1"/>
    <col min="12" max="12" width="8.88671875" style="145" customWidth="1"/>
    <col min="13" max="13" width="9.88671875" style="145" customWidth="1"/>
    <col min="14" max="19" width="0" style="145" hidden="1" customWidth="1"/>
    <col min="20" max="20" width="2.6640625" style="145" hidden="1" customWidth="1"/>
    <col min="21" max="21" width="3" style="145" hidden="1" customWidth="1"/>
    <col min="22" max="22" width="1.109375" style="145" hidden="1" customWidth="1"/>
    <col min="23" max="23" width="3.6640625" style="145" hidden="1" customWidth="1"/>
    <col min="24" max="38" width="0" style="145" hidden="1" customWidth="1"/>
    <col min="39" max="39" width="24.6640625" style="145" customWidth="1"/>
    <col min="40" max="40" width="19.33203125" style="145" hidden="1" customWidth="1"/>
    <col min="41" max="41" width="12.6640625" style="145" hidden="1" customWidth="1"/>
    <col min="42" max="42" width="12.33203125" style="145" customWidth="1"/>
    <col min="43" max="43" width="12" style="145" customWidth="1"/>
    <col min="44" max="44" width="13.44140625" style="145" customWidth="1"/>
    <col min="45" max="45" width="14.5546875" style="145" customWidth="1"/>
    <col min="46" max="46" width="14.6640625" style="145" customWidth="1"/>
    <col min="47" max="47" width="11.33203125" style="145" customWidth="1"/>
    <col min="48" max="48" width="13" style="145" customWidth="1"/>
    <col min="49" max="49" width="13.44140625" style="145" customWidth="1"/>
    <col min="50" max="50" width="14.6640625" style="145" customWidth="1"/>
    <col min="51" max="51" width="14.109375" style="145" customWidth="1"/>
    <col min="52" max="52" width="12.88671875" style="145" customWidth="1"/>
    <col min="53" max="53" width="12.5546875" style="145" customWidth="1"/>
    <col min="54" max="54" width="9.88671875" style="145" customWidth="1"/>
    <col min="55" max="55" width="12.6640625" style="145" customWidth="1"/>
    <col min="56" max="56" width="13.6640625" style="145" customWidth="1"/>
    <col min="57" max="57" width="13.88671875" style="145" customWidth="1"/>
    <col min="58" max="59" width="14.44140625" style="145" customWidth="1"/>
    <col min="60" max="60" width="15.44140625" style="145" customWidth="1"/>
    <col min="61" max="61" width="15.33203125" style="145" customWidth="1"/>
    <col min="62" max="62" width="15.6640625" style="145" customWidth="1"/>
    <col min="63" max="63" width="12.5546875" style="145" customWidth="1"/>
    <col min="64" max="64" width="16.88671875" style="145" customWidth="1"/>
    <col min="65" max="65" width="15.44140625" style="145" customWidth="1"/>
    <col min="66" max="66" width="14.5546875" style="145" customWidth="1"/>
    <col min="67" max="67" width="10" style="145" customWidth="1"/>
    <col min="68" max="68" width="6.109375" style="145" customWidth="1"/>
    <col min="69" max="69" width="7.109375" style="145" customWidth="1"/>
    <col min="70" max="70" width="8.33203125" style="145" customWidth="1"/>
    <col min="71" max="71" width="4.6640625" style="145" customWidth="1"/>
    <col min="72" max="16384" width="8.88671875" style="145"/>
  </cols>
  <sheetData>
    <row r="1" spans="1:39" s="60" customFormat="1" ht="60.75" customHeight="1">
      <c r="A1" s="322" t="s">
        <v>476</v>
      </c>
      <c r="B1" s="323"/>
      <c r="C1" s="323"/>
      <c r="D1" s="323"/>
      <c r="E1" s="323"/>
      <c r="F1" s="323"/>
      <c r="G1" s="323"/>
      <c r="H1" s="323"/>
      <c r="I1" s="323"/>
      <c r="J1" s="323"/>
      <c r="K1" s="323"/>
      <c r="L1" s="323"/>
      <c r="M1" s="323"/>
      <c r="N1" s="24"/>
      <c r="O1" s="24"/>
      <c r="P1" s="24"/>
      <c r="Q1" s="24"/>
      <c r="R1" s="22"/>
      <c r="S1" s="23"/>
      <c r="T1" s="21"/>
      <c r="U1" s="21"/>
      <c r="V1" s="21"/>
      <c r="W1" s="21"/>
      <c r="X1" s="21"/>
      <c r="Y1" s="21"/>
      <c r="Z1" s="21"/>
      <c r="AA1" s="21"/>
      <c r="AB1" s="21"/>
      <c r="AC1" s="21"/>
      <c r="AD1" s="21"/>
      <c r="AE1" s="21"/>
      <c r="AF1" s="21"/>
      <c r="AG1" s="21"/>
      <c r="AH1" s="21"/>
      <c r="AI1" s="21"/>
      <c r="AJ1" s="21"/>
      <c r="AK1" s="21"/>
      <c r="AL1" s="21"/>
      <c r="AM1" s="21"/>
    </row>
    <row r="2" spans="1:39" ht="15.6">
      <c r="A2" s="143"/>
      <c r="B2" s="20" t="s">
        <v>57</v>
      </c>
      <c r="C2" s="143"/>
      <c r="D2" s="143"/>
      <c r="E2" s="143"/>
      <c r="F2" s="144"/>
      <c r="G2" s="144"/>
      <c r="H2" s="143"/>
      <c r="I2" s="143"/>
      <c r="J2" s="143"/>
      <c r="K2" s="143"/>
      <c r="L2" s="321"/>
      <c r="M2" s="321"/>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row>
    <row r="3" spans="1:39">
      <c r="A3" s="143"/>
      <c r="B3" s="143"/>
      <c r="C3" s="143"/>
      <c r="D3" s="143"/>
      <c r="E3" s="143"/>
      <c r="F3" s="143"/>
      <c r="G3" s="144"/>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row>
    <row r="4" spans="1:39">
      <c r="A4" s="143"/>
      <c r="B4" s="143"/>
      <c r="C4" s="143"/>
      <c r="D4" s="143"/>
      <c r="E4" s="143"/>
      <c r="F4" s="143"/>
      <c r="G4" s="144"/>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row>
    <row r="5" spans="1:39">
      <c r="A5" s="143"/>
      <c r="B5" s="143"/>
      <c r="C5" s="143"/>
      <c r="D5" s="143"/>
      <c r="E5" s="143"/>
      <c r="F5" s="143"/>
      <c r="G5" s="144"/>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row>
    <row r="6" spans="1:39">
      <c r="A6" s="143"/>
      <c r="B6" s="143"/>
      <c r="C6" s="143"/>
      <c r="D6" s="143"/>
      <c r="E6" s="143"/>
      <c r="F6" s="143"/>
      <c r="G6" s="144"/>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row>
    <row r="7" spans="1:39">
      <c r="A7" s="143"/>
      <c r="B7" s="143"/>
      <c r="C7" s="143"/>
      <c r="D7" s="143"/>
      <c r="E7" s="143"/>
      <c r="F7" s="143"/>
      <c r="G7" s="144"/>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row>
    <row r="8" spans="1:39" ht="15" customHeight="1">
      <c r="A8" s="143"/>
      <c r="B8" s="146" t="s">
        <v>477</v>
      </c>
      <c r="C8" s="90"/>
      <c r="D8" s="147" t="s">
        <v>193</v>
      </c>
      <c r="E8" s="59"/>
      <c r="F8" s="143"/>
      <c r="G8" s="144"/>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row>
    <row r="9" spans="1:39" ht="15" customHeight="1">
      <c r="A9" s="143"/>
      <c r="B9" s="148">
        <v>42052</v>
      </c>
      <c r="C9" s="149"/>
      <c r="D9" s="143" t="s">
        <v>56</v>
      </c>
      <c r="E9" s="150"/>
      <c r="F9" s="143"/>
      <c r="G9" s="144"/>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row>
    <row r="10" spans="1:39" ht="12.75" customHeight="1">
      <c r="A10" s="143"/>
      <c r="B10" s="148"/>
      <c r="C10" s="151"/>
      <c r="D10" s="147" t="s">
        <v>231</v>
      </c>
      <c r="E10" s="143"/>
      <c r="F10" s="143"/>
      <c r="G10" s="144"/>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row>
    <row r="11" spans="1:39" ht="15" customHeight="1">
      <c r="A11" s="143"/>
      <c r="B11" s="148"/>
      <c r="C11" s="152"/>
      <c r="D11" s="143" t="s">
        <v>232</v>
      </c>
      <c r="E11" s="150"/>
      <c r="F11" s="143"/>
      <c r="G11" s="144"/>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row>
    <row r="12" spans="1:39" ht="15" customHeight="1" thickBot="1">
      <c r="A12" s="143"/>
      <c r="B12" s="143"/>
      <c r="C12" s="143"/>
      <c r="D12" s="143"/>
      <c r="E12" s="143"/>
      <c r="F12" s="143"/>
      <c r="G12" s="144"/>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39" ht="15" customHeight="1">
      <c r="A13" s="143"/>
      <c r="B13" s="153" t="s">
        <v>92</v>
      </c>
      <c r="C13" s="154"/>
      <c r="D13" s="154"/>
      <c r="E13" s="155" t="s">
        <v>60</v>
      </c>
      <c r="F13" s="83">
        <v>11</v>
      </c>
      <c r="G13" s="156" t="s">
        <v>49</v>
      </c>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7"/>
    </row>
    <row r="14" spans="1:39" ht="15" customHeight="1">
      <c r="A14" s="143"/>
      <c r="B14" s="158"/>
      <c r="C14" s="159"/>
      <c r="D14" s="159"/>
      <c r="E14" s="160" t="s">
        <v>63</v>
      </c>
      <c r="F14" s="84">
        <v>12</v>
      </c>
      <c r="G14" s="161" t="s">
        <v>49</v>
      </c>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62"/>
    </row>
    <row r="15" spans="1:39" ht="15" customHeight="1">
      <c r="A15" s="143"/>
      <c r="B15" s="163"/>
      <c r="C15" s="159"/>
      <c r="D15" s="159"/>
      <c r="E15" s="160" t="s">
        <v>61</v>
      </c>
      <c r="F15" s="84">
        <v>13</v>
      </c>
      <c r="G15" s="161" t="s">
        <v>49</v>
      </c>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62"/>
    </row>
    <row r="16" spans="1:39" ht="15" customHeight="1">
      <c r="A16" s="143"/>
      <c r="B16" s="163"/>
      <c r="C16" s="159"/>
      <c r="D16" s="159"/>
      <c r="E16" s="160" t="s">
        <v>65</v>
      </c>
      <c r="F16" s="84">
        <v>12</v>
      </c>
      <c r="G16" s="161" t="s">
        <v>9</v>
      </c>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62"/>
    </row>
    <row r="17" spans="1:41" ht="15" customHeight="1">
      <c r="A17" s="143"/>
      <c r="B17" s="163"/>
      <c r="C17" s="159"/>
      <c r="D17" s="159"/>
      <c r="E17" s="160" t="s">
        <v>146</v>
      </c>
      <c r="F17" s="84">
        <v>1500</v>
      </c>
      <c r="G17" s="164" t="s">
        <v>46</v>
      </c>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62"/>
    </row>
    <row r="18" spans="1:41" ht="15" customHeight="1">
      <c r="A18" s="143"/>
      <c r="B18" s="163"/>
      <c r="C18" s="159"/>
      <c r="D18" s="159"/>
      <c r="E18" s="160" t="s">
        <v>289</v>
      </c>
      <c r="F18" s="105">
        <v>0</v>
      </c>
      <c r="G18" s="164" t="s">
        <v>68</v>
      </c>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62"/>
    </row>
    <row r="19" spans="1:41" ht="15" customHeight="1">
      <c r="A19" s="143"/>
      <c r="B19" s="163"/>
      <c r="C19" s="159"/>
      <c r="D19" s="159"/>
      <c r="E19" s="160" t="s">
        <v>64</v>
      </c>
      <c r="F19" s="84">
        <v>63</v>
      </c>
      <c r="G19" s="161" t="s">
        <v>68</v>
      </c>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62"/>
    </row>
    <row r="20" spans="1:41" ht="15" customHeight="1" thickBot="1">
      <c r="A20" s="143"/>
      <c r="B20" s="163"/>
      <c r="C20" s="159"/>
      <c r="D20" s="159"/>
      <c r="E20" s="160" t="s">
        <v>380</v>
      </c>
      <c r="F20" s="84" t="s">
        <v>488</v>
      </c>
      <c r="G20" s="161"/>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62"/>
      <c r="AN20" s="183" t="str">
        <f>"'40 - Latch"</f>
        <v>'40 - Latch</v>
      </c>
    </row>
    <row r="21" spans="1:41" ht="15" customHeight="1">
      <c r="A21" s="143"/>
      <c r="B21" s="153" t="s">
        <v>269</v>
      </c>
      <c r="C21" s="165"/>
      <c r="D21" s="154"/>
      <c r="E21" s="155" t="s">
        <v>271</v>
      </c>
      <c r="F21" s="270">
        <v>15</v>
      </c>
      <c r="G21" s="166" t="s">
        <v>9</v>
      </c>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7"/>
      <c r="AN21" s="183" t="str">
        <f>"'41 - Retry"</f>
        <v>'41 - Retry</v>
      </c>
      <c r="AO21" s="167" t="s">
        <v>86</v>
      </c>
    </row>
    <row r="22" spans="1:41" ht="15" customHeight="1">
      <c r="A22" s="143"/>
      <c r="B22" s="168"/>
      <c r="C22" s="169"/>
      <c r="D22" s="169"/>
      <c r="E22" s="160" t="s">
        <v>327</v>
      </c>
      <c r="F22" s="84">
        <v>18</v>
      </c>
      <c r="G22" s="170" t="s">
        <v>9</v>
      </c>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62"/>
      <c r="AN22" s="183" t="str">
        <f>"'42 - ILO"</f>
        <v>'42 - ILO</v>
      </c>
      <c r="AO22" s="167" t="s">
        <v>446</v>
      </c>
    </row>
    <row r="23" spans="1:41">
      <c r="B23" s="163"/>
      <c r="C23" s="169"/>
      <c r="D23" s="169"/>
      <c r="E23" s="160" t="s">
        <v>259</v>
      </c>
      <c r="F23" s="171">
        <f>Equations!E3</f>
        <v>4.5</v>
      </c>
      <c r="G23" s="161" t="s">
        <v>48</v>
      </c>
      <c r="H23" s="172"/>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73"/>
    </row>
    <row r="24" spans="1:41">
      <c r="B24" s="163"/>
      <c r="C24" s="169"/>
      <c r="D24" s="169"/>
      <c r="E24" s="160" t="s">
        <v>260</v>
      </c>
      <c r="F24" s="171">
        <f>Equations!E4</f>
        <v>0.66666666666666663</v>
      </c>
      <c r="G24" s="161" t="s">
        <v>48</v>
      </c>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73"/>
    </row>
    <row r="25" spans="1:41" ht="15" customHeight="1">
      <c r="A25" s="143"/>
      <c r="B25" s="163"/>
      <c r="C25" s="169"/>
      <c r="D25" s="169"/>
      <c r="E25" s="160" t="s">
        <v>222</v>
      </c>
      <c r="F25" s="86">
        <v>1</v>
      </c>
      <c r="G25" s="161" t="s">
        <v>48</v>
      </c>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62"/>
      <c r="AN25" s="167"/>
    </row>
    <row r="26" spans="1:41" ht="15" customHeight="1">
      <c r="A26" s="143"/>
      <c r="B26" s="174"/>
      <c r="C26" s="169"/>
      <c r="D26" s="169"/>
      <c r="E26" s="175" t="s">
        <v>276</v>
      </c>
      <c r="F26" s="176">
        <f>Rset_recom</f>
        <v>60</v>
      </c>
      <c r="G26" s="177" t="s">
        <v>227</v>
      </c>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62"/>
      <c r="AN26" s="167"/>
    </row>
    <row r="27" spans="1:41" ht="15" customHeight="1">
      <c r="A27" s="143"/>
      <c r="B27" s="174"/>
      <c r="C27" s="169"/>
      <c r="D27" s="169"/>
      <c r="E27" s="160" t="s">
        <v>274</v>
      </c>
      <c r="F27" s="139">
        <v>80.599999999999994</v>
      </c>
      <c r="G27" s="178" t="s">
        <v>227</v>
      </c>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62"/>
      <c r="AN27" s="167" t="s">
        <v>138</v>
      </c>
    </row>
    <row r="28" spans="1:41" ht="15" customHeight="1">
      <c r="A28" s="143"/>
      <c r="B28" s="163"/>
      <c r="C28" s="169"/>
      <c r="D28" s="169"/>
      <c r="E28" s="175" t="s">
        <v>273</v>
      </c>
      <c r="F28" s="58">
        <f>Rimon_recom</f>
        <v>3627</v>
      </c>
      <c r="G28" s="178" t="s">
        <v>227</v>
      </c>
      <c r="H28" s="17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62"/>
      <c r="AN28" s="167" t="s">
        <v>137</v>
      </c>
    </row>
    <row r="29" spans="1:41" ht="15" customHeight="1">
      <c r="A29" s="143"/>
      <c r="B29" s="163"/>
      <c r="C29" s="159"/>
      <c r="D29" s="159"/>
      <c r="E29" s="160" t="s">
        <v>275</v>
      </c>
      <c r="F29" s="85">
        <v>2740</v>
      </c>
      <c r="G29" s="178" t="s">
        <v>227</v>
      </c>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62"/>
    </row>
    <row r="30" spans="1:41" ht="15" customHeight="1">
      <c r="A30" s="143"/>
      <c r="B30" s="163"/>
      <c r="C30" s="159"/>
      <c r="D30" s="159"/>
      <c r="E30" s="160" t="s">
        <v>277</v>
      </c>
      <c r="F30" s="149">
        <f>F22*Rs/0.1</f>
        <v>180</v>
      </c>
      <c r="G30" s="178" t="s">
        <v>227</v>
      </c>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62"/>
    </row>
    <row r="31" spans="1:41" ht="15" customHeight="1">
      <c r="A31" s="143"/>
      <c r="B31" s="163"/>
      <c r="C31" s="159"/>
      <c r="D31" s="175"/>
      <c r="E31" s="175" t="s">
        <v>278</v>
      </c>
      <c r="F31" s="85">
        <v>249</v>
      </c>
      <c r="G31" s="178" t="s">
        <v>227</v>
      </c>
      <c r="H31" s="159"/>
      <c r="I31" s="159"/>
      <c r="J31" s="17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62"/>
    </row>
    <row r="32" spans="1:41" ht="14.4" customHeight="1">
      <c r="A32" s="143"/>
      <c r="B32" s="174"/>
      <c r="C32" s="159"/>
      <c r="D32" s="160"/>
      <c r="E32" s="160" t="s">
        <v>53</v>
      </c>
      <c r="F32" s="180">
        <f>CLMIN</f>
        <v>18.914598540145981</v>
      </c>
      <c r="G32" s="161" t="s">
        <v>9</v>
      </c>
      <c r="H32" s="159"/>
      <c r="I32" s="159"/>
      <c r="J32" s="17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62"/>
    </row>
    <row r="33" spans="1:40" ht="15" customHeight="1">
      <c r="A33" s="143"/>
      <c r="B33" s="174"/>
      <c r="C33" s="159"/>
      <c r="D33" s="175"/>
      <c r="E33" s="175" t="s">
        <v>54</v>
      </c>
      <c r="F33" s="180">
        <f>CLNOM</f>
        <v>19.855839416058391</v>
      </c>
      <c r="G33" s="161" t="s">
        <v>9</v>
      </c>
      <c r="H33" s="159"/>
      <c r="I33" s="159"/>
      <c r="J33" s="17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62"/>
    </row>
    <row r="34" spans="1:40" ht="15" customHeight="1">
      <c r="A34" s="143"/>
      <c r="B34" s="174"/>
      <c r="C34" s="159"/>
      <c r="D34" s="160"/>
      <c r="E34" s="160" t="s">
        <v>55</v>
      </c>
      <c r="F34" s="180">
        <f>CLMAX</f>
        <v>20.797080291970801</v>
      </c>
      <c r="G34" s="161" t="s">
        <v>9</v>
      </c>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62"/>
    </row>
    <row r="35" spans="1:40" ht="15" customHeight="1">
      <c r="A35" s="143"/>
      <c r="B35" s="163"/>
      <c r="C35" s="159"/>
      <c r="D35" s="160"/>
      <c r="E35" s="175" t="s">
        <v>272</v>
      </c>
      <c r="F35" s="181">
        <f>F31*0.1/Rs</f>
        <v>24.900000000000002</v>
      </c>
      <c r="G35" s="161" t="s">
        <v>9</v>
      </c>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62"/>
    </row>
    <row r="36" spans="1:40" ht="15" customHeight="1">
      <c r="A36" s="143"/>
      <c r="B36" s="163"/>
      <c r="C36" s="159"/>
      <c r="D36" s="175"/>
      <c r="E36" s="160" t="s">
        <v>270</v>
      </c>
      <c r="F36" s="181">
        <f>IOUTMAX*IOUTMAX*Rs/1000</f>
        <v>0.14399999999999999</v>
      </c>
      <c r="G36" s="161" t="s">
        <v>50</v>
      </c>
      <c r="H36" s="159"/>
      <c r="I36" s="182"/>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62"/>
    </row>
    <row r="37" spans="1:40" ht="15" customHeight="1">
      <c r="A37" s="143"/>
      <c r="B37" s="163"/>
      <c r="C37" s="159"/>
      <c r="D37" s="160"/>
      <c r="E37" s="160" t="s">
        <v>319</v>
      </c>
      <c r="F37" s="84">
        <v>0.5</v>
      </c>
      <c r="G37" s="161" t="s">
        <v>318</v>
      </c>
      <c r="H37" s="159"/>
      <c r="I37" s="182"/>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62"/>
    </row>
    <row r="38" spans="1:40" ht="15" customHeight="1">
      <c r="A38" s="143"/>
      <c r="B38" s="163"/>
      <c r="C38" s="159"/>
      <c r="D38" s="159"/>
      <c r="E38" s="160" t="s">
        <v>324</v>
      </c>
      <c r="F38" s="181">
        <f>F37/F31*1000</f>
        <v>2.0080321285140559</v>
      </c>
      <c r="G38" s="184" t="s">
        <v>62</v>
      </c>
      <c r="H38" s="185"/>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62"/>
    </row>
    <row r="39" spans="1:40" ht="15" customHeight="1">
      <c r="A39" s="143"/>
      <c r="B39" s="163"/>
      <c r="C39" s="159"/>
      <c r="D39" s="159"/>
      <c r="E39" s="160" t="s">
        <v>325</v>
      </c>
      <c r="F39" s="84">
        <v>2</v>
      </c>
      <c r="G39" s="184" t="s">
        <v>62</v>
      </c>
      <c r="H39" s="185"/>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62"/>
      <c r="AN39" s="183"/>
    </row>
    <row r="40" spans="1:40" ht="15" customHeight="1" thickBot="1">
      <c r="A40" s="143"/>
      <c r="B40" s="186"/>
      <c r="C40" s="187"/>
      <c r="D40" s="187"/>
      <c r="E40" s="188" t="s">
        <v>326</v>
      </c>
      <c r="F40" s="189">
        <f>F39*F31/1000</f>
        <v>0.498</v>
      </c>
      <c r="G40" s="190" t="s">
        <v>318</v>
      </c>
      <c r="H40" s="191"/>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92"/>
      <c r="AN40" s="167"/>
    </row>
    <row r="41" spans="1:40" ht="13.8">
      <c r="A41" s="143"/>
      <c r="B41" s="193" t="s">
        <v>66</v>
      </c>
      <c r="C41" s="159"/>
      <c r="D41" s="159"/>
      <c r="E41" s="194" t="s">
        <v>74</v>
      </c>
      <c r="F41" s="140" t="s">
        <v>490</v>
      </c>
      <c r="G41" s="164"/>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62"/>
    </row>
    <row r="42" spans="1:40" ht="15.6">
      <c r="A42" s="143"/>
      <c r="B42" s="163"/>
      <c r="C42" s="159"/>
      <c r="D42" s="159"/>
      <c r="E42" s="194" t="s">
        <v>147</v>
      </c>
      <c r="F42" s="86">
        <v>50</v>
      </c>
      <c r="G42" s="161" t="s">
        <v>69</v>
      </c>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62"/>
    </row>
    <row r="43" spans="1:40">
      <c r="A43" s="143"/>
      <c r="B43" s="163"/>
      <c r="C43" s="159"/>
      <c r="D43" s="159"/>
      <c r="E43" s="194" t="s">
        <v>382</v>
      </c>
      <c r="F43" s="86">
        <v>1</v>
      </c>
      <c r="G43" s="161" t="s">
        <v>67</v>
      </c>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62"/>
      <c r="AN43" s="195" t="s">
        <v>148</v>
      </c>
    </row>
    <row r="44" spans="1:40" ht="15.6">
      <c r="A44" s="143"/>
      <c r="B44" s="163"/>
      <c r="C44" s="159"/>
      <c r="D44" s="159"/>
      <c r="E44" s="194" t="s">
        <v>150</v>
      </c>
      <c r="F44" s="86">
        <v>1.38</v>
      </c>
      <c r="G44" s="161" t="s">
        <v>48</v>
      </c>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62"/>
      <c r="AN44" s="167">
        <f t="shared" ref="AN44:AN50" si="0">F44</f>
        <v>1.38</v>
      </c>
    </row>
    <row r="45" spans="1:40" ht="15.6">
      <c r="A45" s="143"/>
      <c r="B45" s="163"/>
      <c r="C45" s="159"/>
      <c r="D45" s="159"/>
      <c r="E45" s="194" t="s">
        <v>70</v>
      </c>
      <c r="F45" s="86">
        <v>150</v>
      </c>
      <c r="G45" s="161" t="s">
        <v>129</v>
      </c>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62"/>
      <c r="AN45" s="167">
        <f t="shared" si="0"/>
        <v>150</v>
      </c>
    </row>
    <row r="46" spans="1:40">
      <c r="A46" s="143"/>
      <c r="B46" s="163"/>
      <c r="C46" s="159"/>
      <c r="D46" s="159"/>
      <c r="E46" s="194" t="s">
        <v>195</v>
      </c>
      <c r="F46" s="87">
        <v>300</v>
      </c>
      <c r="G46" s="161" t="s">
        <v>9</v>
      </c>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62"/>
      <c r="AN46" s="167">
        <f t="shared" si="0"/>
        <v>300</v>
      </c>
    </row>
    <row r="47" spans="1:40">
      <c r="A47" s="143"/>
      <c r="B47" s="163"/>
      <c r="C47" s="159"/>
      <c r="D47" s="159"/>
      <c r="E47" s="194" t="s">
        <v>71</v>
      </c>
      <c r="F47" s="87">
        <v>60</v>
      </c>
      <c r="G47" s="161" t="s">
        <v>9</v>
      </c>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62"/>
      <c r="AN47" s="167">
        <f t="shared" si="0"/>
        <v>60</v>
      </c>
    </row>
    <row r="48" spans="1:40">
      <c r="A48" s="143"/>
      <c r="B48" s="163"/>
      <c r="C48" s="159"/>
      <c r="D48" s="159"/>
      <c r="E48" s="194" t="s">
        <v>72</v>
      </c>
      <c r="F48" s="87">
        <v>18</v>
      </c>
      <c r="G48" s="161" t="s">
        <v>9</v>
      </c>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62"/>
      <c r="AN48" s="167">
        <f t="shared" si="0"/>
        <v>18</v>
      </c>
    </row>
    <row r="49" spans="1:41">
      <c r="A49" s="143"/>
      <c r="B49" s="163"/>
      <c r="C49" s="159"/>
      <c r="D49" s="159"/>
      <c r="E49" s="194" t="s">
        <v>73</v>
      </c>
      <c r="F49" s="87">
        <v>6</v>
      </c>
      <c r="G49" s="161" t="s">
        <v>9</v>
      </c>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62"/>
      <c r="AN49" s="167">
        <f t="shared" si="0"/>
        <v>6</v>
      </c>
    </row>
    <row r="50" spans="1:41">
      <c r="A50" s="143"/>
      <c r="B50" s="163"/>
      <c r="C50" s="159"/>
      <c r="D50" s="159"/>
      <c r="E50" s="194" t="s">
        <v>196</v>
      </c>
      <c r="F50" s="87">
        <v>3</v>
      </c>
      <c r="G50" s="161" t="s">
        <v>9</v>
      </c>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62"/>
      <c r="AN50" s="196">
        <f t="shared" si="0"/>
        <v>3</v>
      </c>
    </row>
    <row r="51" spans="1:41" ht="15" customHeight="1">
      <c r="A51" s="143"/>
      <c r="B51" s="158"/>
      <c r="C51" s="159"/>
      <c r="D51" s="159"/>
      <c r="E51" s="194" t="s">
        <v>184</v>
      </c>
      <c r="F51" s="76">
        <f>(IOUTMAX/NUMFETS)^2*RDSON/1000</f>
        <v>0.19871999999999998</v>
      </c>
      <c r="G51" s="161" t="s">
        <v>50</v>
      </c>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62"/>
    </row>
    <row r="52" spans="1:41" ht="15" customHeight="1">
      <c r="A52" s="143"/>
      <c r="B52" s="269"/>
      <c r="C52" s="159"/>
      <c r="D52" s="159"/>
      <c r="E52" s="194" t="s">
        <v>149</v>
      </c>
      <c r="F52" s="76">
        <f>TAMB+(FETPDISS*ThetaJA)</f>
        <v>72.935999999999993</v>
      </c>
      <c r="G52" s="161" t="s">
        <v>68</v>
      </c>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62"/>
    </row>
    <row r="53" spans="1:41" ht="15" customHeight="1">
      <c r="A53" s="143"/>
      <c r="B53" s="269"/>
      <c r="C53" s="159"/>
      <c r="D53" s="159"/>
      <c r="E53" s="197" t="s">
        <v>281</v>
      </c>
      <c r="F53" s="76">
        <f>Equations!F26</f>
        <v>19.5</v>
      </c>
      <c r="G53" s="161" t="s">
        <v>50</v>
      </c>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62"/>
    </row>
    <row r="54" spans="1:41" ht="15" customHeight="1">
      <c r="A54" s="143"/>
      <c r="B54" s="269"/>
      <c r="C54" s="159"/>
      <c r="D54" s="159"/>
      <c r="E54" s="160" t="s">
        <v>153</v>
      </c>
      <c r="F54" s="87">
        <v>100</v>
      </c>
      <c r="G54" s="161" t="s">
        <v>50</v>
      </c>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62"/>
    </row>
    <row r="55" spans="1:41" ht="15" customHeight="1">
      <c r="A55" s="143"/>
      <c r="B55" s="269"/>
      <c r="C55" s="159"/>
      <c r="D55" s="159"/>
      <c r="E55" s="160" t="s">
        <v>279</v>
      </c>
      <c r="F55" s="61">
        <f>Equations!F28</f>
        <v>24.819799270072988</v>
      </c>
      <c r="G55" s="198" t="s">
        <v>47</v>
      </c>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62"/>
    </row>
    <row r="56" spans="1:41" ht="15" customHeight="1">
      <c r="A56" s="143"/>
      <c r="B56" s="269"/>
      <c r="C56" s="159"/>
      <c r="D56" s="159"/>
      <c r="E56" s="160" t="s">
        <v>280</v>
      </c>
      <c r="F56" s="86">
        <v>24</v>
      </c>
      <c r="G56" s="198" t="s">
        <v>47</v>
      </c>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62"/>
    </row>
    <row r="57" spans="1:41" ht="15" customHeight="1" thickBot="1">
      <c r="A57" s="143"/>
      <c r="B57" s="174"/>
      <c r="C57" s="159"/>
      <c r="D57" s="159"/>
      <c r="E57" s="160" t="s">
        <v>157</v>
      </c>
      <c r="F57" s="116">
        <f>Equations!F30</f>
        <v>103.41583029197079</v>
      </c>
      <c r="G57" s="161" t="s">
        <v>50</v>
      </c>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62"/>
    </row>
    <row r="58" spans="1:41" ht="13.8">
      <c r="A58" s="143"/>
      <c r="B58" s="153" t="s">
        <v>76</v>
      </c>
      <c r="C58" s="154"/>
      <c r="D58" s="154"/>
      <c r="E58" s="199" t="s">
        <v>132</v>
      </c>
      <c r="F58" s="88">
        <v>7</v>
      </c>
      <c r="G58" s="200" t="s">
        <v>49</v>
      </c>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7"/>
      <c r="AN58" s="167"/>
    </row>
    <row r="59" spans="1:41">
      <c r="A59" s="143"/>
      <c r="B59" s="168"/>
      <c r="C59" s="159"/>
      <c r="D59" s="159"/>
      <c r="E59" s="194" t="s">
        <v>77</v>
      </c>
      <c r="F59" s="85" t="s">
        <v>489</v>
      </c>
      <c r="G59" s="201"/>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62"/>
      <c r="AN59" s="145" t="s">
        <v>79</v>
      </c>
    </row>
    <row r="60" spans="1:41">
      <c r="A60" s="143"/>
      <c r="B60" s="163"/>
      <c r="C60" s="159"/>
      <c r="D60" s="159"/>
      <c r="E60" s="194" t="s">
        <v>78</v>
      </c>
      <c r="F60" s="86">
        <v>6</v>
      </c>
      <c r="G60" s="201" t="str">
        <f>IF(F59="Constant Current","A","Ohms")</f>
        <v>A</v>
      </c>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62"/>
      <c r="AN60" s="145" t="s">
        <v>80</v>
      </c>
    </row>
    <row r="61" spans="1:41">
      <c r="A61" s="143"/>
      <c r="B61" s="163"/>
      <c r="C61" s="159"/>
      <c r="D61" s="159"/>
      <c r="E61" s="194" t="s">
        <v>169</v>
      </c>
      <c r="F61" s="202">
        <f>Start_up!L2</f>
        <v>1.6218061222691862</v>
      </c>
      <c r="G61" s="203" t="s">
        <v>8</v>
      </c>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62"/>
      <c r="AN61" s="167"/>
    </row>
    <row r="62" spans="1:41">
      <c r="A62" s="143"/>
      <c r="B62" s="174"/>
      <c r="C62" s="159"/>
      <c r="D62" s="159"/>
      <c r="E62" s="194" t="s">
        <v>174</v>
      </c>
      <c r="F62" s="204">
        <f>Start_up!N2</f>
        <v>0.65189081885856071</v>
      </c>
      <c r="G62" s="203"/>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62"/>
      <c r="AN62" s="167"/>
    </row>
    <row r="63" spans="1:41" ht="13.2" customHeight="1">
      <c r="A63" s="143"/>
      <c r="B63" s="268"/>
      <c r="C63" s="159"/>
      <c r="D63" s="169"/>
      <c r="E63" s="197" t="s">
        <v>254</v>
      </c>
      <c r="F63" s="202">
        <f>F61*1.5</f>
        <v>2.4327091834037793</v>
      </c>
      <c r="G63" s="203" t="s">
        <v>8</v>
      </c>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62"/>
      <c r="AN63" s="167" t="s">
        <v>322</v>
      </c>
    </row>
    <row r="64" spans="1:41">
      <c r="A64" s="205"/>
      <c r="B64" s="174"/>
      <c r="C64" s="159"/>
      <c r="D64" s="159"/>
      <c r="E64" s="194" t="s">
        <v>321</v>
      </c>
      <c r="F64" s="85" t="s">
        <v>323</v>
      </c>
      <c r="G64" s="206"/>
      <c r="H64" s="185"/>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62"/>
      <c r="AN64" s="167" t="s">
        <v>323</v>
      </c>
      <c r="AO64" s="145">
        <f>0.47*1.5</f>
        <v>0.70499999999999996</v>
      </c>
    </row>
    <row r="65" spans="1:41" ht="12.6" customHeight="1">
      <c r="A65" s="143"/>
      <c r="B65" s="174"/>
      <c r="C65" s="159"/>
      <c r="D65" s="169"/>
      <c r="E65" s="194" t="str">
        <f>IF(F64="single", "Select timer", "Select inrush timer")</f>
        <v>Select inrush timer</v>
      </c>
      <c r="F65" s="141">
        <v>2.5</v>
      </c>
      <c r="G65" s="207" t="s">
        <v>8</v>
      </c>
      <c r="H65" s="185"/>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62"/>
    </row>
    <row r="66" spans="1:41" ht="15" customHeight="1">
      <c r="A66" s="143"/>
      <c r="B66" s="174"/>
      <c r="C66" s="159"/>
      <c r="D66" s="169"/>
      <c r="E66" s="208" t="str">
        <f>IF(F64="single", "Calculated Ctmr", "Calculated Cinr")</f>
        <v>Calculated Cinr</v>
      </c>
      <c r="F66" s="202">
        <f>Equations!F44</f>
        <v>18.981481481481481</v>
      </c>
      <c r="G66" s="203" t="s">
        <v>62</v>
      </c>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62"/>
    </row>
    <row r="67" spans="1:41" ht="15" customHeight="1">
      <c r="A67" s="143"/>
      <c r="B67" s="163"/>
      <c r="C67" s="159"/>
      <c r="D67" s="169"/>
      <c r="E67" s="208" t="str">
        <f>IF(F64="single", "Selected Ctmr", "Selected Cinr")</f>
        <v>Selected Cinr</v>
      </c>
      <c r="F67" s="86">
        <v>22</v>
      </c>
      <c r="G67" s="203" t="s">
        <v>62</v>
      </c>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62"/>
    </row>
    <row r="68" spans="1:41" ht="15" customHeight="1">
      <c r="A68" s="143"/>
      <c r="B68" s="163"/>
      <c r="C68" s="159"/>
      <c r="D68" s="169"/>
      <c r="E68" s="208" t="str">
        <f>IF(F64="single", "Resulting timer", "Resulting inrush timer")</f>
        <v>Resulting inrush timer</v>
      </c>
      <c r="F68" s="202">
        <f>Equations!F46</f>
        <v>2.8975609756097565</v>
      </c>
      <c r="G68" s="203" t="s">
        <v>8</v>
      </c>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62"/>
    </row>
    <row r="69" spans="1:41" ht="15" customHeight="1">
      <c r="A69" s="143"/>
      <c r="B69" s="163"/>
      <c r="C69" s="159"/>
      <c r="D69" s="169"/>
      <c r="E69" s="208" t="s">
        <v>181</v>
      </c>
      <c r="F69" s="202">
        <f>Equations!F47</f>
        <v>2.6660119766696466</v>
      </c>
      <c r="G69" s="209"/>
      <c r="H69" s="185"/>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62"/>
      <c r="AO69" s="145">
        <f>11.67/3</f>
        <v>3.89</v>
      </c>
    </row>
    <row r="70" spans="1:41" ht="15" customHeight="1">
      <c r="A70" s="143"/>
      <c r="B70" s="163"/>
      <c r="C70" s="159"/>
      <c r="D70" s="169"/>
      <c r="E70" s="194" t="s">
        <v>328</v>
      </c>
      <c r="F70" s="297">
        <v>1</v>
      </c>
      <c r="G70" s="184" t="s">
        <v>8</v>
      </c>
      <c r="H70" s="185"/>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62"/>
    </row>
    <row r="71" spans="1:41" ht="15" customHeight="1">
      <c r="A71" s="143"/>
      <c r="B71" s="174"/>
      <c r="C71" s="159"/>
      <c r="D71" s="169"/>
      <c r="E71" s="175" t="s">
        <v>329</v>
      </c>
      <c r="F71" s="202">
        <f>Equations!F49</f>
        <v>7.5925925925925917</v>
      </c>
      <c r="G71" s="209" t="s">
        <v>62</v>
      </c>
      <c r="H71" s="185"/>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62"/>
    </row>
    <row r="72" spans="1:41" ht="15" customHeight="1">
      <c r="A72" s="143"/>
      <c r="B72" s="174"/>
      <c r="C72" s="159"/>
      <c r="D72" s="169"/>
      <c r="E72" s="194" t="s">
        <v>334</v>
      </c>
      <c r="F72" s="297">
        <v>10</v>
      </c>
      <c r="G72" s="184" t="s">
        <v>62</v>
      </c>
      <c r="H72" s="185"/>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62"/>
    </row>
    <row r="73" spans="1:41" ht="15" customHeight="1" thickBot="1">
      <c r="A73" s="143"/>
      <c r="B73" s="210"/>
      <c r="C73" s="187"/>
      <c r="D73" s="211"/>
      <c r="E73" s="212" t="s">
        <v>335</v>
      </c>
      <c r="F73" s="298">
        <f>Equations!F51</f>
        <v>1.3170731707317074</v>
      </c>
      <c r="G73" s="213" t="s">
        <v>8</v>
      </c>
      <c r="H73" s="214"/>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92"/>
    </row>
    <row r="74" spans="1:41" ht="15" customHeight="1">
      <c r="A74" s="143"/>
      <c r="B74" s="193" t="s">
        <v>240</v>
      </c>
      <c r="C74" s="215"/>
      <c r="D74" s="159"/>
      <c r="E74" s="160" t="s">
        <v>282</v>
      </c>
      <c r="F74" s="117">
        <v>10</v>
      </c>
      <c r="G74" s="203" t="s">
        <v>49</v>
      </c>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62"/>
      <c r="AN74" s="167"/>
    </row>
    <row r="75" spans="1:41" ht="15" customHeight="1">
      <c r="A75" s="143"/>
      <c r="B75" s="163"/>
      <c r="C75" s="159"/>
      <c r="D75" s="159"/>
      <c r="E75" s="160" t="s">
        <v>253</v>
      </c>
      <c r="F75" s="89">
        <v>14</v>
      </c>
      <c r="G75" s="203" t="s">
        <v>49</v>
      </c>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62"/>
      <c r="AN75" s="167"/>
    </row>
    <row r="76" spans="1:41" ht="15" customHeight="1">
      <c r="A76" s="143"/>
      <c r="B76" s="174"/>
      <c r="C76" s="159"/>
      <c r="D76" s="159"/>
      <c r="E76" s="160" t="s">
        <v>256</v>
      </c>
      <c r="F76" s="142">
        <v>49.9</v>
      </c>
      <c r="G76" s="216" t="s">
        <v>47</v>
      </c>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62"/>
    </row>
    <row r="77" spans="1:41" ht="15" customHeight="1">
      <c r="A77" s="143"/>
      <c r="B77" s="174"/>
      <c r="C77" s="159"/>
      <c r="D77" s="159"/>
      <c r="E77" s="217" t="s">
        <v>257</v>
      </c>
      <c r="F77" s="218">
        <f>Equations!G59</f>
        <v>2.2251032204789443</v>
      </c>
      <c r="G77" s="216" t="s">
        <v>47</v>
      </c>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62"/>
    </row>
    <row r="78" spans="1:41" ht="15" customHeight="1">
      <c r="A78" s="143"/>
      <c r="B78" s="174"/>
      <c r="C78" s="159"/>
      <c r="D78" s="159"/>
      <c r="E78" s="217" t="s">
        <v>258</v>
      </c>
      <c r="F78" s="218">
        <f>Equations!G60</f>
        <v>5.5627580511973571</v>
      </c>
      <c r="G78" s="216" t="s">
        <v>47</v>
      </c>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62"/>
    </row>
    <row r="79" spans="1:41" ht="15" customHeight="1">
      <c r="A79" s="143"/>
      <c r="B79" s="163"/>
      <c r="C79" s="159"/>
      <c r="D79" s="159"/>
      <c r="E79" s="160" t="s">
        <v>58</v>
      </c>
      <c r="F79" s="89">
        <v>2.21</v>
      </c>
      <c r="G79" s="216" t="s">
        <v>47</v>
      </c>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62"/>
    </row>
    <row r="80" spans="1:41" ht="15" customHeight="1">
      <c r="A80" s="143"/>
      <c r="B80" s="163"/>
      <c r="C80" s="159"/>
      <c r="D80" s="159"/>
      <c r="E80" s="160" t="s">
        <v>59</v>
      </c>
      <c r="F80" s="89">
        <v>5.56</v>
      </c>
      <c r="G80" s="219" t="s">
        <v>47</v>
      </c>
      <c r="H80" s="185"/>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62"/>
    </row>
    <row r="81" spans="1:40" ht="15" customHeight="1">
      <c r="A81" s="143"/>
      <c r="B81" s="163"/>
      <c r="C81" s="159"/>
      <c r="D81" s="159"/>
      <c r="H81" s="185"/>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62"/>
    </row>
    <row r="82" spans="1:40" ht="15" customHeight="1" thickBot="1">
      <c r="A82" s="162"/>
      <c r="B82" s="222"/>
      <c r="C82" s="223"/>
      <c r="D82" s="223"/>
      <c r="E82" s="223"/>
      <c r="F82" s="223"/>
      <c r="G82" s="224"/>
      <c r="H82" s="211"/>
      <c r="I82" s="211"/>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92"/>
    </row>
    <row r="83" spans="1:40" ht="15" customHeight="1">
      <c r="A83" s="143"/>
      <c r="B83" s="193" t="s">
        <v>462</v>
      </c>
      <c r="C83" s="215"/>
      <c r="D83" s="159"/>
      <c r="E83" s="160" t="s">
        <v>478</v>
      </c>
      <c r="F83" s="117">
        <v>91</v>
      </c>
      <c r="G83" s="203" t="s">
        <v>464</v>
      </c>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62"/>
      <c r="AN83" s="167"/>
    </row>
    <row r="84" spans="1:40" ht="15" customHeight="1">
      <c r="A84" s="143"/>
      <c r="B84" s="163"/>
      <c r="C84" s="159"/>
      <c r="D84" s="159"/>
      <c r="E84" s="160" t="s">
        <v>479</v>
      </c>
      <c r="F84" s="89">
        <v>20</v>
      </c>
      <c r="G84" s="203" t="s">
        <v>9</v>
      </c>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62"/>
      <c r="AN84" s="167"/>
    </row>
    <row r="85" spans="1:40" ht="15" customHeight="1">
      <c r="A85" s="143"/>
      <c r="B85" s="174"/>
      <c r="C85" s="159"/>
      <c r="D85" s="159"/>
      <c r="E85" s="160" t="s">
        <v>465</v>
      </c>
      <c r="F85" s="89">
        <v>1.35</v>
      </c>
      <c r="G85" s="203" t="s">
        <v>62</v>
      </c>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62"/>
    </row>
    <row r="86" spans="1:40" ht="15" customHeight="1">
      <c r="A86" s="143"/>
      <c r="B86" s="174"/>
      <c r="C86" s="159"/>
      <c r="D86" s="159"/>
      <c r="E86" s="160" t="s">
        <v>466</v>
      </c>
      <c r="F86" s="202" t="str">
        <f>Equations!C102</f>
        <v>YES</v>
      </c>
      <c r="G86" s="216"/>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62"/>
    </row>
    <row r="87" spans="1:40" ht="15" customHeight="1">
      <c r="A87" s="143"/>
      <c r="B87" s="163"/>
      <c r="C87" s="159"/>
      <c r="D87" s="159"/>
      <c r="E87" s="160" t="s">
        <v>467</v>
      </c>
      <c r="F87" s="202">
        <f>Equations!C103</f>
        <v>0.3182357353530807</v>
      </c>
      <c r="G87" s="203" t="s">
        <v>62</v>
      </c>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62"/>
    </row>
    <row r="88" spans="1:40" ht="15" customHeight="1">
      <c r="A88" s="143"/>
      <c r="B88" s="163"/>
      <c r="C88" s="159"/>
      <c r="D88" s="159"/>
      <c r="E88" s="160" t="s">
        <v>468</v>
      </c>
      <c r="F88" s="89">
        <v>0</v>
      </c>
      <c r="G88" s="209" t="s">
        <v>62</v>
      </c>
      <c r="H88" s="185"/>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62"/>
    </row>
    <row r="89" spans="1:40" ht="15" customHeight="1">
      <c r="A89" s="143"/>
      <c r="B89" s="163"/>
      <c r="C89" s="159"/>
      <c r="D89" s="159"/>
      <c r="H89" s="185"/>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62"/>
    </row>
    <row r="90" spans="1:40" ht="27.6" customHeight="1" thickBot="1">
      <c r="A90" s="162"/>
      <c r="B90" s="222"/>
      <c r="C90" s="223"/>
      <c r="D90" s="223"/>
      <c r="E90" s="223"/>
      <c r="F90" s="223"/>
      <c r="G90" s="224"/>
      <c r="H90" s="211"/>
      <c r="I90" s="211"/>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187"/>
      <c r="AL90" s="187"/>
      <c r="AM90" s="192"/>
    </row>
    <row r="91" spans="1:40" ht="15" customHeight="1">
      <c r="A91" s="162"/>
      <c r="B91" s="153" t="s">
        <v>463</v>
      </c>
      <c r="C91" s="182"/>
      <c r="D91" s="182"/>
      <c r="E91" s="182"/>
      <c r="F91" s="182"/>
      <c r="G91" s="225"/>
      <c r="H91" s="169"/>
      <c r="I91" s="16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62"/>
    </row>
    <row r="92" spans="1:40" ht="15" customHeight="1">
      <c r="A92" s="162"/>
      <c r="B92" s="168"/>
      <c r="C92" s="182"/>
      <c r="D92" s="182"/>
      <c r="E92" s="160" t="s">
        <v>283</v>
      </c>
      <c r="F92" s="112">
        <v>1</v>
      </c>
      <c r="G92" s="226" t="s">
        <v>9</v>
      </c>
      <c r="H92" s="169"/>
      <c r="I92" s="16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62"/>
    </row>
    <row r="93" spans="1:40" ht="15" customHeight="1">
      <c r="A93" s="162"/>
      <c r="B93" s="168"/>
      <c r="C93" s="182"/>
      <c r="D93" s="182"/>
      <c r="E93" s="160" t="s">
        <v>317</v>
      </c>
      <c r="F93" s="112">
        <v>0.5</v>
      </c>
      <c r="G93" s="161" t="s">
        <v>318</v>
      </c>
      <c r="H93" s="169"/>
      <c r="I93" s="16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62"/>
    </row>
    <row r="94" spans="1:40" ht="15" customHeight="1">
      <c r="A94" s="162"/>
      <c r="B94" s="168"/>
      <c r="C94" s="182"/>
      <c r="D94" s="182"/>
      <c r="E94" s="227" t="s">
        <v>287</v>
      </c>
      <c r="F94" s="113" t="s">
        <v>490</v>
      </c>
      <c r="G94" s="225"/>
      <c r="H94" s="169"/>
      <c r="I94" s="16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62"/>
    </row>
    <row r="95" spans="1:40" ht="15" customHeight="1">
      <c r="A95" s="162"/>
      <c r="B95" s="168"/>
      <c r="C95" s="182"/>
      <c r="D95" s="182"/>
      <c r="E95" s="227" t="s">
        <v>288</v>
      </c>
      <c r="F95" s="113">
        <v>1</v>
      </c>
      <c r="G95" s="225"/>
      <c r="H95" s="169"/>
      <c r="I95" s="16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62"/>
    </row>
    <row r="96" spans="1:40" ht="15" customHeight="1">
      <c r="A96" s="162"/>
      <c r="B96" s="168"/>
      <c r="C96" s="182"/>
      <c r="D96" s="182"/>
      <c r="E96" s="175" t="s">
        <v>285</v>
      </c>
      <c r="F96" s="113">
        <v>0.99</v>
      </c>
      <c r="G96" s="203" t="s">
        <v>48</v>
      </c>
      <c r="H96" s="169"/>
      <c r="I96" s="16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62"/>
    </row>
    <row r="97" spans="1:39" ht="15" customHeight="1">
      <c r="A97" s="162"/>
      <c r="B97" s="168"/>
      <c r="C97" s="182"/>
      <c r="D97" s="182"/>
      <c r="E97" s="175" t="s">
        <v>284</v>
      </c>
      <c r="F97" s="113">
        <v>1.1499999999999999</v>
      </c>
      <c r="G97" s="203" t="s">
        <v>48</v>
      </c>
      <c r="H97" s="169"/>
      <c r="I97" s="16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62"/>
    </row>
    <row r="98" spans="1:39" ht="15" customHeight="1">
      <c r="A98" s="162"/>
      <c r="B98" s="168"/>
      <c r="C98" s="182"/>
      <c r="D98" s="182"/>
      <c r="E98" s="175" t="s">
        <v>286</v>
      </c>
      <c r="F98" s="228">
        <f>F96/F97</f>
        <v>0.86086956521739133</v>
      </c>
      <c r="G98" s="203" t="s">
        <v>48</v>
      </c>
      <c r="H98" s="169"/>
      <c r="I98" s="16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62"/>
    </row>
    <row r="99" spans="1:39" ht="15" customHeight="1">
      <c r="A99" s="162"/>
      <c r="B99" s="168"/>
      <c r="C99" s="182"/>
      <c r="D99" s="182"/>
      <c r="E99" s="229" t="s">
        <v>290</v>
      </c>
      <c r="F99" s="114">
        <v>0.8</v>
      </c>
      <c r="G99" s="225"/>
      <c r="H99" s="169"/>
      <c r="I99" s="16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62"/>
    </row>
    <row r="100" spans="1:39" ht="15" customHeight="1">
      <c r="A100" s="162"/>
      <c r="B100" s="168"/>
      <c r="C100" s="182"/>
      <c r="D100" s="182"/>
      <c r="E100" s="229" t="s">
        <v>291</v>
      </c>
      <c r="F100" s="114">
        <v>1.6</v>
      </c>
      <c r="G100" s="225"/>
      <c r="H100" s="169"/>
      <c r="I100" s="16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62"/>
    </row>
    <row r="101" spans="1:39" ht="15" customHeight="1">
      <c r="A101" s="162"/>
      <c r="B101" s="168"/>
      <c r="C101" s="182"/>
      <c r="D101" s="182"/>
      <c r="E101" s="194" t="s">
        <v>147</v>
      </c>
      <c r="F101" s="114">
        <v>50</v>
      </c>
      <c r="G101" s="203" t="s">
        <v>69</v>
      </c>
      <c r="H101" s="169"/>
      <c r="I101" s="16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62"/>
    </row>
    <row r="102" spans="1:39" ht="15" customHeight="1">
      <c r="A102" s="162"/>
      <c r="B102" s="168"/>
      <c r="C102" s="182"/>
      <c r="D102" s="182"/>
      <c r="E102" s="229" t="s">
        <v>292</v>
      </c>
      <c r="F102" s="218">
        <f>TAMB+F97*F100*(IOUTMAX/F95)^2*F101/1000</f>
        <v>76.24799999999999</v>
      </c>
      <c r="G102" s="203" t="s">
        <v>68</v>
      </c>
      <c r="H102" s="169"/>
      <c r="I102" s="16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62"/>
    </row>
    <row r="103" spans="1:39" ht="15" customHeight="1">
      <c r="A103" s="162"/>
      <c r="B103" s="168"/>
      <c r="C103" s="182"/>
      <c r="D103" s="182"/>
      <c r="E103" s="229" t="s">
        <v>293</v>
      </c>
      <c r="F103" s="171">
        <f>F98*F99</f>
        <v>0.68869565217391315</v>
      </c>
      <c r="G103" s="203" t="s">
        <v>48</v>
      </c>
      <c r="H103" s="169"/>
      <c r="I103" s="16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62"/>
    </row>
    <row r="104" spans="1:39" ht="15" customHeight="1">
      <c r="A104" s="162"/>
      <c r="B104" s="168"/>
      <c r="C104" s="182"/>
      <c r="D104" s="182"/>
      <c r="E104" s="229" t="s">
        <v>294</v>
      </c>
      <c r="F104" s="171">
        <f>F97*F100</f>
        <v>1.8399999999999999</v>
      </c>
      <c r="G104" s="203" t="s">
        <v>48</v>
      </c>
      <c r="H104" s="169"/>
      <c r="I104" s="16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62"/>
    </row>
    <row r="105" spans="1:39" ht="15" customHeight="1">
      <c r="A105" s="162"/>
      <c r="B105" s="168"/>
      <c r="C105" s="182"/>
      <c r="D105" s="182"/>
      <c r="E105" s="229" t="s">
        <v>295</v>
      </c>
      <c r="F105" s="230">
        <f>F92*F96/F95</f>
        <v>0.99</v>
      </c>
      <c r="G105" s="203" t="s">
        <v>106</v>
      </c>
      <c r="H105" s="169"/>
      <c r="I105" s="16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62"/>
    </row>
    <row r="106" spans="1:39" ht="15" customHeight="1">
      <c r="A106" s="162"/>
      <c r="B106" s="168"/>
      <c r="C106" s="182"/>
      <c r="D106" s="182"/>
      <c r="E106" s="229" t="s">
        <v>296</v>
      </c>
      <c r="F106" s="228">
        <f>F105/'Device Parmaters'!C59</f>
        <v>10</v>
      </c>
      <c r="G106" s="231" t="s">
        <v>50</v>
      </c>
      <c r="H106" s="169"/>
      <c r="I106" s="16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62"/>
    </row>
    <row r="107" spans="1:39" ht="15" customHeight="1">
      <c r="A107" s="162"/>
      <c r="B107" s="168"/>
      <c r="C107" s="182"/>
      <c r="D107" s="182"/>
      <c r="E107" s="229" t="s">
        <v>297</v>
      </c>
      <c r="F107" s="113">
        <v>10</v>
      </c>
      <c r="G107" s="231" t="s">
        <v>50</v>
      </c>
      <c r="H107" s="169"/>
      <c r="I107" s="16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62"/>
    </row>
    <row r="108" spans="1:39" ht="15" customHeight="1">
      <c r="A108" s="162"/>
      <c r="B108" s="168"/>
      <c r="C108" s="182"/>
      <c r="D108" s="182"/>
      <c r="E108" s="229" t="s">
        <v>311</v>
      </c>
      <c r="F108" s="228">
        <f>F107*'Device Parmaters'!C59*(1-'Device Parmaters'!C57)-'Device Parmaters'!C56</f>
        <v>-6.9400000000000017E-2</v>
      </c>
      <c r="G108" s="226" t="s">
        <v>106</v>
      </c>
      <c r="H108" s="169"/>
      <c r="I108" s="16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62"/>
    </row>
    <row r="109" spans="1:39" ht="15" customHeight="1">
      <c r="A109" s="162"/>
      <c r="B109" s="168"/>
      <c r="C109" s="182"/>
      <c r="D109" s="182"/>
      <c r="E109" s="229" t="s">
        <v>312</v>
      </c>
      <c r="F109" s="228">
        <f>F107*'Device Parmaters'!C59</f>
        <v>0.99</v>
      </c>
      <c r="G109" s="226" t="s">
        <v>106</v>
      </c>
      <c r="H109" s="169"/>
      <c r="I109" s="16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62"/>
    </row>
    <row r="110" spans="1:39" ht="15" customHeight="1">
      <c r="A110" s="162"/>
      <c r="B110" s="168"/>
      <c r="C110" s="182"/>
      <c r="D110" s="182"/>
      <c r="E110" s="229" t="s">
        <v>313</v>
      </c>
      <c r="F110" s="228">
        <f>F107*'Device Parmaters'!C59*(1+'Device Parmaters'!C57)+'Device Parmaters'!C56</f>
        <v>2.0494000000000003</v>
      </c>
      <c r="G110" s="226" t="s">
        <v>106</v>
      </c>
      <c r="H110" s="169"/>
      <c r="I110" s="16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c r="AK110" s="159"/>
      <c r="AL110" s="159"/>
      <c r="AM110" s="162"/>
    </row>
    <row r="111" spans="1:39" ht="15" customHeight="1">
      <c r="A111" s="162"/>
      <c r="B111" s="168"/>
      <c r="C111" s="182"/>
      <c r="D111" s="182"/>
      <c r="E111" s="229" t="s">
        <v>316</v>
      </c>
      <c r="F111" s="228">
        <f>F108/F104*F95</f>
        <v>-3.7717391304347841E-2</v>
      </c>
      <c r="G111" s="226" t="s">
        <v>9</v>
      </c>
      <c r="H111" s="169"/>
      <c r="I111" s="16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c r="AL111" s="159"/>
      <c r="AM111" s="162"/>
    </row>
    <row r="112" spans="1:39" ht="15" customHeight="1">
      <c r="A112" s="162"/>
      <c r="B112" s="168"/>
      <c r="C112" s="182"/>
      <c r="D112" s="182"/>
      <c r="E112" s="229" t="s">
        <v>314</v>
      </c>
      <c r="F112" s="228">
        <f>F109/F96*F95</f>
        <v>1</v>
      </c>
      <c r="G112" s="226" t="s">
        <v>9</v>
      </c>
      <c r="H112" s="169"/>
      <c r="I112" s="16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62"/>
    </row>
    <row r="113" spans="1:39" ht="15" customHeight="1">
      <c r="A113" s="162"/>
      <c r="B113" s="168"/>
      <c r="C113" s="182"/>
      <c r="D113" s="182"/>
      <c r="E113" s="229" t="s">
        <v>315</v>
      </c>
      <c r="F113" s="228">
        <f>F110/F98*F95</f>
        <v>2.3806161616161621</v>
      </c>
      <c r="G113" s="184" t="s">
        <v>9</v>
      </c>
      <c r="H113" s="172"/>
      <c r="I113" s="16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62"/>
    </row>
    <row r="114" spans="1:39" ht="15" customHeight="1">
      <c r="A114" s="162"/>
      <c r="B114" s="168"/>
      <c r="C114" s="182"/>
      <c r="D114" s="182"/>
      <c r="E114" s="229" t="s">
        <v>364</v>
      </c>
      <c r="F114" s="176">
        <f>F93/F107*1000</f>
        <v>50</v>
      </c>
      <c r="G114" s="184" t="s">
        <v>62</v>
      </c>
      <c r="H114" s="172"/>
      <c r="I114" s="16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62"/>
    </row>
    <row r="115" spans="1:39" ht="15" customHeight="1">
      <c r="A115" s="162"/>
      <c r="B115" s="168"/>
      <c r="C115" s="182"/>
      <c r="D115" s="182"/>
      <c r="E115" s="229" t="s">
        <v>365</v>
      </c>
      <c r="F115" s="113">
        <v>33</v>
      </c>
      <c r="G115" s="232" t="s">
        <v>62</v>
      </c>
      <c r="H115" s="172"/>
      <c r="I115" s="16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62"/>
    </row>
    <row r="116" spans="1:39" ht="15" customHeight="1">
      <c r="A116" s="162"/>
      <c r="B116" s="168"/>
      <c r="C116" s="182"/>
      <c r="D116" s="182"/>
      <c r="E116" s="229" t="s">
        <v>366</v>
      </c>
      <c r="F116" s="176">
        <f>F115*F107/1000</f>
        <v>0.33</v>
      </c>
      <c r="G116" s="161" t="s">
        <v>318</v>
      </c>
      <c r="H116" s="172"/>
      <c r="I116" s="16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62"/>
    </row>
    <row r="117" spans="1:39" ht="15" customHeight="1" thickBot="1">
      <c r="A117" s="162"/>
      <c r="B117" s="222"/>
      <c r="C117" s="223"/>
      <c r="D117" s="223"/>
      <c r="E117" s="223"/>
      <c r="F117" s="223"/>
      <c r="G117" s="224"/>
      <c r="H117" s="211"/>
      <c r="I117" s="211"/>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92"/>
    </row>
    <row r="118" spans="1:39" ht="15" customHeight="1">
      <c r="A118" s="159"/>
      <c r="B118" s="153" t="s">
        <v>143</v>
      </c>
      <c r="C118" s="154"/>
      <c r="D118" s="154"/>
      <c r="E118" s="233"/>
      <c r="F118" s="233"/>
      <c r="G118" s="23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7"/>
    </row>
    <row r="119" spans="1:39" ht="15" customHeight="1">
      <c r="A119" s="159"/>
      <c r="B119" s="168"/>
      <c r="C119" s="159"/>
      <c r="D119" s="159"/>
      <c r="E119" s="235" t="s">
        <v>336</v>
      </c>
      <c r="F119" s="236" t="s">
        <v>338</v>
      </c>
      <c r="G119" s="237" t="s">
        <v>337</v>
      </c>
      <c r="H119" s="237" t="s">
        <v>410</v>
      </c>
      <c r="I119" s="238"/>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239"/>
    </row>
    <row r="120" spans="1:39" ht="15" customHeight="1">
      <c r="A120" s="143"/>
      <c r="B120" s="158"/>
      <c r="C120" s="159"/>
      <c r="D120" s="159"/>
      <c r="E120" s="240" t="s">
        <v>341</v>
      </c>
      <c r="F120" s="241" t="str">
        <f>F41</f>
        <v>CSD16415</v>
      </c>
      <c r="G120" s="242"/>
      <c r="H120" s="248" t="s">
        <v>444</v>
      </c>
      <c r="I120" s="254" t="s">
        <v>388</v>
      </c>
      <c r="J120" s="182"/>
      <c r="K120" s="182"/>
      <c r="L120" s="182"/>
      <c r="M120" s="182"/>
      <c r="N120" s="243"/>
      <c r="O120" s="243"/>
      <c r="P120" s="243"/>
      <c r="Q120" s="243"/>
      <c r="R120" s="243"/>
      <c r="S120" s="243"/>
      <c r="T120" s="243"/>
      <c r="U120" s="243"/>
      <c r="V120" s="243"/>
      <c r="W120" s="243"/>
      <c r="X120" s="243"/>
      <c r="Y120" s="243"/>
      <c r="Z120" s="243"/>
      <c r="AA120" s="243"/>
      <c r="AB120" s="243"/>
      <c r="AC120" s="243"/>
      <c r="AD120" s="243"/>
      <c r="AE120" s="243"/>
      <c r="AF120" s="243"/>
      <c r="AG120" s="243"/>
      <c r="AH120" s="243"/>
      <c r="AI120" s="243"/>
      <c r="AJ120" s="243"/>
      <c r="AK120" s="243"/>
      <c r="AL120" s="243"/>
      <c r="AM120" s="244"/>
    </row>
    <row r="121" spans="1:39" ht="15" customHeight="1">
      <c r="A121" s="143"/>
      <c r="B121" s="163"/>
      <c r="C121" s="159"/>
      <c r="D121" s="159"/>
      <c r="E121" s="245" t="s">
        <v>342</v>
      </c>
      <c r="F121" s="241">
        <f>NUMFETS</f>
        <v>1</v>
      </c>
      <c r="G121" s="242"/>
      <c r="H121" s="248" t="s">
        <v>444</v>
      </c>
      <c r="I121" s="254" t="s">
        <v>388</v>
      </c>
      <c r="J121" s="182"/>
      <c r="K121" s="182"/>
      <c r="L121" s="182"/>
      <c r="M121" s="182"/>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246"/>
    </row>
    <row r="122" spans="1:39" ht="15" customHeight="1">
      <c r="A122" s="143"/>
      <c r="B122" s="163"/>
      <c r="C122" s="159"/>
      <c r="D122" s="159"/>
      <c r="E122" s="245" t="s">
        <v>343</v>
      </c>
      <c r="F122" s="241" t="str">
        <f>F94</f>
        <v>CSD16415</v>
      </c>
      <c r="G122" s="247"/>
      <c r="H122" s="248" t="s">
        <v>444</v>
      </c>
      <c r="I122" s="254" t="s">
        <v>388</v>
      </c>
      <c r="J122" s="182"/>
      <c r="K122" s="182"/>
      <c r="L122" s="182"/>
      <c r="M122" s="182"/>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c r="AL122" s="159"/>
      <c r="AM122" s="246"/>
    </row>
    <row r="123" spans="1:39" ht="15" customHeight="1">
      <c r="A123" s="143"/>
      <c r="B123" s="163"/>
      <c r="C123" s="159"/>
      <c r="D123" s="159"/>
      <c r="E123" s="245" t="s">
        <v>344</v>
      </c>
      <c r="F123" s="241">
        <f>F95</f>
        <v>1</v>
      </c>
      <c r="G123" s="247"/>
      <c r="H123" s="247" t="s">
        <v>444</v>
      </c>
      <c r="I123" s="254" t="s">
        <v>388</v>
      </c>
      <c r="J123" s="182"/>
      <c r="K123" s="182"/>
      <c r="L123" s="182"/>
      <c r="M123" s="182"/>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246"/>
    </row>
    <row r="124" spans="1:39" ht="15" customHeight="1">
      <c r="A124" s="143"/>
      <c r="B124" s="163"/>
      <c r="C124" s="159"/>
      <c r="D124" s="159"/>
      <c r="E124" s="240" t="s">
        <v>340</v>
      </c>
      <c r="F124" s="202">
        <f>Rs</f>
        <v>1</v>
      </c>
      <c r="G124" s="248" t="s">
        <v>48</v>
      </c>
      <c r="H124" s="113">
        <v>1</v>
      </c>
      <c r="I124" s="254" t="s">
        <v>388</v>
      </c>
      <c r="J124" s="182"/>
      <c r="K124" s="182"/>
      <c r="L124" s="182"/>
      <c r="M124" s="182"/>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246"/>
    </row>
    <row r="125" spans="1:39" ht="15" customHeight="1">
      <c r="A125" s="143"/>
      <c r="B125" s="163"/>
      <c r="C125" s="159"/>
      <c r="D125" s="159"/>
      <c r="E125" s="245" t="s">
        <v>347</v>
      </c>
      <c r="F125" s="249">
        <f>F107</f>
        <v>10</v>
      </c>
      <c r="G125" s="242" t="s">
        <v>50</v>
      </c>
      <c r="H125" s="113">
        <v>1</v>
      </c>
      <c r="I125" s="254" t="s">
        <v>388</v>
      </c>
      <c r="J125" s="182"/>
      <c r="K125" s="182"/>
      <c r="L125" s="182"/>
      <c r="M125" s="182"/>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c r="AL125" s="159"/>
      <c r="AM125" s="246"/>
    </row>
    <row r="126" spans="1:39" ht="15" customHeight="1" thickBot="1">
      <c r="A126" s="143"/>
      <c r="B126" s="163"/>
      <c r="C126" s="159"/>
      <c r="D126" s="159"/>
      <c r="E126" s="245" t="s">
        <v>349</v>
      </c>
      <c r="F126" s="249">
        <f>F31</f>
        <v>249</v>
      </c>
      <c r="G126" s="242" t="s">
        <v>50</v>
      </c>
      <c r="H126" s="113">
        <v>1</v>
      </c>
      <c r="I126" s="254" t="s">
        <v>388</v>
      </c>
      <c r="J126" s="182"/>
      <c r="K126" s="182"/>
      <c r="L126" s="182"/>
      <c r="M126" s="182"/>
      <c r="N126" s="187"/>
      <c r="O126" s="187"/>
      <c r="P126" s="187"/>
      <c r="Q126" s="187"/>
      <c r="R126" s="187"/>
      <c r="S126" s="187"/>
      <c r="T126" s="187"/>
      <c r="U126" s="187"/>
      <c r="V126" s="187"/>
      <c r="W126" s="187"/>
      <c r="X126" s="187"/>
      <c r="Y126" s="187"/>
      <c r="Z126" s="187"/>
      <c r="AA126" s="187"/>
      <c r="AB126" s="187"/>
      <c r="AC126" s="187"/>
      <c r="AD126" s="187"/>
      <c r="AE126" s="187"/>
      <c r="AF126" s="187"/>
      <c r="AG126" s="187"/>
      <c r="AH126" s="187"/>
      <c r="AI126" s="187"/>
      <c r="AJ126" s="187"/>
      <c r="AK126" s="187"/>
      <c r="AL126" s="187"/>
      <c r="AM126" s="246"/>
    </row>
    <row r="127" spans="1:39" ht="15" customHeight="1">
      <c r="A127" s="143"/>
      <c r="B127" s="163"/>
      <c r="C127" s="159"/>
      <c r="D127" s="159"/>
      <c r="E127" s="245" t="s">
        <v>348</v>
      </c>
      <c r="F127" s="249">
        <f>F27</f>
        <v>80.599999999999994</v>
      </c>
      <c r="G127" s="242" t="s">
        <v>50</v>
      </c>
      <c r="H127" s="113">
        <v>0.1</v>
      </c>
      <c r="I127" s="254" t="s">
        <v>388</v>
      </c>
      <c r="J127" s="182"/>
      <c r="K127" s="182"/>
      <c r="L127" s="182"/>
      <c r="M127" s="182"/>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c r="AK127" s="159"/>
      <c r="AL127" s="159"/>
      <c r="AM127" s="246"/>
    </row>
    <row r="128" spans="1:39" ht="18.75" customHeight="1">
      <c r="A128" s="159"/>
      <c r="B128" s="168"/>
      <c r="C128" s="182"/>
      <c r="D128" s="182"/>
      <c r="E128" s="245" t="s">
        <v>350</v>
      </c>
      <c r="F128" s="250">
        <f>RDIV1</f>
        <v>2740</v>
      </c>
      <c r="G128" s="242" t="s">
        <v>50</v>
      </c>
      <c r="H128" s="113">
        <v>0.1</v>
      </c>
      <c r="I128" s="254" t="s">
        <v>388</v>
      </c>
      <c r="J128" s="182"/>
      <c r="K128" s="182"/>
      <c r="L128" s="182"/>
      <c r="M128" s="182"/>
      <c r="N128" s="182"/>
      <c r="O128" s="182"/>
      <c r="P128" s="182"/>
      <c r="Q128" s="182"/>
      <c r="R128" s="182"/>
      <c r="S128" s="182"/>
      <c r="T128" s="182"/>
      <c r="U128" s="182"/>
      <c r="V128" s="182"/>
      <c r="W128" s="182"/>
      <c r="X128" s="182"/>
      <c r="Y128" s="182"/>
      <c r="Z128" s="182"/>
      <c r="AA128" s="182"/>
      <c r="AB128" s="182"/>
      <c r="AC128" s="182"/>
      <c r="AD128" s="182"/>
      <c r="AE128" s="182"/>
      <c r="AF128" s="182"/>
      <c r="AG128" s="182"/>
      <c r="AH128" s="182"/>
      <c r="AI128" s="182"/>
      <c r="AJ128" s="182"/>
      <c r="AK128" s="182"/>
      <c r="AL128" s="182"/>
      <c r="AM128" s="239"/>
    </row>
    <row r="129" spans="1:39" ht="15" customHeight="1">
      <c r="A129" s="159"/>
      <c r="B129" s="168"/>
      <c r="C129" s="182"/>
      <c r="D129" s="182"/>
      <c r="E129" s="245" t="s">
        <v>320</v>
      </c>
      <c r="F129" s="202">
        <f>RPROG</f>
        <v>24</v>
      </c>
      <c r="G129" s="247" t="s">
        <v>47</v>
      </c>
      <c r="H129" s="113">
        <v>1</v>
      </c>
      <c r="I129" s="254" t="s">
        <v>388</v>
      </c>
      <c r="J129" s="182"/>
      <c r="K129" s="182"/>
      <c r="L129" s="182"/>
      <c r="M129" s="182"/>
      <c r="N129" s="182"/>
      <c r="O129" s="182"/>
      <c r="P129" s="182"/>
      <c r="Q129" s="182"/>
      <c r="R129" s="182"/>
      <c r="S129" s="182"/>
      <c r="T129" s="182"/>
      <c r="U129" s="182"/>
      <c r="V129" s="182"/>
      <c r="W129" s="182"/>
      <c r="X129" s="182"/>
      <c r="Y129" s="182"/>
      <c r="Z129" s="182"/>
      <c r="AA129" s="182"/>
      <c r="AB129" s="182"/>
      <c r="AC129" s="182"/>
      <c r="AD129" s="182"/>
      <c r="AE129" s="182"/>
      <c r="AF129" s="182"/>
      <c r="AG129" s="182"/>
      <c r="AH129" s="182"/>
      <c r="AI129" s="182"/>
      <c r="AJ129" s="182"/>
      <c r="AK129" s="182"/>
      <c r="AL129" s="182"/>
      <c r="AM129" s="239"/>
    </row>
    <row r="130" spans="1:39" ht="14.25" customHeight="1">
      <c r="A130" s="159"/>
      <c r="B130" s="168"/>
      <c r="C130" s="182"/>
      <c r="D130" s="182"/>
      <c r="E130" s="245" t="s">
        <v>352</v>
      </c>
      <c r="F130" s="251">
        <f>F76</f>
        <v>49.9</v>
      </c>
      <c r="G130" s="247" t="s">
        <v>47</v>
      </c>
      <c r="H130" s="113">
        <v>1</v>
      </c>
      <c r="I130" s="254" t="s">
        <v>388</v>
      </c>
      <c r="J130" s="182"/>
      <c r="K130" s="182"/>
      <c r="L130" s="182"/>
      <c r="M130" s="182"/>
      <c r="N130" s="182"/>
      <c r="O130" s="182"/>
      <c r="P130" s="182"/>
      <c r="Q130" s="182"/>
      <c r="R130" s="182"/>
      <c r="S130" s="182"/>
      <c r="T130" s="182"/>
      <c r="U130" s="182"/>
      <c r="V130" s="182"/>
      <c r="W130" s="182"/>
      <c r="X130" s="182"/>
      <c r="Y130" s="182"/>
      <c r="Z130" s="182"/>
      <c r="AA130" s="182"/>
      <c r="AB130" s="182"/>
      <c r="AC130" s="182"/>
      <c r="AD130" s="182"/>
      <c r="AE130" s="182"/>
      <c r="AF130" s="182"/>
      <c r="AG130" s="182"/>
      <c r="AH130" s="182"/>
      <c r="AI130" s="182"/>
      <c r="AJ130" s="182"/>
      <c r="AK130" s="182"/>
      <c r="AL130" s="182"/>
      <c r="AM130" s="239"/>
    </row>
    <row r="131" spans="1:39" ht="15" customHeight="1">
      <c r="A131" s="159"/>
      <c r="B131" s="168"/>
      <c r="C131" s="182"/>
      <c r="D131" s="182"/>
      <c r="E131" s="245" t="s">
        <v>353</v>
      </c>
      <c r="F131" s="176">
        <f>F79</f>
        <v>2.21</v>
      </c>
      <c r="G131" s="247" t="s">
        <v>47</v>
      </c>
      <c r="H131" s="113">
        <v>1</v>
      </c>
      <c r="I131" s="254" t="s">
        <v>388</v>
      </c>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c r="AG131" s="182"/>
      <c r="AH131" s="182"/>
      <c r="AI131" s="182"/>
      <c r="AJ131" s="182"/>
      <c r="AK131" s="182"/>
      <c r="AL131" s="182"/>
      <c r="AM131" s="239"/>
    </row>
    <row r="132" spans="1:39" ht="15" customHeight="1">
      <c r="A132" s="159"/>
      <c r="B132" s="168"/>
      <c r="C132" s="182"/>
      <c r="D132" s="182"/>
      <c r="E132" s="245" t="s">
        <v>354</v>
      </c>
      <c r="F132" s="176">
        <f>F80</f>
        <v>5.56</v>
      </c>
      <c r="G132" s="247" t="s">
        <v>47</v>
      </c>
      <c r="H132" s="113">
        <v>1</v>
      </c>
      <c r="I132" s="254" t="s">
        <v>388</v>
      </c>
      <c r="J132" s="252"/>
      <c r="K132" s="221"/>
      <c r="L132" s="221"/>
      <c r="M132" s="221"/>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246"/>
    </row>
    <row r="133" spans="1:39" ht="15" customHeight="1">
      <c r="A133" s="159"/>
      <c r="B133" s="168"/>
      <c r="C133" s="182"/>
      <c r="D133" s="182"/>
      <c r="E133" s="245" t="str">
        <f>IF(F64="single", "Ctmr", "Cinr")</f>
        <v>Cinr</v>
      </c>
      <c r="F133" s="176">
        <f>F67</f>
        <v>22</v>
      </c>
      <c r="G133" s="253" t="s">
        <v>62</v>
      </c>
      <c r="H133" s="113">
        <v>10</v>
      </c>
      <c r="I133" s="254" t="s">
        <v>388</v>
      </c>
      <c r="J133" s="252"/>
      <c r="K133" s="221"/>
      <c r="L133" s="221"/>
      <c r="M133" s="221"/>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c r="AL133" s="159"/>
      <c r="AM133" s="246"/>
    </row>
    <row r="134" spans="1:39" ht="15" customHeight="1">
      <c r="A134" s="159"/>
      <c r="B134" s="163"/>
      <c r="C134" s="159"/>
      <c r="D134" s="159"/>
      <c r="E134" s="245" t="s">
        <v>351</v>
      </c>
      <c r="F134" s="176">
        <f>F72</f>
        <v>10</v>
      </c>
      <c r="G134" s="253" t="s">
        <v>62</v>
      </c>
      <c r="H134" s="253">
        <v>10</v>
      </c>
      <c r="I134" s="254" t="s">
        <v>388</v>
      </c>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c r="AL134" s="159"/>
      <c r="AM134" s="162"/>
    </row>
    <row r="135" spans="1:39" ht="15" customHeight="1">
      <c r="A135" s="159"/>
      <c r="B135" s="319"/>
      <c r="C135" s="320"/>
      <c r="D135" s="320"/>
      <c r="E135" s="245" t="s">
        <v>346</v>
      </c>
      <c r="F135" s="176">
        <v>0.1</v>
      </c>
      <c r="G135" s="248" t="s">
        <v>46</v>
      </c>
      <c r="H135" s="248" t="s">
        <v>444</v>
      </c>
      <c r="I135" s="254" t="s">
        <v>388</v>
      </c>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159"/>
      <c r="AM135" s="162"/>
    </row>
    <row r="136" spans="1:39" ht="15" customHeight="1">
      <c r="A136" s="159"/>
      <c r="B136" s="168"/>
      <c r="C136" s="182"/>
      <c r="D136" s="159"/>
      <c r="E136" s="245" t="s">
        <v>345</v>
      </c>
      <c r="F136" s="176">
        <v>0.1</v>
      </c>
      <c r="G136" s="248" t="s">
        <v>46</v>
      </c>
      <c r="H136" s="248" t="s">
        <v>444</v>
      </c>
      <c r="I136" s="254" t="s">
        <v>388</v>
      </c>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62"/>
    </row>
    <row r="137" spans="1:39" ht="15" customHeight="1">
      <c r="A137" s="159"/>
      <c r="B137" s="168"/>
      <c r="C137" s="182"/>
      <c r="D137" s="159"/>
      <c r="E137" s="245" t="s">
        <v>469</v>
      </c>
      <c r="F137" s="176">
        <v>10</v>
      </c>
      <c r="G137" s="242" t="s">
        <v>50</v>
      </c>
      <c r="H137" s="248" t="s">
        <v>444</v>
      </c>
      <c r="I137" s="254"/>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c r="AM137" s="162"/>
    </row>
    <row r="138" spans="1:39" ht="15" customHeight="1">
      <c r="A138" s="159"/>
      <c r="B138" s="168"/>
      <c r="C138" s="182"/>
      <c r="D138" s="159"/>
      <c r="E138" s="245" t="s">
        <v>470</v>
      </c>
      <c r="F138" s="251">
        <f>F87</f>
        <v>0.3182357353530807</v>
      </c>
      <c r="G138" s="253" t="s">
        <v>62</v>
      </c>
      <c r="H138" s="248" t="s">
        <v>444</v>
      </c>
      <c r="I138" s="254"/>
      <c r="J138" s="159"/>
      <c r="K138" s="159"/>
      <c r="L138" s="159"/>
      <c r="M138" s="159"/>
      <c r="N138" s="159"/>
      <c r="O138" s="159"/>
      <c r="P138" s="159"/>
      <c r="Q138" s="159"/>
      <c r="R138" s="159"/>
      <c r="S138" s="159"/>
      <c r="T138" s="159"/>
      <c r="U138" s="159"/>
      <c r="V138" s="159"/>
      <c r="W138" s="159"/>
      <c r="X138" s="159"/>
      <c r="Y138" s="159"/>
      <c r="Z138" s="159"/>
      <c r="AA138" s="159"/>
      <c r="AB138" s="159"/>
      <c r="AC138" s="159"/>
      <c r="AD138" s="159"/>
      <c r="AE138" s="159"/>
      <c r="AF138" s="159"/>
      <c r="AG138" s="159"/>
      <c r="AH138" s="159"/>
      <c r="AI138" s="159"/>
      <c r="AJ138" s="159"/>
      <c r="AK138" s="159"/>
      <c r="AL138" s="159"/>
      <c r="AM138" s="162"/>
    </row>
    <row r="139" spans="1:39" ht="15" customHeight="1">
      <c r="A139" s="159"/>
      <c r="B139" s="168"/>
      <c r="F139" s="206"/>
      <c r="G139" s="254"/>
      <c r="H139" s="254"/>
      <c r="I139" s="254"/>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c r="AG139" s="159"/>
      <c r="AH139" s="159"/>
      <c r="AI139" s="159"/>
      <c r="AJ139" s="159"/>
      <c r="AK139" s="159"/>
      <c r="AL139" s="159"/>
      <c r="AM139" s="162"/>
    </row>
    <row r="140" spans="1:39" ht="20.399999999999999" customHeight="1">
      <c r="A140" s="159"/>
      <c r="B140" s="168"/>
      <c r="C140" s="182"/>
      <c r="D140" s="284" t="s">
        <v>445</v>
      </c>
      <c r="E140" s="286" t="s">
        <v>86</v>
      </c>
      <c r="G140" s="221"/>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62"/>
    </row>
    <row r="141" spans="1:39" ht="15" customHeight="1">
      <c r="A141" s="143"/>
      <c r="B141" s="168"/>
      <c r="C141" s="236" t="s">
        <v>339</v>
      </c>
      <c r="D141" s="291" t="s">
        <v>34</v>
      </c>
      <c r="E141" s="236" t="s">
        <v>35</v>
      </c>
      <c r="F141" s="291" t="s">
        <v>36</v>
      </c>
      <c r="G141" s="236" t="s">
        <v>98</v>
      </c>
      <c r="H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162"/>
    </row>
    <row r="142" spans="1:39" ht="15" customHeight="1">
      <c r="A142" s="143"/>
      <c r="B142" s="163"/>
      <c r="C142" s="248" t="s">
        <v>144</v>
      </c>
      <c r="D142" s="260">
        <f>IF($E$140="RMS", RMS_Analysis!E90, WorstCaseAnalysis!E89)</f>
        <v>19.269542362730018</v>
      </c>
      <c r="E142" s="180">
        <f>F33</f>
        <v>19.855839416058391</v>
      </c>
      <c r="F142" s="260">
        <f>IF($E$140="RMS", RMS_Analysis!G90, WorstCaseAnalysis!G89)</f>
        <v>20.44213646938676</v>
      </c>
      <c r="G142" s="248" t="s">
        <v>9</v>
      </c>
      <c r="H142" s="159"/>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239"/>
    </row>
    <row r="143" spans="1:39" ht="15" customHeight="1">
      <c r="A143" s="143"/>
      <c r="B143" s="163"/>
      <c r="C143" s="248" t="s">
        <v>272</v>
      </c>
      <c r="D143" s="260">
        <f>IF($E$140="RMS", RMS_Analysis!E91, WorstCaseAnalysis!E90)</f>
        <v>22.716250000000002</v>
      </c>
      <c r="E143" s="260">
        <f>F35</f>
        <v>24.900000000000002</v>
      </c>
      <c r="F143" s="260">
        <f>IF($E$140="RMS", RMS_Analysis!G91, WorstCaseAnalysis!G90)</f>
        <v>27.083750000000002</v>
      </c>
      <c r="G143" s="248" t="s">
        <v>9</v>
      </c>
      <c r="H143" s="159"/>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182"/>
      <c r="AG143" s="182"/>
      <c r="AH143" s="182"/>
      <c r="AI143" s="182"/>
      <c r="AJ143" s="182"/>
      <c r="AK143" s="182"/>
      <c r="AL143" s="182"/>
      <c r="AM143" s="239"/>
    </row>
    <row r="144" spans="1:39" ht="15" customHeight="1">
      <c r="A144" s="143"/>
      <c r="B144" s="261"/>
      <c r="C144" s="290" t="s">
        <v>357</v>
      </c>
      <c r="D144" s="260" t="str">
        <f>IF($E$140="RMS", RMS_Analysis!E92, WorstCaseAnalysis!E91)</f>
        <v>NA</v>
      </c>
      <c r="E144" s="260">
        <f>F40</f>
        <v>0.498</v>
      </c>
      <c r="F144" s="260" t="str">
        <f>IF($E$140="RMS", RMS_Analysis!G92, WorstCaseAnalysis!G91)</f>
        <v>NA</v>
      </c>
      <c r="G144" s="248" t="s">
        <v>318</v>
      </c>
      <c r="H144" s="159"/>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c r="AG144" s="182"/>
      <c r="AH144" s="182"/>
      <c r="AI144" s="182"/>
      <c r="AJ144" s="182"/>
      <c r="AK144" s="182"/>
      <c r="AL144" s="182"/>
      <c r="AM144" s="239"/>
    </row>
    <row r="145" spans="1:40" ht="15" customHeight="1">
      <c r="A145" s="143"/>
      <c r="B145" s="163"/>
      <c r="C145" s="248" t="s">
        <v>105</v>
      </c>
      <c r="D145" s="260">
        <f>IF($E$140="RMS", RMS_Analysis!E93, WorstCaseAnalysis!E92)</f>
        <v>87.655721639371393</v>
      </c>
      <c r="E145" s="180">
        <f>F57</f>
        <v>103.41583029197079</v>
      </c>
      <c r="F145" s="260">
        <f>IF($E$140="RMS", RMS_Analysis!G93, WorstCaseAnalysis!G92)</f>
        <v>119.17593894457019</v>
      </c>
      <c r="G145" s="248" t="s">
        <v>50</v>
      </c>
      <c r="H145" s="159"/>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2"/>
      <c r="AH145" s="182"/>
      <c r="AI145" s="182"/>
      <c r="AJ145" s="182"/>
      <c r="AK145" s="182"/>
      <c r="AL145" s="182"/>
      <c r="AM145" s="239"/>
    </row>
    <row r="146" spans="1:40" ht="15" customHeight="1">
      <c r="A146" s="143"/>
      <c r="B146" s="263"/>
      <c r="C146" s="292" t="s">
        <v>355</v>
      </c>
      <c r="D146" s="260">
        <f>IF($E$140="RMS", RMS_Analysis!E94, WorstCaseAnalysis!E93)</f>
        <v>9.622643828997715</v>
      </c>
      <c r="E146" s="180">
        <f>Equations!F71</f>
        <v>10.019884169884172</v>
      </c>
      <c r="F146" s="260">
        <f>IF($E$140="RMS", RMS_Analysis!G94, WorstCaseAnalysis!G93)</f>
        <v>10.417124510770629</v>
      </c>
      <c r="G146" s="248" t="s">
        <v>49</v>
      </c>
      <c r="H146" s="159"/>
      <c r="J146" s="182"/>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2"/>
      <c r="AL146" s="182"/>
      <c r="AM146" s="239"/>
    </row>
    <row r="147" spans="1:40" ht="15" customHeight="1">
      <c r="A147" s="143"/>
      <c r="B147" s="163"/>
      <c r="C147" s="292" t="s">
        <v>356</v>
      </c>
      <c r="D147" s="260">
        <f>IF($E$140="RMS", RMS_Analysis!E95, WorstCaseAnalysis!E94)</f>
        <v>13.447471681890693</v>
      </c>
      <c r="E147" s="180">
        <f>Equations!F77</f>
        <v>14.002607913669069</v>
      </c>
      <c r="F147" s="260">
        <f>IF($E$140="RMS", RMS_Analysis!G95, WorstCaseAnalysis!G94)</f>
        <v>14.557744145447446</v>
      </c>
      <c r="G147" s="248" t="s">
        <v>49</v>
      </c>
      <c r="H147" s="159"/>
      <c r="J147" s="182"/>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c r="AG147" s="182"/>
      <c r="AH147" s="182"/>
      <c r="AI147" s="182"/>
      <c r="AJ147" s="182"/>
      <c r="AK147" s="182"/>
      <c r="AL147" s="182"/>
      <c r="AM147" s="239"/>
    </row>
    <row r="148" spans="1:40" ht="15" customHeight="1">
      <c r="A148" s="143"/>
      <c r="B148" s="163"/>
      <c r="C148" s="290" t="s">
        <v>362</v>
      </c>
      <c r="D148" s="295" t="s">
        <v>444</v>
      </c>
      <c r="E148" s="260">
        <f>F112</f>
        <v>1</v>
      </c>
      <c r="F148" s="295" t="s">
        <v>444</v>
      </c>
      <c r="G148" s="290" t="s">
        <v>9</v>
      </c>
      <c r="H148" s="159"/>
      <c r="J148" s="182"/>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c r="AG148" s="182"/>
      <c r="AH148" s="182"/>
      <c r="AI148" s="182"/>
      <c r="AJ148" s="182"/>
      <c r="AK148" s="182"/>
      <c r="AL148" s="182"/>
      <c r="AM148" s="239"/>
    </row>
    <row r="149" spans="1:40" ht="15" customHeight="1">
      <c r="A149" s="143"/>
      <c r="B149" s="163"/>
      <c r="C149" s="290" t="s">
        <v>363</v>
      </c>
      <c r="D149" s="260" t="str">
        <f>IF($E$140="RMS", RMS_Analysis!E97, WorstCaseAnalysis!E96)</f>
        <v>NA</v>
      </c>
      <c r="E149" s="260">
        <f>F116</f>
        <v>0.33</v>
      </c>
      <c r="F149" s="260" t="str">
        <f>IF($E$140="RMS", RMS_Analysis!G97, WorstCaseAnalysis!G96)</f>
        <v>NA</v>
      </c>
      <c r="G149" s="248" t="s">
        <v>318</v>
      </c>
      <c r="H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62"/>
    </row>
    <row r="150" spans="1:40" ht="15" customHeight="1">
      <c r="A150" s="143"/>
      <c r="B150" s="163"/>
      <c r="C150" s="248" t="str">
        <f>IF(F64="single", "timer", "inrush timer")</f>
        <v>inrush timer</v>
      </c>
      <c r="D150" s="260">
        <f>IF($E$140="RMS", RMS_Analysis!E98, WorstCaseAnalysis!E97)</f>
        <v>2.1986202336750984</v>
      </c>
      <c r="E150" s="260">
        <f>Tfault</f>
        <v>2.8975609756097565</v>
      </c>
      <c r="F150" s="260">
        <f>IF($E$140="RMS", RMS_Analysis!G98, WorstCaseAnalysis!G97)</f>
        <v>3.5965017175444145</v>
      </c>
      <c r="G150" s="290" t="s">
        <v>8</v>
      </c>
      <c r="H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c r="AG150" s="159"/>
      <c r="AH150" s="159"/>
      <c r="AI150" s="159"/>
      <c r="AJ150" s="159"/>
      <c r="AK150" s="159"/>
      <c r="AL150" s="159"/>
      <c r="AM150" s="162"/>
      <c r="AN150" s="167"/>
    </row>
    <row r="151" spans="1:40" ht="15" customHeight="1">
      <c r="A151" s="159"/>
      <c r="B151" s="168"/>
      <c r="C151" s="248" t="s">
        <v>361</v>
      </c>
      <c r="D151" s="260">
        <f>IF($E$140="RMS", RMS_Analysis!E99, WorstCaseAnalysis!E98)</f>
        <v>0.999372833488681</v>
      </c>
      <c r="E151" s="260">
        <f>F73</f>
        <v>1.3170731707317074</v>
      </c>
      <c r="F151" s="260">
        <f>IF($E$140="RMS", RMS_Analysis!G99, WorstCaseAnalysis!G98)</f>
        <v>1.6347735079747336</v>
      </c>
      <c r="G151" s="290" t="s">
        <v>8</v>
      </c>
      <c r="H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c r="AG151" s="182"/>
      <c r="AH151" s="182"/>
      <c r="AI151" s="182"/>
      <c r="AJ151" s="182"/>
      <c r="AK151" s="182"/>
      <c r="AL151" s="182"/>
      <c r="AM151" s="239"/>
      <c r="AN151" s="167"/>
    </row>
    <row r="152" spans="1:40">
      <c r="A152" s="159"/>
      <c r="B152" s="168"/>
      <c r="C152" s="292" t="s">
        <v>358</v>
      </c>
      <c r="D152" s="290" t="s">
        <v>444</v>
      </c>
      <c r="E152" s="171">
        <f>F128*F124/(F127)</f>
        <v>33.995037220843678</v>
      </c>
      <c r="F152" s="290" t="s">
        <v>444</v>
      </c>
      <c r="G152" s="248" t="s">
        <v>360</v>
      </c>
      <c r="H152" s="182"/>
      <c r="J152" s="182"/>
      <c r="K152" s="182"/>
      <c r="L152" s="182"/>
      <c r="M152" s="182"/>
      <c r="N152" s="182"/>
      <c r="O152" s="182"/>
      <c r="P152" s="182"/>
      <c r="Q152" s="182"/>
      <c r="R152" s="182"/>
      <c r="S152" s="182"/>
      <c r="T152" s="182"/>
      <c r="U152" s="182"/>
      <c r="V152" s="182"/>
      <c r="W152" s="182"/>
      <c r="X152" s="182"/>
      <c r="Y152" s="182"/>
      <c r="Z152" s="182"/>
      <c r="AA152" s="182"/>
      <c r="AB152" s="182"/>
      <c r="AC152" s="182"/>
      <c r="AD152" s="182"/>
      <c r="AE152" s="182"/>
      <c r="AF152" s="182"/>
      <c r="AG152" s="182"/>
      <c r="AH152" s="182"/>
      <c r="AI152" s="182"/>
      <c r="AJ152" s="182"/>
      <c r="AK152" s="182"/>
      <c r="AL152" s="182"/>
      <c r="AM152" s="239"/>
      <c r="AN152" s="167"/>
    </row>
    <row r="153" spans="1:40">
      <c r="A153" s="159"/>
      <c r="B153" s="168"/>
      <c r="C153" s="292" t="s">
        <v>359</v>
      </c>
      <c r="D153" s="290" t="s">
        <v>444</v>
      </c>
      <c r="E153" s="171">
        <f>E152*3</f>
        <v>101.98511166253104</v>
      </c>
      <c r="F153" s="290" t="s">
        <v>444</v>
      </c>
      <c r="G153" s="248" t="s">
        <v>360</v>
      </c>
      <c r="H153" s="182"/>
      <c r="J153" s="182"/>
      <c r="K153" s="182"/>
      <c r="L153" s="182"/>
      <c r="M153" s="182"/>
      <c r="N153" s="182"/>
      <c r="O153" s="182"/>
      <c r="P153" s="182"/>
      <c r="Q153" s="182"/>
      <c r="R153" s="182"/>
      <c r="S153" s="182"/>
      <c r="T153" s="182"/>
      <c r="U153" s="182"/>
      <c r="V153" s="182"/>
      <c r="W153" s="182"/>
      <c r="X153" s="182"/>
      <c r="Y153" s="182"/>
      <c r="Z153" s="182"/>
      <c r="AA153" s="182"/>
      <c r="AB153" s="182"/>
      <c r="AC153" s="182"/>
      <c r="AD153" s="182"/>
      <c r="AE153" s="182"/>
      <c r="AF153" s="182"/>
      <c r="AG153" s="182"/>
      <c r="AH153" s="182"/>
      <c r="AI153" s="182"/>
      <c r="AJ153" s="182"/>
      <c r="AK153" s="182"/>
      <c r="AL153" s="182"/>
      <c r="AM153" s="239"/>
    </row>
    <row r="154" spans="1:40">
      <c r="A154" s="159"/>
      <c r="B154" s="168"/>
      <c r="C154" s="182"/>
      <c r="D154" s="182"/>
      <c r="E154" s="280"/>
      <c r="F154" s="182"/>
      <c r="G154" s="281"/>
      <c r="H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182"/>
      <c r="AE154" s="182"/>
      <c r="AF154" s="182"/>
      <c r="AG154" s="182"/>
      <c r="AH154" s="182"/>
      <c r="AI154" s="182"/>
      <c r="AJ154" s="182"/>
      <c r="AK154" s="182"/>
      <c r="AL154" s="182"/>
      <c r="AM154" s="239"/>
    </row>
    <row r="155" spans="1:40">
      <c r="A155" s="159"/>
      <c r="B155" s="168"/>
      <c r="C155" s="182"/>
      <c r="D155" s="182"/>
      <c r="E155" s="280"/>
      <c r="F155" s="182"/>
      <c r="G155" s="281"/>
      <c r="H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2"/>
      <c r="AK155" s="182"/>
      <c r="AL155" s="182"/>
      <c r="AM155" s="239"/>
    </row>
    <row r="156" spans="1:40">
      <c r="A156" s="159"/>
      <c r="B156" s="168"/>
      <c r="C156" s="182"/>
      <c r="D156" s="283"/>
      <c r="E156" s="299" t="s">
        <v>457</v>
      </c>
      <c r="F156" s="283"/>
      <c r="G156" s="281"/>
      <c r="H156" s="182"/>
      <c r="J156" s="182"/>
      <c r="K156" s="182"/>
      <c r="L156" s="182"/>
      <c r="M156" s="182"/>
      <c r="N156" s="182"/>
      <c r="O156" s="182"/>
      <c r="P156" s="182"/>
      <c r="Q156" s="182"/>
      <c r="R156" s="182"/>
      <c r="S156" s="182"/>
      <c r="T156" s="182"/>
      <c r="U156" s="182"/>
      <c r="V156" s="182"/>
      <c r="W156" s="182"/>
      <c r="X156" s="182"/>
      <c r="Y156" s="182"/>
      <c r="Z156" s="182"/>
      <c r="AA156" s="182"/>
      <c r="AB156" s="182"/>
      <c r="AC156" s="182"/>
      <c r="AD156" s="182"/>
      <c r="AE156" s="182"/>
      <c r="AF156" s="182"/>
      <c r="AG156" s="182"/>
      <c r="AH156" s="182"/>
      <c r="AI156" s="182"/>
      <c r="AJ156" s="182"/>
      <c r="AK156" s="182"/>
      <c r="AL156" s="182"/>
      <c r="AM156" s="239"/>
    </row>
    <row r="157" spans="1:40">
      <c r="A157" s="159"/>
      <c r="B157" s="168"/>
      <c r="C157" s="182"/>
      <c r="D157" s="283"/>
      <c r="E157" s="293" t="s">
        <v>458</v>
      </c>
      <c r="F157" s="287" t="s">
        <v>449</v>
      </c>
      <c r="G157" s="281"/>
      <c r="H157" s="182"/>
      <c r="J157" s="182"/>
      <c r="K157" s="182"/>
      <c r="L157" s="182"/>
      <c r="M157" s="182"/>
      <c r="N157" s="182"/>
      <c r="O157" s="182"/>
      <c r="P157" s="182"/>
      <c r="Q157" s="182"/>
      <c r="R157" s="182"/>
      <c r="S157" s="182"/>
      <c r="T157" s="182"/>
      <c r="U157" s="182"/>
      <c r="V157" s="182"/>
      <c r="W157" s="182"/>
      <c r="X157" s="182"/>
      <c r="Y157" s="182"/>
      <c r="Z157" s="182"/>
      <c r="AA157" s="182"/>
      <c r="AB157" s="182"/>
      <c r="AC157" s="182"/>
      <c r="AD157" s="182"/>
      <c r="AE157" s="182"/>
      <c r="AF157" s="182"/>
      <c r="AG157" s="182"/>
      <c r="AH157" s="182"/>
      <c r="AI157" s="182"/>
      <c r="AJ157" s="182"/>
      <c r="AK157" s="182"/>
      <c r="AL157" s="182"/>
      <c r="AM157" s="239"/>
    </row>
    <row r="158" spans="1:40">
      <c r="A158" s="159"/>
      <c r="B158" s="168"/>
      <c r="C158" s="182"/>
      <c r="D158" s="287" t="s">
        <v>459</v>
      </c>
      <c r="E158" s="294">
        <f>IF($E$140="RMS", RMS_Analysis!E104, WorstCaseAnalysis!E103)</f>
        <v>1.3231392815361403E-2</v>
      </c>
      <c r="F158" s="294">
        <f>IF($E$140="RMS", RMS_Analysis!F104, WorstCaseAnalysis!F103)</f>
        <v>3.9303230094483763E-2</v>
      </c>
      <c r="G158" s="281"/>
      <c r="H158" s="182"/>
      <c r="J158" s="182"/>
      <c r="K158" s="182"/>
      <c r="L158" s="182"/>
      <c r="M158" s="182"/>
      <c r="N158" s="182"/>
      <c r="O158" s="182"/>
      <c r="P158" s="182"/>
      <c r="Q158" s="182"/>
      <c r="R158" s="182"/>
      <c r="S158" s="182"/>
      <c r="T158" s="182"/>
      <c r="U158" s="182"/>
      <c r="V158" s="182"/>
      <c r="W158" s="182"/>
      <c r="X158" s="182"/>
      <c r="Y158" s="182"/>
      <c r="Z158" s="182"/>
      <c r="AA158" s="182"/>
      <c r="AB158" s="182"/>
      <c r="AC158" s="182"/>
      <c r="AD158" s="182"/>
      <c r="AE158" s="182"/>
      <c r="AF158" s="182"/>
      <c r="AG158" s="182"/>
      <c r="AH158" s="182"/>
      <c r="AI158" s="182"/>
      <c r="AJ158" s="182"/>
      <c r="AK158" s="182"/>
      <c r="AL158" s="182"/>
      <c r="AM158" s="239"/>
    </row>
    <row r="159" spans="1:40">
      <c r="A159" s="159"/>
      <c r="B159" s="168"/>
      <c r="C159" s="182"/>
      <c r="D159" s="287" t="s">
        <v>460</v>
      </c>
      <c r="E159" s="294">
        <f>IF($E$140="RMS", RMS_Analysis!E105, WorstCaseAnalysis!E104)</f>
        <v>1.5468267087770205E-2</v>
      </c>
      <c r="F159" s="294">
        <f>IF($E$140="RMS", RMS_Analysis!F105, WorstCaseAnalysis!F104)</f>
        <v>4.5640064644982763E-2</v>
      </c>
      <c r="G159" s="281"/>
      <c r="H159" s="182"/>
      <c r="J159" s="182"/>
      <c r="K159" s="182"/>
      <c r="L159" s="182"/>
      <c r="M159" s="182"/>
      <c r="N159" s="182"/>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182"/>
      <c r="AL159" s="182"/>
      <c r="AM159" s="239"/>
    </row>
    <row r="160" spans="1:40">
      <c r="A160" s="159"/>
      <c r="B160" s="168"/>
      <c r="C160" s="182"/>
      <c r="D160" s="252"/>
      <c r="E160" s="280"/>
      <c r="G160" s="281"/>
      <c r="H160" s="182"/>
      <c r="J160" s="182"/>
      <c r="K160" s="182"/>
      <c r="L160" s="182"/>
      <c r="M160" s="182"/>
      <c r="N160" s="182"/>
      <c r="O160" s="182"/>
      <c r="P160" s="182"/>
      <c r="Q160" s="182"/>
      <c r="R160" s="182"/>
      <c r="S160" s="182"/>
      <c r="T160" s="182"/>
      <c r="U160" s="182"/>
      <c r="V160" s="182"/>
      <c r="W160" s="182"/>
      <c r="X160" s="182"/>
      <c r="Y160" s="182"/>
      <c r="Z160" s="182"/>
      <c r="AA160" s="182"/>
      <c r="AB160" s="182"/>
      <c r="AC160" s="182"/>
      <c r="AD160" s="182"/>
      <c r="AE160" s="182"/>
      <c r="AF160" s="182"/>
      <c r="AG160" s="182"/>
      <c r="AH160" s="182"/>
      <c r="AI160" s="182"/>
      <c r="AJ160" s="182"/>
      <c r="AK160" s="182"/>
      <c r="AL160" s="182"/>
      <c r="AM160" s="239"/>
    </row>
    <row r="161" spans="1:39" ht="13.8" thickBot="1">
      <c r="A161" s="143"/>
      <c r="B161" s="186"/>
      <c r="C161" s="223"/>
      <c r="D161" s="223"/>
      <c r="E161" s="223"/>
      <c r="F161" s="223"/>
      <c r="G161" s="265"/>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c r="AG161" s="187"/>
      <c r="AH161" s="187"/>
      <c r="AI161" s="187"/>
      <c r="AJ161" s="187"/>
      <c r="AK161" s="187"/>
      <c r="AL161" s="187"/>
      <c r="AM161" s="192"/>
    </row>
    <row r="162" spans="1:39">
      <c r="A162" s="143"/>
      <c r="B162" s="159"/>
      <c r="G162" s="150"/>
      <c r="H162" s="159"/>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59"/>
      <c r="AF162" s="159"/>
      <c r="AG162" s="159"/>
      <c r="AH162" s="159"/>
      <c r="AI162" s="159"/>
      <c r="AJ162" s="159"/>
      <c r="AK162" s="159"/>
      <c r="AL162" s="159"/>
      <c r="AM162" s="159"/>
    </row>
    <row r="163" spans="1:39">
      <c r="A163" s="143"/>
      <c r="B163" s="159"/>
      <c r="G163" s="150"/>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159"/>
      <c r="AM163" s="159"/>
    </row>
    <row r="164" spans="1:39">
      <c r="A164" s="143"/>
      <c r="G164" s="145"/>
      <c r="L164" s="159"/>
      <c r="M164" s="159"/>
      <c r="N164" s="159"/>
      <c r="O164" s="159"/>
      <c r="P164" s="159"/>
      <c r="Q164" s="159"/>
      <c r="R164" s="159"/>
      <c r="S164" s="159"/>
      <c r="T164" s="159"/>
      <c r="U164" s="159"/>
      <c r="V164" s="159"/>
      <c r="W164" s="159"/>
      <c r="X164" s="159"/>
      <c r="Y164" s="159"/>
      <c r="Z164" s="159"/>
      <c r="AA164" s="159"/>
      <c r="AB164" s="159"/>
      <c r="AC164" s="159"/>
      <c r="AD164" s="159"/>
      <c r="AE164" s="159"/>
      <c r="AF164" s="159"/>
      <c r="AG164" s="159"/>
      <c r="AH164" s="159"/>
      <c r="AI164" s="159"/>
      <c r="AJ164" s="159"/>
      <c r="AK164" s="159"/>
      <c r="AL164" s="159"/>
      <c r="AM164" s="159"/>
    </row>
    <row r="165" spans="1:39">
      <c r="A165" s="143"/>
      <c r="G165" s="145"/>
      <c r="L165" s="159"/>
      <c r="M165" s="159"/>
      <c r="N165" s="159"/>
      <c r="O165" s="159"/>
      <c r="P165" s="159"/>
      <c r="Q165" s="159"/>
      <c r="R165" s="159"/>
      <c r="S165" s="159"/>
      <c r="T165" s="159"/>
      <c r="U165" s="159"/>
      <c r="V165" s="159"/>
      <c r="W165" s="159"/>
      <c r="X165" s="159"/>
      <c r="Y165" s="159"/>
      <c r="Z165" s="159"/>
      <c r="AA165" s="159"/>
      <c r="AB165" s="159"/>
      <c r="AC165" s="159"/>
      <c r="AD165" s="159"/>
      <c r="AE165" s="159"/>
      <c r="AF165" s="159"/>
      <c r="AG165" s="159"/>
      <c r="AH165" s="159"/>
      <c r="AI165" s="159"/>
      <c r="AJ165" s="159"/>
      <c r="AK165" s="159"/>
      <c r="AL165" s="159"/>
      <c r="AM165" s="159"/>
    </row>
    <row r="166" spans="1:39">
      <c r="A166" s="143"/>
      <c r="G166" s="145"/>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c r="AG166" s="159"/>
      <c r="AH166" s="159"/>
      <c r="AI166" s="159"/>
      <c r="AJ166" s="159"/>
      <c r="AK166" s="159"/>
      <c r="AL166" s="159"/>
      <c r="AM166" s="159"/>
    </row>
    <row r="167" spans="1:39">
      <c r="A167" s="143"/>
      <c r="G167" s="145"/>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59"/>
    </row>
    <row r="168" spans="1:39">
      <c r="A168" s="143"/>
      <c r="G168" s="145"/>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59"/>
    </row>
    <row r="169" spans="1:39">
      <c r="A169" s="143"/>
      <c r="G169" s="145"/>
      <c r="L169" s="266"/>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59"/>
    </row>
    <row r="170" spans="1:39">
      <c r="A170" s="143"/>
      <c r="G170" s="145"/>
      <c r="L170" s="266"/>
      <c r="M170" s="143"/>
      <c r="N170" s="143"/>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c r="AL170" s="143"/>
      <c r="AM170" s="143"/>
    </row>
    <row r="171" spans="1:39">
      <c r="A171" s="143"/>
      <c r="G171" s="145"/>
      <c r="J171" s="167"/>
      <c r="L171" s="266"/>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c r="AL171" s="143"/>
      <c r="AM171" s="143"/>
    </row>
    <row r="172" spans="1:39">
      <c r="A172" s="143"/>
      <c r="G172" s="145"/>
      <c r="L172" s="266"/>
      <c r="M172" s="143"/>
      <c r="N172" s="143"/>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3"/>
      <c r="AK172" s="143"/>
      <c r="AL172" s="143"/>
      <c r="AM172" s="143"/>
    </row>
    <row r="173" spans="1:39">
      <c r="A173" s="143"/>
      <c r="G173" s="145"/>
      <c r="L173" s="266"/>
      <c r="M173" s="143"/>
      <c r="N173" s="143"/>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3"/>
      <c r="AK173" s="143"/>
      <c r="AL173" s="143"/>
      <c r="AM173" s="143"/>
    </row>
    <row r="174" spans="1:39">
      <c r="A174" s="143"/>
      <c r="G174" s="145"/>
      <c r="L174" s="266"/>
      <c r="M174" s="143"/>
      <c r="N174" s="143"/>
      <c r="O174" s="143"/>
      <c r="P174" s="143"/>
      <c r="Q174" s="143"/>
      <c r="R174" s="143"/>
      <c r="S174" s="143"/>
      <c r="T174" s="143"/>
      <c r="U174" s="143"/>
      <c r="V174" s="143"/>
      <c r="W174" s="143"/>
      <c r="X174" s="143"/>
      <c r="Y174" s="143"/>
      <c r="Z174" s="143"/>
      <c r="AA174" s="143"/>
      <c r="AB174" s="143"/>
      <c r="AC174" s="143"/>
      <c r="AD174" s="143"/>
      <c r="AE174" s="143"/>
      <c r="AF174" s="143"/>
      <c r="AG174" s="143"/>
      <c r="AH174" s="143"/>
      <c r="AI174" s="143"/>
      <c r="AJ174" s="143"/>
      <c r="AK174" s="143"/>
      <c r="AL174" s="143"/>
      <c r="AM174" s="143"/>
    </row>
    <row r="175" spans="1:39">
      <c r="A175" s="143"/>
      <c r="G175" s="145"/>
      <c r="L175" s="143"/>
      <c r="M175" s="143"/>
      <c r="N175" s="143"/>
      <c r="O175" s="143"/>
      <c r="P175" s="143"/>
      <c r="Q175" s="143"/>
      <c r="R175" s="143"/>
      <c r="S175" s="143"/>
      <c r="T175" s="143"/>
      <c r="U175" s="143"/>
      <c r="V175" s="143"/>
      <c r="W175" s="143"/>
      <c r="X175" s="143"/>
      <c r="Y175" s="143"/>
      <c r="Z175" s="143"/>
      <c r="AA175" s="143"/>
      <c r="AB175" s="143"/>
      <c r="AC175" s="143"/>
      <c r="AD175" s="143"/>
      <c r="AE175" s="143"/>
      <c r="AF175" s="143"/>
      <c r="AG175" s="143"/>
      <c r="AH175" s="143"/>
      <c r="AI175" s="143"/>
      <c r="AJ175" s="143"/>
      <c r="AK175" s="143"/>
      <c r="AL175" s="143"/>
      <c r="AM175" s="143"/>
    </row>
    <row r="176" spans="1:39">
      <c r="A176" s="143"/>
      <c r="G176" s="145"/>
      <c r="L176" s="143"/>
      <c r="M176" s="143"/>
      <c r="N176" s="143"/>
      <c r="O176" s="143"/>
      <c r="P176" s="143"/>
      <c r="Q176" s="143"/>
      <c r="R176" s="143"/>
      <c r="S176" s="143"/>
      <c r="T176" s="143"/>
      <c r="U176" s="143"/>
      <c r="V176" s="143"/>
      <c r="W176" s="143"/>
      <c r="X176" s="143"/>
      <c r="Y176" s="143"/>
      <c r="Z176" s="143"/>
      <c r="AA176" s="143"/>
      <c r="AB176" s="143"/>
      <c r="AC176" s="143"/>
      <c r="AD176" s="143"/>
      <c r="AE176" s="143"/>
      <c r="AF176" s="143"/>
      <c r="AG176" s="143"/>
      <c r="AH176" s="143"/>
      <c r="AI176" s="143"/>
      <c r="AJ176" s="143"/>
      <c r="AK176" s="143"/>
      <c r="AL176" s="143"/>
      <c r="AM176" s="143"/>
    </row>
    <row r="177" spans="1:39">
      <c r="A177" s="143"/>
      <c r="G177" s="145"/>
      <c r="L177" s="143"/>
      <c r="M177" s="143"/>
      <c r="N177" s="143"/>
      <c r="O177" s="143"/>
      <c r="P177" s="143"/>
      <c r="Q177" s="143"/>
      <c r="R177" s="143"/>
      <c r="S177" s="143"/>
      <c r="T177" s="143"/>
      <c r="U177" s="143"/>
      <c r="V177" s="143"/>
      <c r="W177" s="143"/>
      <c r="X177" s="143"/>
      <c r="Y177" s="143"/>
      <c r="Z177" s="143"/>
      <c r="AA177" s="143"/>
      <c r="AB177" s="143"/>
      <c r="AC177" s="143"/>
      <c r="AD177" s="143"/>
      <c r="AE177" s="143"/>
      <c r="AF177" s="143"/>
      <c r="AG177" s="143"/>
      <c r="AH177" s="143"/>
      <c r="AI177" s="143"/>
      <c r="AJ177" s="143"/>
      <c r="AK177" s="143"/>
      <c r="AL177" s="143"/>
      <c r="AM177" s="143"/>
    </row>
    <row r="178" spans="1:39">
      <c r="A178" s="143"/>
      <c r="G178" s="145"/>
      <c r="L178" s="143"/>
      <c r="M178" s="143"/>
      <c r="N178" s="143"/>
      <c r="O178" s="143"/>
      <c r="P178" s="143"/>
      <c r="Q178" s="143"/>
      <c r="R178" s="143"/>
      <c r="S178" s="143"/>
      <c r="T178" s="143"/>
      <c r="U178" s="143"/>
      <c r="V178" s="143"/>
      <c r="W178" s="143"/>
      <c r="X178" s="143"/>
      <c r="Y178" s="143"/>
      <c r="Z178" s="143"/>
      <c r="AA178" s="143"/>
      <c r="AB178" s="143"/>
      <c r="AC178" s="143"/>
      <c r="AD178" s="143"/>
      <c r="AE178" s="143"/>
      <c r="AF178" s="143"/>
      <c r="AG178" s="143"/>
      <c r="AH178" s="143"/>
      <c r="AI178" s="143"/>
      <c r="AJ178" s="143"/>
      <c r="AK178" s="143"/>
      <c r="AL178" s="143"/>
      <c r="AM178" s="143"/>
    </row>
    <row r="179" spans="1:39">
      <c r="A179" s="143"/>
      <c r="G179" s="145"/>
      <c r="L179" s="143"/>
      <c r="M179" s="143"/>
      <c r="N179" s="143"/>
      <c r="O179" s="143"/>
      <c r="P179" s="143"/>
      <c r="Q179" s="143"/>
      <c r="R179" s="143"/>
      <c r="S179" s="143"/>
      <c r="T179" s="143"/>
      <c r="U179" s="143"/>
      <c r="V179" s="143"/>
      <c r="W179" s="143"/>
      <c r="X179" s="143"/>
      <c r="Y179" s="143"/>
      <c r="Z179" s="143"/>
      <c r="AA179" s="143"/>
      <c r="AB179" s="143"/>
      <c r="AC179" s="143"/>
      <c r="AD179" s="143"/>
      <c r="AE179" s="143"/>
      <c r="AF179" s="143"/>
      <c r="AG179" s="143"/>
      <c r="AH179" s="143"/>
      <c r="AI179" s="143"/>
      <c r="AJ179" s="143"/>
      <c r="AK179" s="143"/>
      <c r="AL179" s="143"/>
      <c r="AM179" s="143"/>
    </row>
    <row r="180" spans="1:39">
      <c r="A180" s="143"/>
      <c r="G180" s="145"/>
      <c r="L180" s="143"/>
      <c r="M180" s="143"/>
      <c r="N180" s="143"/>
      <c r="O180" s="143"/>
      <c r="P180" s="143"/>
      <c r="Q180" s="143"/>
      <c r="R180" s="143"/>
      <c r="S180" s="143"/>
      <c r="T180" s="143"/>
      <c r="U180" s="143"/>
      <c r="V180" s="143"/>
      <c r="W180" s="143"/>
      <c r="X180" s="143"/>
      <c r="Y180" s="143"/>
      <c r="Z180" s="143"/>
      <c r="AA180" s="143"/>
      <c r="AB180" s="143"/>
      <c r="AC180" s="143"/>
      <c r="AD180" s="143"/>
      <c r="AE180" s="143"/>
      <c r="AF180" s="143"/>
      <c r="AG180" s="143"/>
      <c r="AH180" s="143"/>
      <c r="AI180" s="143"/>
      <c r="AJ180" s="143"/>
      <c r="AK180" s="143"/>
      <c r="AL180" s="143"/>
      <c r="AM180" s="143"/>
    </row>
    <row r="181" spans="1:39">
      <c r="A181" s="143"/>
      <c r="B181" s="143"/>
      <c r="C181" s="143"/>
      <c r="D181" s="143"/>
      <c r="E181" s="143"/>
      <c r="F181" s="143"/>
      <c r="G181" s="144"/>
      <c r="H181" s="143"/>
      <c r="I181" s="143"/>
      <c r="J181" s="143"/>
      <c r="K181" s="143"/>
      <c r="L181" s="143"/>
      <c r="M181" s="143"/>
      <c r="N181" s="143"/>
      <c r="O181" s="143"/>
      <c r="P181" s="143"/>
      <c r="Q181" s="143"/>
      <c r="R181" s="143"/>
      <c r="S181" s="143"/>
      <c r="T181" s="143"/>
      <c r="U181" s="143"/>
      <c r="V181" s="143"/>
      <c r="W181" s="143"/>
      <c r="X181" s="143"/>
      <c r="Y181" s="143"/>
      <c r="Z181" s="143"/>
      <c r="AA181" s="143"/>
      <c r="AB181" s="143"/>
      <c r="AC181" s="143"/>
      <c r="AD181" s="143"/>
      <c r="AE181" s="143"/>
      <c r="AF181" s="143"/>
      <c r="AG181" s="143"/>
      <c r="AH181" s="143"/>
      <c r="AI181" s="143"/>
      <c r="AJ181" s="143"/>
      <c r="AK181" s="143"/>
      <c r="AL181" s="143"/>
      <c r="AM181" s="143"/>
    </row>
    <row r="182" spans="1:39">
      <c r="A182" s="143"/>
      <c r="B182" s="143"/>
      <c r="C182" s="143"/>
      <c r="D182" s="143"/>
      <c r="E182" s="143"/>
      <c r="F182" s="143"/>
      <c r="G182" s="144"/>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3"/>
      <c r="AE182" s="143"/>
      <c r="AF182" s="143"/>
      <c r="AG182" s="143"/>
      <c r="AH182" s="143"/>
      <c r="AI182" s="143"/>
      <c r="AJ182" s="143"/>
      <c r="AK182" s="143"/>
      <c r="AL182" s="143"/>
      <c r="AM182" s="143"/>
    </row>
    <row r="183" spans="1:39">
      <c r="A183" s="143"/>
      <c r="B183" s="143"/>
      <c r="C183" s="143"/>
      <c r="D183" s="143"/>
      <c r="E183" s="143"/>
      <c r="F183" s="143"/>
      <c r="G183" s="144"/>
      <c r="H183" s="143"/>
      <c r="I183" s="143"/>
      <c r="J183" s="143"/>
      <c r="K183" s="143"/>
      <c r="L183" s="143"/>
      <c r="M183" s="143"/>
      <c r="N183" s="143"/>
      <c r="O183" s="143"/>
      <c r="P183" s="143"/>
      <c r="Q183" s="143"/>
      <c r="R183" s="143"/>
      <c r="S183" s="143"/>
      <c r="T183" s="143"/>
      <c r="U183" s="143"/>
      <c r="V183" s="143"/>
      <c r="W183" s="143"/>
      <c r="X183" s="143"/>
      <c r="Y183" s="143"/>
      <c r="Z183" s="143"/>
      <c r="AA183" s="143"/>
      <c r="AB183" s="143"/>
      <c r="AC183" s="143"/>
      <c r="AD183" s="143"/>
      <c r="AE183" s="143"/>
      <c r="AF183" s="143"/>
      <c r="AG183" s="143"/>
      <c r="AH183" s="143"/>
      <c r="AI183" s="143"/>
      <c r="AJ183" s="143"/>
      <c r="AK183" s="143"/>
      <c r="AL183" s="143"/>
      <c r="AM183" s="143"/>
    </row>
    <row r="184" spans="1:39">
      <c r="A184" s="143"/>
      <c r="B184" s="143"/>
      <c r="C184" s="143"/>
      <c r="D184" s="143"/>
      <c r="E184" s="143"/>
      <c r="F184" s="143"/>
      <c r="G184" s="144"/>
      <c r="H184" s="143"/>
      <c r="I184" s="143"/>
      <c r="J184" s="143"/>
      <c r="K184" s="143"/>
      <c r="L184" s="143"/>
      <c r="M184" s="143"/>
      <c r="N184" s="143"/>
      <c r="O184" s="143"/>
      <c r="P184" s="143"/>
      <c r="Q184" s="143"/>
      <c r="R184" s="143"/>
      <c r="S184" s="143"/>
      <c r="T184" s="143"/>
      <c r="U184" s="143"/>
      <c r="V184" s="143"/>
      <c r="W184" s="143"/>
      <c r="X184" s="143"/>
      <c r="Y184" s="143"/>
      <c r="Z184" s="143"/>
      <c r="AA184" s="143"/>
      <c r="AB184" s="143"/>
      <c r="AC184" s="143"/>
      <c r="AD184" s="143"/>
      <c r="AE184" s="143"/>
      <c r="AF184" s="143"/>
      <c r="AG184" s="143"/>
      <c r="AH184" s="143"/>
      <c r="AI184" s="143"/>
      <c r="AJ184" s="143"/>
      <c r="AK184" s="143"/>
      <c r="AL184" s="143"/>
      <c r="AM184" s="143"/>
    </row>
    <row r="185" spans="1:39">
      <c r="A185" s="143"/>
      <c r="B185" s="143"/>
      <c r="C185" s="143"/>
      <c r="D185" s="143"/>
      <c r="E185" s="143"/>
      <c r="F185" s="143"/>
      <c r="G185" s="144"/>
      <c r="H185" s="143"/>
      <c r="I185" s="143"/>
      <c r="J185" s="143"/>
      <c r="K185" s="143"/>
      <c r="L185" s="143"/>
      <c r="M185" s="143"/>
      <c r="N185" s="143"/>
      <c r="O185" s="143"/>
      <c r="P185" s="143"/>
      <c r="Q185" s="143"/>
      <c r="R185" s="143"/>
      <c r="S185" s="143"/>
      <c r="T185" s="143"/>
      <c r="U185" s="143"/>
      <c r="V185" s="143"/>
      <c r="W185" s="143"/>
      <c r="X185" s="143"/>
      <c r="Y185" s="143"/>
      <c r="Z185" s="143"/>
      <c r="AA185" s="143"/>
      <c r="AB185" s="143"/>
      <c r="AC185" s="143"/>
      <c r="AD185" s="143"/>
      <c r="AE185" s="143"/>
      <c r="AF185" s="143"/>
      <c r="AG185" s="143"/>
      <c r="AH185" s="143"/>
      <c r="AI185" s="143"/>
      <c r="AJ185" s="143"/>
      <c r="AK185" s="143"/>
      <c r="AL185" s="143"/>
      <c r="AM185" s="143"/>
    </row>
    <row r="186" spans="1:39" ht="13.8">
      <c r="A186" s="143"/>
      <c r="B186" s="267"/>
      <c r="C186" s="143"/>
      <c r="D186" s="143"/>
      <c r="E186" s="143"/>
      <c r="F186" s="143"/>
      <c r="G186" s="144"/>
      <c r="H186" s="143"/>
      <c r="I186" s="143"/>
      <c r="J186" s="143"/>
      <c r="K186" s="143"/>
      <c r="L186" s="143"/>
      <c r="M186" s="143"/>
      <c r="N186" s="143"/>
      <c r="O186" s="143"/>
      <c r="P186" s="143"/>
      <c r="Q186" s="143"/>
      <c r="R186" s="143"/>
      <c r="S186" s="143"/>
      <c r="T186" s="143"/>
      <c r="U186" s="143"/>
      <c r="V186" s="143"/>
      <c r="W186" s="143"/>
      <c r="X186" s="143"/>
      <c r="Y186" s="143"/>
      <c r="Z186" s="143"/>
      <c r="AA186" s="143"/>
      <c r="AB186" s="143"/>
      <c r="AC186" s="143"/>
      <c r="AD186" s="143"/>
      <c r="AE186" s="143"/>
      <c r="AF186" s="143"/>
      <c r="AG186" s="143"/>
      <c r="AH186" s="143"/>
      <c r="AI186" s="143"/>
      <c r="AJ186" s="143"/>
      <c r="AK186" s="143"/>
      <c r="AL186" s="143"/>
      <c r="AM186" s="143"/>
    </row>
    <row r="187" spans="1:39">
      <c r="A187" s="143"/>
      <c r="B187" s="143"/>
      <c r="C187" s="143"/>
      <c r="D187" s="143"/>
      <c r="E187" s="143"/>
      <c r="F187" s="143"/>
      <c r="G187" s="144"/>
      <c r="H187" s="143"/>
      <c r="I187" s="143"/>
      <c r="J187" s="143"/>
      <c r="K187" s="143"/>
      <c r="L187" s="143"/>
      <c r="M187" s="143"/>
      <c r="N187" s="143"/>
      <c r="O187" s="143"/>
      <c r="P187" s="143"/>
      <c r="Q187" s="143"/>
      <c r="R187" s="143"/>
      <c r="S187" s="143"/>
      <c r="T187" s="143"/>
      <c r="U187" s="143"/>
      <c r="V187" s="143"/>
      <c r="W187" s="143"/>
      <c r="X187" s="143"/>
      <c r="Y187" s="143"/>
      <c r="Z187" s="143"/>
      <c r="AA187" s="143"/>
      <c r="AB187" s="143"/>
      <c r="AC187" s="143"/>
      <c r="AD187" s="143"/>
      <c r="AE187" s="143"/>
      <c r="AF187" s="143"/>
      <c r="AG187" s="143"/>
      <c r="AH187" s="143"/>
      <c r="AI187" s="143"/>
      <c r="AJ187" s="143"/>
      <c r="AK187" s="143"/>
      <c r="AL187" s="143"/>
      <c r="AM187" s="143"/>
    </row>
    <row r="188" spans="1:39">
      <c r="A188" s="143"/>
      <c r="B188" s="143"/>
      <c r="C188" s="143"/>
      <c r="D188" s="143"/>
      <c r="E188" s="143"/>
      <c r="F188" s="143"/>
      <c r="G188" s="144"/>
      <c r="H188" s="143"/>
      <c r="I188" s="143"/>
      <c r="J188" s="143"/>
      <c r="K188" s="143"/>
      <c r="L188" s="143"/>
      <c r="M188" s="143"/>
      <c r="N188" s="143"/>
      <c r="O188" s="143"/>
      <c r="P188" s="143"/>
      <c r="Q188" s="143"/>
      <c r="R188" s="143"/>
      <c r="S188" s="143"/>
      <c r="T188" s="143"/>
      <c r="U188" s="143"/>
      <c r="V188" s="143"/>
      <c r="W188" s="143"/>
      <c r="X188" s="143"/>
      <c r="Y188" s="143"/>
      <c r="Z188" s="143"/>
      <c r="AA188" s="143"/>
      <c r="AB188" s="143"/>
      <c r="AC188" s="143"/>
      <c r="AD188" s="143"/>
      <c r="AE188" s="143"/>
      <c r="AF188" s="143"/>
      <c r="AG188" s="143"/>
      <c r="AH188" s="143"/>
      <c r="AI188" s="143"/>
      <c r="AJ188" s="143"/>
      <c r="AK188" s="143"/>
      <c r="AL188" s="143"/>
      <c r="AM188" s="143"/>
    </row>
    <row r="189" spans="1:39">
      <c r="A189" s="143"/>
      <c r="B189" s="143"/>
      <c r="C189" s="143"/>
      <c r="D189" s="143"/>
      <c r="E189" s="143"/>
      <c r="F189" s="143"/>
      <c r="G189" s="144"/>
      <c r="H189" s="143"/>
      <c r="I189" s="143"/>
      <c r="J189" s="143"/>
      <c r="K189" s="143"/>
      <c r="L189" s="143"/>
      <c r="M189" s="143"/>
      <c r="N189" s="143"/>
      <c r="O189" s="143"/>
      <c r="P189" s="143"/>
      <c r="Q189" s="143"/>
      <c r="R189" s="143"/>
      <c r="S189" s="143"/>
      <c r="T189" s="143"/>
      <c r="U189" s="143"/>
      <c r="V189" s="143"/>
      <c r="W189" s="143"/>
      <c r="X189" s="143"/>
      <c r="Y189" s="143"/>
      <c r="Z189" s="143"/>
      <c r="AA189" s="143"/>
      <c r="AB189" s="143"/>
      <c r="AC189" s="143"/>
      <c r="AD189" s="143"/>
      <c r="AE189" s="143"/>
      <c r="AF189" s="143"/>
      <c r="AG189" s="143"/>
      <c r="AH189" s="143"/>
      <c r="AI189" s="143"/>
      <c r="AJ189" s="143"/>
      <c r="AK189" s="143"/>
      <c r="AL189" s="143"/>
      <c r="AM189" s="143"/>
    </row>
    <row r="190" spans="1:39">
      <c r="A190" s="143"/>
      <c r="B190" s="143"/>
      <c r="C190" s="143"/>
      <c r="D190" s="143"/>
      <c r="E190" s="143"/>
      <c r="F190" s="143"/>
      <c r="G190" s="144"/>
      <c r="H190" s="143"/>
      <c r="I190" s="143"/>
      <c r="J190" s="143"/>
      <c r="K190" s="143"/>
      <c r="L190" s="143"/>
      <c r="M190" s="143"/>
      <c r="N190" s="143"/>
      <c r="O190" s="143"/>
      <c r="P190" s="143"/>
      <c r="Q190" s="143"/>
      <c r="R190" s="143"/>
      <c r="S190" s="143"/>
      <c r="T190" s="143"/>
      <c r="U190" s="143"/>
      <c r="V190" s="143"/>
      <c r="W190" s="143"/>
      <c r="X190" s="143"/>
      <c r="Y190" s="143"/>
      <c r="Z190" s="143"/>
      <c r="AA190" s="143"/>
      <c r="AB190" s="143"/>
      <c r="AC190" s="143"/>
      <c r="AD190" s="143"/>
      <c r="AE190" s="143"/>
      <c r="AF190" s="143"/>
      <c r="AG190" s="143"/>
      <c r="AH190" s="143"/>
      <c r="AI190" s="143"/>
      <c r="AJ190" s="143"/>
      <c r="AK190" s="143"/>
      <c r="AL190" s="143"/>
      <c r="AM190" s="143"/>
    </row>
    <row r="191" spans="1:39">
      <c r="A191" s="143"/>
      <c r="B191" s="143"/>
      <c r="D191" s="143"/>
      <c r="E191" s="143"/>
      <c r="F191" s="143"/>
      <c r="G191" s="144"/>
      <c r="H191" s="143"/>
      <c r="I191" s="143"/>
      <c r="J191" s="143"/>
      <c r="K191" s="143"/>
      <c r="L191" s="143"/>
      <c r="M191" s="143"/>
      <c r="N191" s="143"/>
      <c r="O191" s="143"/>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3"/>
      <c r="AK191" s="143"/>
      <c r="AL191" s="143"/>
      <c r="AM191" s="143"/>
    </row>
    <row r="192" spans="1:39">
      <c r="A192" s="143"/>
      <c r="B192" s="143"/>
      <c r="C192" s="143"/>
      <c r="D192" s="143"/>
      <c r="E192" s="143"/>
      <c r="F192" s="143"/>
      <c r="G192" s="144"/>
      <c r="H192" s="143"/>
      <c r="I192" s="143"/>
      <c r="J192" s="143"/>
      <c r="K192" s="143"/>
      <c r="L192" s="143"/>
      <c r="M192" s="143"/>
      <c r="N192" s="143"/>
      <c r="O192" s="143"/>
      <c r="P192" s="143"/>
      <c r="Q192" s="143"/>
      <c r="R192" s="143"/>
      <c r="S192" s="143"/>
      <c r="T192" s="143"/>
      <c r="U192" s="143"/>
      <c r="V192" s="143"/>
      <c r="W192" s="143"/>
      <c r="X192" s="143"/>
      <c r="Y192" s="143"/>
      <c r="Z192" s="143"/>
      <c r="AA192" s="143"/>
      <c r="AB192" s="143"/>
      <c r="AC192" s="143"/>
      <c r="AD192" s="143"/>
      <c r="AE192" s="143"/>
      <c r="AF192" s="143"/>
      <c r="AG192" s="143"/>
      <c r="AH192" s="143"/>
      <c r="AI192" s="143"/>
      <c r="AJ192" s="143"/>
      <c r="AK192" s="143"/>
      <c r="AL192" s="143"/>
      <c r="AM192" s="143"/>
    </row>
    <row r="193" spans="1:39">
      <c r="A193" s="143"/>
      <c r="B193" s="143"/>
      <c r="C193" s="143"/>
      <c r="D193" s="143"/>
      <c r="E193" s="143"/>
      <c r="F193" s="143"/>
      <c r="G193" s="144"/>
      <c r="H193" s="143"/>
      <c r="I193" s="143"/>
      <c r="J193" s="143"/>
      <c r="K193" s="143"/>
      <c r="L193" s="143"/>
      <c r="M193" s="143"/>
      <c r="N193" s="143"/>
      <c r="O193" s="143"/>
      <c r="P193" s="143"/>
      <c r="Q193" s="143"/>
      <c r="R193" s="143"/>
      <c r="S193" s="143"/>
      <c r="T193" s="143"/>
      <c r="U193" s="143"/>
      <c r="V193" s="143"/>
      <c r="W193" s="143"/>
      <c r="X193" s="143"/>
      <c r="Y193" s="143"/>
      <c r="Z193" s="143"/>
      <c r="AA193" s="143"/>
      <c r="AB193" s="143"/>
      <c r="AC193" s="143"/>
      <c r="AD193" s="143"/>
      <c r="AE193" s="143"/>
      <c r="AF193" s="143"/>
      <c r="AG193" s="143"/>
      <c r="AH193" s="143"/>
      <c r="AI193" s="143"/>
      <c r="AJ193" s="143"/>
      <c r="AK193" s="143"/>
      <c r="AL193" s="143"/>
      <c r="AM193" s="143"/>
    </row>
    <row r="194" spans="1:39">
      <c r="A194" s="143"/>
      <c r="B194" s="143"/>
      <c r="C194" s="143"/>
      <c r="D194" s="143"/>
      <c r="E194" s="143"/>
      <c r="F194" s="143"/>
      <c r="G194" s="144"/>
      <c r="H194" s="143"/>
      <c r="I194" s="143"/>
      <c r="J194" s="143"/>
      <c r="K194" s="143"/>
      <c r="L194" s="143"/>
      <c r="M194" s="143"/>
      <c r="N194" s="143"/>
      <c r="O194" s="143"/>
      <c r="P194" s="143"/>
      <c r="Q194" s="143"/>
      <c r="R194" s="143"/>
      <c r="S194" s="143"/>
      <c r="T194" s="143"/>
      <c r="U194" s="143"/>
      <c r="V194" s="143"/>
      <c r="W194" s="143"/>
      <c r="X194" s="143"/>
      <c r="Y194" s="143"/>
      <c r="Z194" s="143"/>
      <c r="AA194" s="143"/>
      <c r="AB194" s="143"/>
      <c r="AC194" s="143"/>
      <c r="AD194" s="143"/>
      <c r="AE194" s="143"/>
      <c r="AF194" s="143"/>
      <c r="AG194" s="143"/>
      <c r="AH194" s="143"/>
      <c r="AI194" s="143"/>
      <c r="AJ194" s="143"/>
      <c r="AK194" s="143"/>
      <c r="AL194" s="143"/>
      <c r="AM194" s="143"/>
    </row>
    <row r="195" spans="1:39">
      <c r="A195" s="143"/>
      <c r="B195" s="143"/>
      <c r="C195" s="143"/>
      <c r="D195" s="143"/>
      <c r="E195" s="143"/>
      <c r="F195" s="143"/>
      <c r="G195" s="144"/>
      <c r="H195" s="143"/>
      <c r="I195" s="143"/>
      <c r="J195" s="143"/>
      <c r="K195" s="143"/>
      <c r="L195" s="143"/>
      <c r="M195" s="143"/>
      <c r="N195" s="143"/>
      <c r="O195" s="143"/>
      <c r="P195" s="143"/>
      <c r="Q195" s="143"/>
      <c r="R195" s="143"/>
      <c r="S195" s="143"/>
      <c r="T195" s="143"/>
      <c r="U195" s="143"/>
      <c r="V195" s="143"/>
      <c r="W195" s="143"/>
      <c r="X195" s="143"/>
      <c r="Y195" s="143"/>
      <c r="Z195" s="143"/>
      <c r="AA195" s="143"/>
      <c r="AB195" s="143"/>
      <c r="AC195" s="143"/>
      <c r="AD195" s="143"/>
      <c r="AE195" s="143"/>
      <c r="AF195" s="143"/>
      <c r="AG195" s="143"/>
      <c r="AH195" s="143"/>
      <c r="AI195" s="143"/>
      <c r="AJ195" s="143"/>
      <c r="AK195" s="143"/>
      <c r="AL195" s="143"/>
      <c r="AM195" s="143"/>
    </row>
    <row r="196" spans="1:39">
      <c r="A196" s="143"/>
      <c r="B196" s="143"/>
      <c r="C196" s="143"/>
      <c r="D196" s="143"/>
      <c r="E196" s="143"/>
      <c r="F196" s="143"/>
      <c r="G196" s="144"/>
      <c r="H196" s="143"/>
      <c r="I196" s="143"/>
      <c r="J196" s="143"/>
      <c r="K196" s="143"/>
      <c r="L196" s="143"/>
      <c r="M196" s="143"/>
      <c r="N196" s="143"/>
      <c r="O196" s="143"/>
      <c r="P196" s="143"/>
      <c r="Q196" s="143"/>
      <c r="R196" s="143"/>
      <c r="S196" s="143"/>
      <c r="T196" s="143"/>
      <c r="U196" s="143"/>
      <c r="V196" s="143"/>
      <c r="W196" s="143"/>
      <c r="X196" s="143"/>
      <c r="Y196" s="143"/>
      <c r="Z196" s="143"/>
      <c r="AA196" s="143"/>
      <c r="AB196" s="143"/>
      <c r="AC196" s="143"/>
      <c r="AD196" s="143"/>
      <c r="AE196" s="143"/>
      <c r="AF196" s="143"/>
      <c r="AG196" s="143"/>
      <c r="AH196" s="143"/>
      <c r="AI196" s="143"/>
      <c r="AJ196" s="143"/>
      <c r="AK196" s="143"/>
      <c r="AL196" s="143"/>
      <c r="AM196" s="143"/>
    </row>
    <row r="197" spans="1:39">
      <c r="A197" s="143"/>
      <c r="B197" s="143"/>
      <c r="C197" s="143"/>
      <c r="D197" s="143"/>
      <c r="E197" s="143"/>
      <c r="F197" s="143"/>
      <c r="G197" s="144"/>
      <c r="H197" s="143"/>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143"/>
      <c r="AE197" s="143"/>
      <c r="AF197" s="143"/>
      <c r="AG197" s="143"/>
      <c r="AH197" s="143"/>
      <c r="AI197" s="143"/>
      <c r="AJ197" s="143"/>
      <c r="AK197" s="143"/>
      <c r="AL197" s="143"/>
      <c r="AM197" s="143"/>
    </row>
    <row r="198" spans="1:39">
      <c r="A198" s="143"/>
      <c r="B198" s="143"/>
      <c r="C198" s="143"/>
      <c r="D198" s="143"/>
      <c r="E198" s="143"/>
      <c r="F198" s="143"/>
      <c r="G198" s="144"/>
      <c r="H198" s="143"/>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3"/>
      <c r="AE198" s="143"/>
      <c r="AF198" s="143"/>
      <c r="AG198" s="143"/>
      <c r="AH198" s="143"/>
      <c r="AI198" s="143"/>
      <c r="AJ198" s="143"/>
      <c r="AK198" s="143"/>
      <c r="AL198" s="143"/>
      <c r="AM198" s="143"/>
    </row>
    <row r="199" spans="1:39">
      <c r="A199" s="143"/>
      <c r="B199" s="143"/>
      <c r="C199" s="143"/>
      <c r="D199" s="143"/>
      <c r="E199" s="143"/>
      <c r="F199" s="143"/>
      <c r="G199" s="144"/>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c r="AE199" s="143"/>
      <c r="AF199" s="143"/>
      <c r="AG199" s="143"/>
      <c r="AH199" s="143"/>
      <c r="AI199" s="143"/>
      <c r="AJ199" s="143"/>
      <c r="AK199" s="143"/>
      <c r="AL199" s="143"/>
      <c r="AM199" s="143"/>
    </row>
    <row r="200" spans="1:39">
      <c r="A200" s="143"/>
      <c r="B200" s="143"/>
      <c r="C200" s="143"/>
      <c r="D200" s="143"/>
      <c r="E200" s="143"/>
      <c r="F200" s="143"/>
      <c r="G200" s="144"/>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c r="AE200" s="143"/>
      <c r="AF200" s="143"/>
      <c r="AG200" s="143"/>
      <c r="AH200" s="143"/>
      <c r="AI200" s="143"/>
      <c r="AJ200" s="143"/>
      <c r="AK200" s="143"/>
      <c r="AL200" s="143"/>
      <c r="AM200" s="143"/>
    </row>
    <row r="201" spans="1:39">
      <c r="A201" s="143"/>
      <c r="B201" s="143"/>
      <c r="C201" s="143"/>
      <c r="D201" s="143"/>
      <c r="E201" s="143"/>
      <c r="F201" s="143"/>
      <c r="G201" s="144"/>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c r="AE201" s="143"/>
      <c r="AF201" s="143"/>
      <c r="AG201" s="143"/>
      <c r="AH201" s="143"/>
      <c r="AI201" s="143"/>
      <c r="AJ201" s="143"/>
      <c r="AK201" s="143"/>
      <c r="AL201" s="143"/>
      <c r="AM201" s="143"/>
    </row>
    <row r="202" spans="1:39">
      <c r="A202" s="143"/>
      <c r="B202" s="143"/>
      <c r="C202" s="143"/>
      <c r="D202" s="143"/>
      <c r="E202" s="143"/>
      <c r="F202" s="143"/>
      <c r="G202" s="144"/>
      <c r="H202" s="143"/>
      <c r="I202" s="143"/>
      <c r="J202" s="143"/>
      <c r="K202" s="143"/>
      <c r="L202" s="143"/>
      <c r="M202" s="143"/>
      <c r="N202" s="143"/>
      <c r="O202" s="143"/>
      <c r="P202" s="143"/>
      <c r="Q202" s="143"/>
      <c r="R202" s="143"/>
      <c r="S202" s="143"/>
      <c r="T202" s="143"/>
      <c r="U202" s="143"/>
      <c r="V202" s="143"/>
      <c r="W202" s="143"/>
      <c r="X202" s="143"/>
      <c r="Y202" s="143"/>
      <c r="Z202" s="143"/>
      <c r="AA202" s="143"/>
      <c r="AB202" s="143"/>
      <c r="AC202" s="143"/>
      <c r="AD202" s="143"/>
      <c r="AE202" s="143"/>
      <c r="AF202" s="143"/>
      <c r="AG202" s="143"/>
      <c r="AH202" s="143"/>
      <c r="AI202" s="143"/>
      <c r="AJ202" s="143"/>
      <c r="AK202" s="143"/>
      <c r="AL202" s="143"/>
      <c r="AM202" s="143"/>
    </row>
    <row r="203" spans="1:39">
      <c r="A203" s="143"/>
      <c r="B203" s="143"/>
      <c r="C203" s="143"/>
      <c r="D203" s="143"/>
      <c r="E203" s="143"/>
      <c r="F203" s="143"/>
      <c r="G203" s="144"/>
      <c r="H203" s="143"/>
      <c r="I203" s="143"/>
      <c r="J203" s="143"/>
      <c r="K203" s="143"/>
      <c r="L203" s="143"/>
      <c r="M203" s="143"/>
      <c r="N203" s="143"/>
      <c r="O203" s="143"/>
      <c r="P203" s="143"/>
      <c r="Q203" s="143"/>
      <c r="R203" s="143"/>
      <c r="S203" s="143"/>
      <c r="T203" s="143"/>
      <c r="U203" s="143"/>
      <c r="V203" s="143"/>
      <c r="W203" s="143"/>
      <c r="X203" s="143"/>
      <c r="Y203" s="143"/>
      <c r="Z203" s="143"/>
      <c r="AA203" s="143"/>
      <c r="AB203" s="143"/>
      <c r="AC203" s="143"/>
      <c r="AD203" s="143"/>
      <c r="AE203" s="143"/>
      <c r="AF203" s="143"/>
      <c r="AG203" s="143"/>
      <c r="AH203" s="143"/>
      <c r="AI203" s="143"/>
      <c r="AJ203" s="143"/>
      <c r="AK203" s="143"/>
      <c r="AL203" s="143"/>
      <c r="AM203" s="143"/>
    </row>
    <row r="204" spans="1:39">
      <c r="A204" s="143"/>
      <c r="B204" s="143"/>
      <c r="C204" s="143"/>
      <c r="D204" s="143"/>
      <c r="E204" s="143"/>
      <c r="F204" s="143"/>
      <c r="G204" s="144"/>
      <c r="H204" s="143"/>
      <c r="I204" s="143"/>
      <c r="J204" s="143"/>
      <c r="K204" s="143"/>
      <c r="L204" s="143"/>
      <c r="M204" s="143"/>
      <c r="N204" s="143"/>
      <c r="O204" s="143"/>
      <c r="P204" s="143"/>
      <c r="Q204" s="143"/>
      <c r="R204" s="143"/>
      <c r="S204" s="143"/>
      <c r="T204" s="143"/>
      <c r="U204" s="143"/>
      <c r="V204" s="143"/>
      <c r="W204" s="143"/>
      <c r="X204" s="143"/>
      <c r="Y204" s="143"/>
      <c r="Z204" s="143"/>
      <c r="AA204" s="143"/>
      <c r="AB204" s="143"/>
      <c r="AC204" s="143"/>
      <c r="AD204" s="143"/>
      <c r="AE204" s="143"/>
      <c r="AF204" s="143"/>
      <c r="AG204" s="143"/>
      <c r="AH204" s="143"/>
      <c r="AI204" s="143"/>
      <c r="AJ204" s="143"/>
      <c r="AK204" s="143"/>
      <c r="AL204" s="143"/>
      <c r="AM204" s="143"/>
    </row>
    <row r="205" spans="1:39">
      <c r="A205" s="143"/>
      <c r="B205" s="143"/>
      <c r="C205" s="143"/>
      <c r="D205" s="143"/>
      <c r="E205" s="143"/>
      <c r="F205" s="143"/>
      <c r="G205" s="144"/>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c r="AD205" s="143"/>
      <c r="AE205" s="143"/>
      <c r="AF205" s="143"/>
      <c r="AG205" s="143"/>
      <c r="AH205" s="143"/>
      <c r="AI205" s="143"/>
      <c r="AJ205" s="143"/>
      <c r="AK205" s="143"/>
      <c r="AL205" s="143"/>
      <c r="AM205" s="143"/>
    </row>
    <row r="206" spans="1:39">
      <c r="A206" s="143"/>
      <c r="B206" s="143"/>
      <c r="C206" s="143"/>
      <c r="D206" s="143"/>
      <c r="E206" s="143"/>
      <c r="F206" s="143"/>
      <c r="G206" s="144"/>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143"/>
      <c r="AE206" s="143"/>
      <c r="AF206" s="143"/>
      <c r="AG206" s="143"/>
      <c r="AH206" s="143"/>
      <c r="AI206" s="143"/>
      <c r="AJ206" s="143"/>
      <c r="AK206" s="143"/>
      <c r="AL206" s="143"/>
      <c r="AM206" s="143"/>
    </row>
    <row r="207" spans="1:39">
      <c r="A207" s="143"/>
      <c r="B207" s="143"/>
      <c r="C207" s="143"/>
      <c r="D207" s="143"/>
      <c r="E207" s="143"/>
      <c r="F207" s="143"/>
      <c r="G207" s="144"/>
      <c r="H207" s="143"/>
      <c r="I207" s="143"/>
      <c r="J207" s="143"/>
      <c r="K207" s="143"/>
      <c r="L207" s="143"/>
      <c r="M207" s="143"/>
      <c r="N207" s="143"/>
      <c r="O207" s="143"/>
      <c r="P207" s="143"/>
      <c r="Q207" s="143"/>
      <c r="R207" s="143"/>
      <c r="S207" s="143"/>
      <c r="T207" s="143"/>
      <c r="U207" s="143"/>
      <c r="V207" s="143"/>
      <c r="W207" s="143"/>
      <c r="X207" s="143"/>
      <c r="Y207" s="143"/>
      <c r="Z207" s="143"/>
      <c r="AA207" s="143"/>
      <c r="AB207" s="143"/>
      <c r="AC207" s="143"/>
      <c r="AD207" s="143"/>
      <c r="AE207" s="143"/>
      <c r="AF207" s="143"/>
      <c r="AG207" s="143"/>
      <c r="AH207" s="143"/>
      <c r="AI207" s="143"/>
      <c r="AJ207" s="143"/>
      <c r="AK207" s="143"/>
      <c r="AL207" s="143"/>
      <c r="AM207" s="143"/>
    </row>
    <row r="208" spans="1:39">
      <c r="A208" s="143"/>
      <c r="B208" s="143"/>
      <c r="C208" s="143"/>
      <c r="D208" s="143"/>
      <c r="E208" s="143"/>
      <c r="F208" s="143"/>
      <c r="G208" s="144"/>
      <c r="H208" s="143"/>
      <c r="I208" s="143"/>
      <c r="J208" s="143"/>
      <c r="K208" s="143"/>
      <c r="L208" s="143"/>
      <c r="M208" s="143"/>
      <c r="N208" s="143"/>
      <c r="O208" s="143"/>
      <c r="P208" s="143"/>
      <c r="Q208" s="143"/>
      <c r="R208" s="143"/>
      <c r="S208" s="143"/>
      <c r="T208" s="143"/>
      <c r="U208" s="143"/>
      <c r="V208" s="143"/>
      <c r="W208" s="143"/>
      <c r="X208" s="143"/>
      <c r="Y208" s="143"/>
      <c r="Z208" s="143"/>
      <c r="AA208" s="143"/>
      <c r="AB208" s="143"/>
      <c r="AC208" s="143"/>
      <c r="AD208" s="143"/>
      <c r="AE208" s="143"/>
      <c r="AF208" s="143"/>
      <c r="AG208" s="143"/>
      <c r="AH208" s="143"/>
      <c r="AI208" s="143"/>
      <c r="AJ208" s="143"/>
      <c r="AK208" s="143"/>
      <c r="AL208" s="143"/>
      <c r="AM208" s="143"/>
    </row>
    <row r="209" spans="1:39">
      <c r="A209" s="143"/>
      <c r="B209" s="143"/>
      <c r="C209" s="143"/>
      <c r="D209" s="143"/>
      <c r="E209" s="143"/>
      <c r="F209" s="143"/>
      <c r="G209" s="144"/>
      <c r="H209" s="143"/>
      <c r="I209" s="143"/>
      <c r="J209" s="143"/>
      <c r="K209" s="143"/>
      <c r="L209" s="143"/>
      <c r="M209" s="143"/>
      <c r="N209" s="143"/>
      <c r="O209" s="143"/>
      <c r="P209" s="143"/>
      <c r="Q209" s="143"/>
      <c r="R209" s="143"/>
      <c r="S209" s="143"/>
      <c r="T209" s="143"/>
      <c r="U209" s="143"/>
      <c r="V209" s="143"/>
      <c r="W209" s="143"/>
      <c r="X209" s="143"/>
      <c r="Y209" s="143"/>
      <c r="Z209" s="143"/>
      <c r="AA209" s="143"/>
      <c r="AB209" s="143"/>
      <c r="AC209" s="143"/>
      <c r="AD209" s="143"/>
      <c r="AE209" s="143"/>
      <c r="AF209" s="143"/>
      <c r="AG209" s="143"/>
      <c r="AH209" s="143"/>
      <c r="AI209" s="143"/>
      <c r="AJ209" s="143"/>
      <c r="AK209" s="143"/>
      <c r="AL209" s="143"/>
      <c r="AM209" s="143"/>
    </row>
    <row r="210" spans="1:39">
      <c r="A210" s="143"/>
      <c r="B210" s="143"/>
      <c r="C210" s="143"/>
      <c r="D210" s="143"/>
      <c r="E210" s="143"/>
      <c r="F210" s="143"/>
      <c r="G210" s="144"/>
      <c r="H210" s="143"/>
      <c r="I210" s="143"/>
      <c r="J210" s="143"/>
      <c r="K210" s="143"/>
      <c r="L210" s="143"/>
      <c r="M210" s="143"/>
      <c r="N210" s="143"/>
      <c r="O210" s="143"/>
      <c r="P210" s="143"/>
      <c r="Q210" s="143"/>
      <c r="R210" s="143"/>
      <c r="S210" s="143"/>
      <c r="T210" s="143"/>
      <c r="U210" s="143"/>
      <c r="V210" s="143"/>
      <c r="W210" s="143"/>
      <c r="X210" s="143"/>
      <c r="Y210" s="143"/>
      <c r="Z210" s="143"/>
      <c r="AA210" s="143"/>
      <c r="AB210" s="143"/>
      <c r="AC210" s="143"/>
      <c r="AD210" s="143"/>
      <c r="AE210" s="143"/>
      <c r="AF210" s="143"/>
      <c r="AG210" s="143"/>
      <c r="AH210" s="143"/>
      <c r="AI210" s="143"/>
      <c r="AJ210" s="143"/>
      <c r="AK210" s="143"/>
      <c r="AL210" s="143"/>
      <c r="AM210" s="143"/>
    </row>
    <row r="211" spans="1:39">
      <c r="A211" s="143"/>
      <c r="B211" s="143"/>
      <c r="C211" s="143"/>
      <c r="D211" s="143"/>
      <c r="E211" s="143"/>
      <c r="F211" s="143"/>
      <c r="G211" s="144"/>
      <c r="H211" s="143"/>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143"/>
      <c r="AE211" s="143"/>
      <c r="AF211" s="143"/>
      <c r="AG211" s="143"/>
      <c r="AH211" s="143"/>
      <c r="AI211" s="143"/>
      <c r="AJ211" s="143"/>
      <c r="AK211" s="143"/>
      <c r="AL211" s="143"/>
      <c r="AM211" s="143"/>
    </row>
    <row r="212" spans="1:39">
      <c r="A212" s="143"/>
      <c r="B212" s="143"/>
      <c r="C212" s="143"/>
      <c r="D212" s="143"/>
      <c r="E212" s="143"/>
      <c r="F212" s="143"/>
      <c r="G212" s="144"/>
      <c r="H212" s="143"/>
      <c r="I212" s="143"/>
      <c r="J212" s="143"/>
      <c r="K212" s="143"/>
      <c r="L212" s="143"/>
      <c r="M212" s="143"/>
      <c r="N212" s="143"/>
      <c r="O212" s="143"/>
      <c r="P212" s="143"/>
      <c r="Q212" s="143"/>
      <c r="R212" s="143"/>
      <c r="S212" s="143"/>
      <c r="T212" s="143"/>
      <c r="U212" s="143"/>
      <c r="V212" s="143"/>
      <c r="W212" s="143"/>
      <c r="X212" s="143"/>
      <c r="Y212" s="143"/>
      <c r="Z212" s="143"/>
      <c r="AA212" s="143"/>
      <c r="AB212" s="143"/>
      <c r="AC212" s="143"/>
      <c r="AD212" s="143"/>
      <c r="AE212" s="143"/>
      <c r="AF212" s="143"/>
      <c r="AG212" s="143"/>
      <c r="AH212" s="143"/>
      <c r="AI212" s="143"/>
      <c r="AJ212" s="143"/>
      <c r="AK212" s="143"/>
      <c r="AL212" s="143"/>
      <c r="AM212" s="143"/>
    </row>
    <row r="213" spans="1:39">
      <c r="A213" s="143"/>
      <c r="B213" s="143"/>
      <c r="C213" s="143"/>
      <c r="D213" s="143"/>
      <c r="E213" s="143"/>
      <c r="F213" s="143"/>
      <c r="G213" s="144"/>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143"/>
      <c r="AE213" s="143"/>
      <c r="AF213" s="143"/>
      <c r="AG213" s="143"/>
      <c r="AH213" s="143"/>
      <c r="AI213" s="143"/>
      <c r="AJ213" s="143"/>
      <c r="AK213" s="143"/>
      <c r="AL213" s="143"/>
      <c r="AM213" s="143"/>
    </row>
    <row r="214" spans="1:39">
      <c r="A214" s="143"/>
      <c r="B214" s="143"/>
      <c r="C214" s="143"/>
      <c r="D214" s="143"/>
      <c r="E214" s="143"/>
      <c r="F214" s="143"/>
      <c r="G214" s="144"/>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c r="AE214" s="143"/>
      <c r="AF214" s="143"/>
      <c r="AG214" s="143"/>
      <c r="AH214" s="143"/>
      <c r="AI214" s="143"/>
      <c r="AJ214" s="143"/>
      <c r="AK214" s="143"/>
      <c r="AL214" s="143"/>
      <c r="AM214" s="143"/>
    </row>
    <row r="215" spans="1:39">
      <c r="A215" s="143"/>
      <c r="B215" s="143"/>
      <c r="C215" s="143"/>
      <c r="D215" s="143"/>
      <c r="E215" s="143"/>
      <c r="F215" s="143"/>
      <c r="G215" s="144"/>
      <c r="H215" s="143"/>
      <c r="I215" s="143"/>
      <c r="J215" s="143"/>
      <c r="K215" s="143"/>
      <c r="L215" s="143"/>
      <c r="M215" s="143"/>
      <c r="N215" s="143"/>
      <c r="O215" s="143"/>
      <c r="P215" s="143"/>
      <c r="Q215" s="143"/>
      <c r="R215" s="143"/>
      <c r="S215" s="143"/>
      <c r="T215" s="143"/>
      <c r="U215" s="143"/>
      <c r="V215" s="143"/>
      <c r="W215" s="143"/>
      <c r="X215" s="143"/>
      <c r="Y215" s="143"/>
      <c r="Z215" s="143"/>
      <c r="AA215" s="143"/>
      <c r="AB215" s="143"/>
      <c r="AC215" s="143"/>
      <c r="AD215" s="143"/>
      <c r="AE215" s="143"/>
      <c r="AF215" s="143"/>
      <c r="AG215" s="143"/>
      <c r="AH215" s="143"/>
      <c r="AI215" s="143"/>
      <c r="AJ215" s="143"/>
      <c r="AK215" s="143"/>
      <c r="AL215" s="143"/>
      <c r="AM215" s="143"/>
    </row>
    <row r="216" spans="1:39">
      <c r="A216" s="143"/>
      <c r="B216" s="143"/>
      <c r="C216" s="143"/>
      <c r="D216" s="143"/>
      <c r="E216" s="143"/>
      <c r="F216" s="143"/>
      <c r="G216" s="144"/>
      <c r="H216" s="143"/>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c r="AE216" s="143"/>
      <c r="AF216" s="143"/>
      <c r="AG216" s="143"/>
      <c r="AH216" s="143"/>
      <c r="AI216" s="143"/>
      <c r="AJ216" s="143"/>
      <c r="AK216" s="143"/>
      <c r="AL216" s="143"/>
      <c r="AM216" s="143"/>
    </row>
    <row r="217" spans="1:39">
      <c r="A217" s="143"/>
      <c r="B217" s="143"/>
      <c r="C217" s="143"/>
      <c r="D217" s="143"/>
      <c r="E217" s="143"/>
      <c r="F217" s="143"/>
      <c r="G217" s="144"/>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E217" s="143"/>
      <c r="AF217" s="143"/>
      <c r="AG217" s="143"/>
      <c r="AH217" s="143"/>
      <c r="AI217" s="143"/>
      <c r="AJ217" s="143"/>
      <c r="AK217" s="143"/>
      <c r="AL217" s="143"/>
      <c r="AM217" s="143"/>
    </row>
    <row r="218" spans="1:39">
      <c r="A218" s="143"/>
      <c r="B218" s="143"/>
      <c r="C218" s="143"/>
      <c r="D218" s="143"/>
      <c r="E218" s="143"/>
      <c r="F218" s="143"/>
      <c r="G218" s="144"/>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c r="AE218" s="143"/>
      <c r="AF218" s="143"/>
      <c r="AG218" s="143"/>
      <c r="AH218" s="143"/>
      <c r="AI218" s="143"/>
      <c r="AJ218" s="143"/>
      <c r="AK218" s="143"/>
      <c r="AL218" s="143"/>
      <c r="AM218" s="143"/>
    </row>
    <row r="219" spans="1:39">
      <c r="A219" s="143"/>
      <c r="B219" s="143"/>
      <c r="C219" s="143"/>
      <c r="D219" s="143"/>
      <c r="E219" s="143"/>
      <c r="F219" s="143"/>
      <c r="G219" s="144"/>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c r="AE219" s="143"/>
      <c r="AF219" s="143"/>
      <c r="AG219" s="143"/>
      <c r="AH219" s="143"/>
      <c r="AI219" s="143"/>
      <c r="AJ219" s="143"/>
      <c r="AK219" s="143"/>
      <c r="AL219" s="143"/>
      <c r="AM219" s="143"/>
    </row>
    <row r="220" spans="1:39">
      <c r="A220" s="143"/>
      <c r="B220" s="143"/>
      <c r="C220" s="143"/>
      <c r="D220" s="143"/>
      <c r="E220" s="143"/>
      <c r="F220" s="143"/>
      <c r="G220" s="144"/>
      <c r="H220" s="143"/>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E220" s="143"/>
      <c r="AF220" s="143"/>
      <c r="AG220" s="143"/>
      <c r="AH220" s="143"/>
      <c r="AI220" s="143"/>
      <c r="AJ220" s="143"/>
      <c r="AK220" s="143"/>
      <c r="AL220" s="143"/>
      <c r="AM220" s="143"/>
    </row>
    <row r="221" spans="1:39">
      <c r="A221" s="143"/>
      <c r="B221" s="143"/>
      <c r="C221" s="143"/>
      <c r="D221" s="143"/>
      <c r="E221" s="143"/>
      <c r="F221" s="143"/>
      <c r="G221" s="144"/>
      <c r="H221" s="143"/>
      <c r="I221" s="143"/>
      <c r="J221" s="143"/>
      <c r="K221" s="143"/>
      <c r="L221" s="143"/>
      <c r="M221" s="143"/>
      <c r="N221" s="143"/>
      <c r="O221" s="143"/>
      <c r="P221" s="143"/>
      <c r="Q221" s="143"/>
      <c r="R221" s="143"/>
      <c r="S221" s="143"/>
      <c r="T221" s="143"/>
      <c r="U221" s="143"/>
      <c r="V221" s="143"/>
      <c r="W221" s="143"/>
      <c r="X221" s="143"/>
      <c r="Y221" s="143"/>
      <c r="Z221" s="143"/>
      <c r="AA221" s="143"/>
      <c r="AB221" s="143"/>
      <c r="AC221" s="143"/>
      <c r="AD221" s="143"/>
      <c r="AE221" s="143"/>
      <c r="AF221" s="143"/>
      <c r="AG221" s="143"/>
      <c r="AH221" s="143"/>
      <c r="AI221" s="143"/>
      <c r="AJ221" s="143"/>
      <c r="AK221" s="143"/>
      <c r="AL221" s="143"/>
      <c r="AM221" s="143"/>
    </row>
    <row r="222" spans="1:39">
      <c r="A222" s="143"/>
      <c r="B222" s="143"/>
      <c r="C222" s="143"/>
      <c r="D222" s="143"/>
      <c r="E222" s="143"/>
      <c r="F222" s="143"/>
      <c r="G222" s="144"/>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143"/>
      <c r="AG222" s="143"/>
      <c r="AH222" s="143"/>
      <c r="AI222" s="143"/>
      <c r="AJ222" s="143"/>
      <c r="AK222" s="143"/>
      <c r="AL222" s="143"/>
      <c r="AM222" s="143"/>
    </row>
    <row r="223" spans="1:39">
      <c r="A223" s="143"/>
      <c r="B223" s="143"/>
      <c r="C223" s="143"/>
      <c r="D223" s="143"/>
      <c r="E223" s="143"/>
      <c r="F223" s="143"/>
      <c r="G223" s="144"/>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E223" s="143"/>
      <c r="AF223" s="143"/>
      <c r="AG223" s="143"/>
      <c r="AH223" s="143"/>
      <c r="AI223" s="143"/>
      <c r="AJ223" s="143"/>
      <c r="AK223" s="143"/>
      <c r="AL223" s="143"/>
      <c r="AM223" s="143"/>
    </row>
    <row r="224" spans="1:39">
      <c r="A224" s="143"/>
      <c r="B224" s="143"/>
      <c r="C224" s="143"/>
      <c r="D224" s="143"/>
      <c r="E224" s="143"/>
      <c r="F224" s="143"/>
      <c r="G224" s="144"/>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3"/>
      <c r="AK224" s="143"/>
      <c r="AL224" s="143"/>
      <c r="AM224" s="143"/>
    </row>
    <row r="225" spans="1:39">
      <c r="A225" s="143"/>
      <c r="B225" s="143"/>
      <c r="C225" s="143"/>
      <c r="D225" s="143"/>
      <c r="E225" s="143"/>
      <c r="F225" s="143"/>
      <c r="G225" s="144"/>
      <c r="H225" s="143"/>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E225" s="143"/>
      <c r="AF225" s="143"/>
      <c r="AG225" s="143"/>
      <c r="AH225" s="143"/>
      <c r="AI225" s="143"/>
      <c r="AJ225" s="143"/>
      <c r="AK225" s="143"/>
      <c r="AL225" s="143"/>
      <c r="AM225" s="143"/>
    </row>
    <row r="226" spans="1:39">
      <c r="A226" s="143"/>
      <c r="B226" s="143"/>
      <c r="C226" s="143"/>
      <c r="D226" s="143"/>
      <c r="E226" s="143"/>
      <c r="F226" s="143"/>
      <c r="G226" s="144"/>
      <c r="H226" s="143"/>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c r="AE226" s="143"/>
      <c r="AF226" s="143"/>
      <c r="AG226" s="143"/>
      <c r="AH226" s="143"/>
      <c r="AI226" s="143"/>
      <c r="AJ226" s="143"/>
      <c r="AK226" s="143"/>
      <c r="AL226" s="143"/>
      <c r="AM226" s="143"/>
    </row>
    <row r="227" spans="1:39">
      <c r="A227" s="143"/>
      <c r="B227" s="143"/>
      <c r="C227" s="143"/>
      <c r="D227" s="143"/>
      <c r="E227" s="143"/>
      <c r="F227" s="143"/>
      <c r="G227" s="144"/>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c r="AG227" s="143"/>
      <c r="AH227" s="143"/>
      <c r="AI227" s="143"/>
      <c r="AJ227" s="143"/>
      <c r="AK227" s="143"/>
      <c r="AL227" s="143"/>
      <c r="AM227" s="143"/>
    </row>
    <row r="228" spans="1:39">
      <c r="A228" s="143"/>
      <c r="B228" s="143"/>
      <c r="C228" s="143"/>
      <c r="D228" s="143"/>
      <c r="E228" s="143"/>
      <c r="F228" s="143"/>
      <c r="G228" s="144"/>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E228" s="143"/>
      <c r="AF228" s="143"/>
      <c r="AG228" s="143"/>
      <c r="AH228" s="143"/>
      <c r="AI228" s="143"/>
      <c r="AJ228" s="143"/>
      <c r="AK228" s="143"/>
      <c r="AL228" s="143"/>
      <c r="AM228" s="143"/>
    </row>
    <row r="229" spans="1:39">
      <c r="A229" s="143"/>
      <c r="B229" s="143"/>
      <c r="C229" s="143"/>
      <c r="D229" s="143"/>
      <c r="E229" s="143"/>
      <c r="F229" s="143"/>
      <c r="G229" s="144"/>
      <c r="H229" s="143"/>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E229" s="143"/>
      <c r="AF229" s="143"/>
      <c r="AG229" s="143"/>
      <c r="AH229" s="143"/>
      <c r="AI229" s="143"/>
      <c r="AJ229" s="143"/>
      <c r="AK229" s="143"/>
      <c r="AL229" s="143"/>
      <c r="AM229" s="143"/>
    </row>
    <row r="230" spans="1:39">
      <c r="A230" s="143"/>
      <c r="B230" s="143"/>
      <c r="C230" s="143"/>
      <c r="D230" s="143"/>
      <c r="E230" s="143"/>
      <c r="F230" s="143"/>
      <c r="G230" s="144"/>
      <c r="H230" s="143"/>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143"/>
      <c r="AG230" s="143"/>
      <c r="AH230" s="143"/>
      <c r="AI230" s="143"/>
      <c r="AJ230" s="143"/>
      <c r="AK230" s="143"/>
      <c r="AL230" s="143"/>
      <c r="AM230" s="143"/>
    </row>
  </sheetData>
  <sheetProtection selectLockedCells="1"/>
  <mergeCells count="3">
    <mergeCell ref="B135:D135"/>
    <mergeCell ref="L2:M2"/>
    <mergeCell ref="A1:M1"/>
  </mergeCells>
  <phoneticPr fontId="3" type="noConversion"/>
  <conditionalFormatting sqref="G27:G31">
    <cfRule type="expression" dxfId="15" priority="40">
      <formula>$AN$31</formula>
    </cfRule>
  </conditionalFormatting>
  <conditionalFormatting sqref="F52">
    <cfRule type="colorScale" priority="38">
      <colorScale>
        <cfvo type="min"/>
        <cfvo type="formula" val="$AN$45*0.8"/>
        <cfvo type="num" val="$AN$45"/>
        <color theme="0"/>
        <color rgb="FFFFC000"/>
        <color rgb="FFFF0000"/>
      </colorScale>
    </cfRule>
  </conditionalFormatting>
  <conditionalFormatting sqref="F27:F28">
    <cfRule type="cellIs" dxfId="14" priority="35" operator="equal">
      <formula>"NA"</formula>
    </cfRule>
    <cfRule type="cellIs" dxfId="13" priority="41" operator="equal">
      <formula>"""NA"""</formula>
    </cfRule>
  </conditionalFormatting>
  <conditionalFormatting sqref="F62">
    <cfRule type="cellIs" dxfId="12" priority="80" operator="lessThan">
      <formula>0.25</formula>
    </cfRule>
  </conditionalFormatting>
  <conditionalFormatting sqref="F67">
    <cfRule type="cellIs" dxfId="11" priority="31" operator="lessThan">
      <formula>$F$66</formula>
    </cfRule>
  </conditionalFormatting>
  <conditionalFormatting sqref="F69">
    <cfRule type="cellIs" dxfId="10" priority="28" operator="lessThan">
      <formula>1.1</formula>
    </cfRule>
    <cfRule type="cellIs" dxfId="9" priority="29" operator="between">
      <formula>1.1</formula>
      <formula>1.3</formula>
    </cfRule>
  </conditionalFormatting>
  <conditionalFormatting sqref="F57">
    <cfRule type="cellIs" dxfId="8" priority="17" operator="lessThan">
      <formula>$F$53</formula>
    </cfRule>
  </conditionalFormatting>
  <conditionalFormatting sqref="E70:G73 E134:G134 G151 E151 C151">
    <cfRule type="expression" dxfId="7" priority="6">
      <formula>$F$64="single"</formula>
    </cfRule>
  </conditionalFormatting>
  <conditionalFormatting sqref="F64">
    <cfRule type="cellIs" dxfId="6" priority="4" operator="lessThan">
      <formula>$F$66</formula>
    </cfRule>
  </conditionalFormatting>
  <conditionalFormatting sqref="F54">
    <cfRule type="expression" dxfId="5" priority="3">
      <formula>$F$54&lt;$F$53</formula>
    </cfRule>
  </conditionalFormatting>
  <conditionalFormatting sqref="H134">
    <cfRule type="expression" dxfId="4" priority="2">
      <formula>$F$64="single"</formula>
    </cfRule>
  </conditionalFormatting>
  <dataValidations xWindow="708" yWindow="485" count="12">
    <dataValidation type="decimal" allowBlank="1" showInputMessage="1" showErrorMessage="1" errorTitle="Minimum System Voltage Violation" error="Input voltage should be between 2.9V and 17V." sqref="F14">
      <formula1>F13</formula1>
      <formula2>F15</formula2>
    </dataValidation>
    <dataValidation type="decimal" operator="greaterThanOrEqual" allowBlank="1" showInputMessage="1" showErrorMessage="1" errorTitle="Load Capacitance Violation" error="A minimum load capacitance of 10 uF is required to help prevent disruptions at turn off." sqref="F17">
      <formula1>10</formula1>
    </dataValidation>
    <dataValidation type="decimal" operator="greaterThan" allowBlank="1" showInputMessage="1" showErrorMessage="1" errorTitle="Maximum Load Current Violation" error="Maximum Load Current must be greater than 0." sqref="F16">
      <formula1>0</formula1>
    </dataValidation>
    <dataValidation type="whole" allowBlank="1" showInputMessage="1" showErrorMessage="1" sqref="F43">
      <formula1>1</formula1>
      <formula2>6</formula2>
    </dataValidation>
    <dataValidation type="decimal" allowBlank="1" showInputMessage="1" showErrorMessage="1" sqref="F46:F50">
      <formula1>0.001</formula1>
      <formula2>400</formula2>
    </dataValidation>
    <dataValidation type="decimal" allowBlank="1" showInputMessage="1" showErrorMessage="1" sqref="F45">
      <formula1>0</formula1>
      <formula2>200</formula2>
    </dataValidation>
    <dataValidation errorStyle="information" operator="equal" allowBlank="1" showInputMessage="1" showErrorMessage="1" errorTitle="Resistor Divider" error="When using resistor divider Rs should be set larger than Rs,eff. _x000a__x000a_Otherwise switch to &quot;No resistor divider&quot;" sqref="F27"/>
    <dataValidation type="list" allowBlank="1" showInputMessage="1" showErrorMessage="1" sqref="F59">
      <formula1>$AN$59:$AN$60</formula1>
    </dataValidation>
    <dataValidation type="list" allowBlank="1" showInputMessage="1" showErrorMessage="1" sqref="F64">
      <formula1>$AN$63:$AN$64</formula1>
    </dataValidation>
    <dataValidation type="list" allowBlank="1" showInputMessage="1" showErrorMessage="1" errorTitle="Ambient Temperature Violation" error="The Ambient Temperature must be between -40C and 125C" sqref="F20">
      <formula1>$AN$20:$AN$22</formula1>
    </dataValidation>
    <dataValidation type="list" allowBlank="1" showInputMessage="1" showErrorMessage="1" sqref="E140">
      <formula1>$AO$21:$AO$22</formula1>
    </dataValidation>
    <dataValidation type="decimal" allowBlank="1" showInputMessage="1" showErrorMessage="1" sqref="F58">
      <formula1>0</formula1>
      <formula2>12</formula2>
    </dataValidation>
  </dataValidations>
  <hyperlinks>
    <hyperlink ref="B2" r:id="rId1"/>
  </hyperlinks>
  <pageMargins left="0.17" right="0.17" top="0.55000000000000004" bottom="0.92" header="0.48" footer="0.2"/>
  <pageSetup scale="62" fitToHeight="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242" r:id="rId5" name="Button 218">
              <controlPr defaultSize="0" autoFill="0" autoPict="0" macro="[0]!OpenHotSwapWebPage">
                <anchor moveWithCells="1" sizeWithCells="1">
                  <from>
                    <xdr:col>9</xdr:col>
                    <xdr:colOff>38100</xdr:colOff>
                    <xdr:row>0</xdr:row>
                    <xdr:rowOff>99060</xdr:rowOff>
                  </from>
                  <to>
                    <xdr:col>12</xdr:col>
                    <xdr:colOff>655320</xdr:colOff>
                    <xdr:row>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82" stopIfTrue="1" operator="greaterThan" id="{E4A17A15-ABA9-492F-B873-F2BC2463FAF9}">
            <xm:f>Equations!$E$3</xm:f>
            <x14:dxf>
              <fill>
                <patternFill>
                  <bgColor indexed="10"/>
                </patternFill>
              </fill>
            </x14:dxf>
          </x14:cfRule>
          <xm:sqref>F25</xm:sqref>
        </x14:conditionalFormatting>
        <x14:conditionalFormatting xmlns:xm="http://schemas.microsoft.com/office/excel/2006/main">
          <x14:cfRule type="expression" priority="1" id="{023C471B-1CE0-4C50-9DDA-DFB18F921E07}">
            <xm:f>Equations!$C$100&gt;$F$88</xm:f>
            <x14:dxf>
              <fill>
                <patternFill>
                  <bgColor rgb="FFFF0000"/>
                </patternFill>
              </fill>
            </x14:dxf>
          </x14:cfRule>
          <xm:sqref>F88</xm:sqref>
        </x14:conditionalFormatting>
      </x14:conditionalFormattings>
    </ext>
    <ext xmlns:x14="http://schemas.microsoft.com/office/spreadsheetml/2009/9/main" uri="{CCE6A557-97BC-4b89-ADB6-D9C93CAAB3DF}">
      <x14:dataValidations xmlns:xm="http://schemas.microsoft.com/office/excel/2006/main" xWindow="708" yWindow="485" count="3">
        <x14:dataValidation type="decimal" allowBlank="1" showInputMessage="1" showErrorMessage="1" errorTitle="Ambient Temperature Violation" error="The Ambient Temperature must be between -40C and 125C">
          <x14:formula1>
            <xm:f>'Device Parmaters'!C3</xm:f>
          </x14:formula1>
          <x14:formula2>
            <xm:f>'Device Parmaters'!E3</xm:f>
          </x14:formula2>
          <xm:sqref>F19</xm:sqref>
        </x14:dataValidation>
        <x14:dataValidation type="decimal" operator="lessThanOrEqual" allowBlank="1" showInputMessage="1" showErrorMessage="1" errorTitle="Maximum System Voltage Violation" error="The maximum system voltage must be no greater than 17V.">
          <x14:formula1>
            <xm:f>'Device Parmaters'!E4</xm:f>
          </x14:formula1>
          <xm:sqref>F15</xm:sqref>
        </x14:dataValidation>
        <x14:dataValidation type="decimal" operator="greaterThanOrEqual" allowBlank="1" showInputMessage="1" showErrorMessage="1" errorTitle="Minimum System Voltage Violation" error="The minimum system voltage must be at least 2.9V.">
          <x14:formula1>
            <xm:f>'Device Parmaters'!C4</xm:f>
          </x14:formula1>
          <xm:sqref>F13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81"/>
  <sheetViews>
    <sheetView topLeftCell="A28" workbookViewId="0">
      <selection activeCell="E68" sqref="D58:E68"/>
    </sheetView>
  </sheetViews>
  <sheetFormatPr defaultRowHeight="13.2"/>
  <cols>
    <col min="1" max="1" width="9.44140625" customWidth="1"/>
    <col min="2" max="2" width="44.109375" customWidth="1"/>
    <col min="12" max="12" width="13.5546875" customWidth="1"/>
  </cols>
  <sheetData>
    <row r="1" spans="1:14">
      <c r="A1" s="18"/>
      <c r="C1" s="18" t="s">
        <v>34</v>
      </c>
      <c r="D1" s="18" t="s">
        <v>35</v>
      </c>
      <c r="E1" s="18" t="s">
        <v>36</v>
      </c>
      <c r="F1" s="18" t="s">
        <v>98</v>
      </c>
    </row>
    <row r="2" spans="1:14">
      <c r="A2" s="15" t="s">
        <v>96</v>
      </c>
      <c r="C2" s="18"/>
      <c r="D2" s="18"/>
      <c r="E2" s="18"/>
    </row>
    <row r="3" spans="1:14">
      <c r="A3" s="15"/>
      <c r="B3" s="18" t="s">
        <v>103</v>
      </c>
      <c r="C3" s="38">
        <v>-40</v>
      </c>
      <c r="D3" s="38"/>
      <c r="E3" s="38">
        <v>125</v>
      </c>
      <c r="F3" s="18" t="s">
        <v>198</v>
      </c>
    </row>
    <row r="4" spans="1:14">
      <c r="B4" s="19" t="s">
        <v>97</v>
      </c>
      <c r="C4" s="1">
        <v>2.5</v>
      </c>
      <c r="D4" s="1"/>
      <c r="E4" s="1">
        <v>18</v>
      </c>
      <c r="F4" s="18" t="s">
        <v>49</v>
      </c>
      <c r="J4" s="2"/>
    </row>
    <row r="5" spans="1:14" ht="16.5" customHeight="1">
      <c r="A5" s="15" t="s">
        <v>75</v>
      </c>
      <c r="B5" s="19"/>
      <c r="C5" s="1"/>
      <c r="D5" s="1"/>
      <c r="E5" s="1"/>
      <c r="J5" s="2"/>
    </row>
    <row r="6" spans="1:14">
      <c r="B6" s="19"/>
      <c r="C6" s="1"/>
      <c r="D6" s="1"/>
      <c r="E6" s="1"/>
      <c r="F6" s="18"/>
      <c r="J6" s="2"/>
    </row>
    <row r="7" spans="1:14">
      <c r="B7" s="19"/>
      <c r="C7" s="1"/>
      <c r="D7" s="1"/>
      <c r="E7" s="1"/>
      <c r="J7" s="19"/>
    </row>
    <row r="8" spans="1:14">
      <c r="B8" s="19"/>
      <c r="C8" s="1"/>
      <c r="D8" s="1"/>
      <c r="E8" s="1"/>
      <c r="F8" s="18"/>
      <c r="J8" s="19"/>
    </row>
    <row r="9" spans="1:14">
      <c r="C9" s="1"/>
      <c r="D9" s="1"/>
      <c r="E9" s="1"/>
    </row>
    <row r="10" spans="1:14">
      <c r="A10" s="15" t="s">
        <v>105</v>
      </c>
      <c r="C10" s="1"/>
      <c r="D10" s="1"/>
      <c r="E10" s="1"/>
    </row>
    <row r="11" spans="1:14">
      <c r="A11" s="131"/>
      <c r="B11" s="19" t="s">
        <v>224</v>
      </c>
      <c r="C11" s="95">
        <v>10</v>
      </c>
      <c r="E11" s="93">
        <v>67.5</v>
      </c>
      <c r="F11" s="18" t="s">
        <v>106</v>
      </c>
      <c r="G11" s="18" t="s">
        <v>265</v>
      </c>
    </row>
    <row r="12" spans="1:14">
      <c r="B12" s="19" t="s">
        <v>267</v>
      </c>
      <c r="D12" s="110">
        <v>25</v>
      </c>
      <c r="G12" s="18" t="s">
        <v>268</v>
      </c>
    </row>
    <row r="14" spans="1:14">
      <c r="B14" s="19" t="s">
        <v>223</v>
      </c>
      <c r="D14" s="95">
        <v>1.5</v>
      </c>
      <c r="E14" s="62"/>
      <c r="F14" s="18" t="s">
        <v>106</v>
      </c>
      <c r="I14" s="18"/>
      <c r="M14" s="66"/>
      <c r="N14" s="65"/>
    </row>
    <row r="15" spans="1:14">
      <c r="B15" s="2"/>
      <c r="C15" s="1"/>
      <c r="D15" s="1"/>
      <c r="E15" s="1"/>
    </row>
    <row r="16" spans="1:14">
      <c r="A16" s="15" t="s">
        <v>100</v>
      </c>
      <c r="C16" s="1"/>
      <c r="D16" s="1"/>
      <c r="E16" s="1"/>
    </row>
    <row r="17" spans="1:6">
      <c r="B17" s="19" t="s">
        <v>101</v>
      </c>
      <c r="C17" s="1">
        <v>1.3</v>
      </c>
      <c r="D17" s="1">
        <v>1.35</v>
      </c>
      <c r="E17" s="1">
        <v>1.4</v>
      </c>
      <c r="F17" s="18" t="s">
        <v>49</v>
      </c>
    </row>
    <row r="18" spans="1:6">
      <c r="B18" s="19" t="s">
        <v>199</v>
      </c>
      <c r="C18" s="1">
        <v>0.33</v>
      </c>
      <c r="D18" s="1">
        <v>0.35</v>
      </c>
      <c r="E18" s="1">
        <v>0.37</v>
      </c>
      <c r="F18" s="18" t="s">
        <v>49</v>
      </c>
    </row>
    <row r="19" spans="1:6">
      <c r="B19" s="19" t="s">
        <v>461</v>
      </c>
      <c r="C19" s="82">
        <v>8</v>
      </c>
      <c r="D19" s="82">
        <v>10.25</v>
      </c>
      <c r="E19" s="82">
        <v>12.5</v>
      </c>
      <c r="F19" s="18" t="s">
        <v>99</v>
      </c>
    </row>
    <row r="20" spans="1:6">
      <c r="B20" s="19" t="s">
        <v>200</v>
      </c>
      <c r="C20" s="1"/>
      <c r="D20" s="1">
        <v>2</v>
      </c>
      <c r="E20" s="1"/>
      <c r="F20" s="18" t="s">
        <v>99</v>
      </c>
    </row>
    <row r="22" spans="1:6">
      <c r="A22" s="15" t="s">
        <v>139</v>
      </c>
      <c r="B22" s="2"/>
      <c r="C22" s="1"/>
      <c r="D22" s="1"/>
      <c r="E22" s="1"/>
    </row>
    <row r="23" spans="1:6">
      <c r="B23" s="19" t="s">
        <v>202</v>
      </c>
      <c r="C23" s="1">
        <v>44</v>
      </c>
      <c r="D23" s="1">
        <v>55</v>
      </c>
      <c r="E23" s="1">
        <v>66</v>
      </c>
      <c r="F23" s="18" t="s">
        <v>99</v>
      </c>
    </row>
    <row r="24" spans="1:6">
      <c r="B24" s="2"/>
      <c r="C24" s="1"/>
      <c r="D24" s="1"/>
      <c r="E24" s="1"/>
    </row>
    <row r="25" spans="1:6">
      <c r="A25" s="15" t="s">
        <v>203</v>
      </c>
      <c r="B25" s="2"/>
      <c r="C25" s="1"/>
      <c r="D25" s="1"/>
      <c r="E25" s="1"/>
    </row>
    <row r="26" spans="1:6">
      <c r="B26" s="19" t="s">
        <v>204</v>
      </c>
      <c r="C26" s="1">
        <v>1.3</v>
      </c>
      <c r="D26" s="1">
        <v>1.35</v>
      </c>
      <c r="E26" s="1">
        <v>1.4</v>
      </c>
      <c r="F26" s="18" t="s">
        <v>49</v>
      </c>
    </row>
    <row r="27" spans="1:6">
      <c r="B27" s="19" t="s">
        <v>205</v>
      </c>
      <c r="C27" s="94"/>
      <c r="D27" s="94">
        <v>50</v>
      </c>
      <c r="E27" s="94"/>
      <c r="F27" s="18" t="s">
        <v>106</v>
      </c>
    </row>
    <row r="28" spans="1:6">
      <c r="B28" s="19"/>
      <c r="C28" s="94"/>
      <c r="D28" s="94"/>
      <c r="E28" s="94"/>
    </row>
    <row r="29" spans="1:6">
      <c r="A29" s="15" t="s">
        <v>206</v>
      </c>
      <c r="B29" s="19"/>
      <c r="C29" s="94"/>
      <c r="D29" s="94"/>
      <c r="E29" s="94"/>
    </row>
    <row r="30" spans="1:6">
      <c r="A30" s="15"/>
      <c r="B30" s="19" t="s">
        <v>207</v>
      </c>
      <c r="C30" s="94">
        <v>2.2000000000000002</v>
      </c>
      <c r="D30" s="94">
        <v>2.3199999999999998</v>
      </c>
      <c r="E30" s="96">
        <v>2.4500000000000002</v>
      </c>
      <c r="F30" s="18" t="s">
        <v>49</v>
      </c>
    </row>
    <row r="31" spans="1:6">
      <c r="B31" s="19" t="s">
        <v>208</v>
      </c>
      <c r="C31" s="94">
        <v>2.1</v>
      </c>
      <c r="D31" s="94">
        <v>2.2200000000000002</v>
      </c>
      <c r="E31" s="94">
        <v>2.35</v>
      </c>
      <c r="F31" s="18" t="s">
        <v>49</v>
      </c>
    </row>
    <row r="32" spans="1:6">
      <c r="B32" s="19" t="s">
        <v>205</v>
      </c>
      <c r="C32" s="94"/>
      <c r="D32" s="94">
        <v>0.1</v>
      </c>
      <c r="E32" s="94"/>
      <c r="F32" s="18" t="s">
        <v>49</v>
      </c>
    </row>
    <row r="33" spans="1:8">
      <c r="B33" s="19"/>
      <c r="C33" s="94"/>
      <c r="D33" s="94"/>
      <c r="E33" s="94"/>
    </row>
    <row r="34" spans="1:8">
      <c r="A34" s="15" t="s">
        <v>209</v>
      </c>
      <c r="B34" s="19"/>
      <c r="C34" s="94"/>
      <c r="D34" s="94"/>
      <c r="E34" s="94"/>
    </row>
    <row r="35" spans="1:8">
      <c r="B35" s="19" t="s">
        <v>210</v>
      </c>
      <c r="C35" s="94">
        <v>1.3</v>
      </c>
      <c r="D35" s="94">
        <v>1.35</v>
      </c>
      <c r="E35" s="94">
        <v>1.4</v>
      </c>
      <c r="F35" s="18" t="s">
        <v>49</v>
      </c>
    </row>
    <row r="36" spans="1:8">
      <c r="A36" s="15"/>
      <c r="B36" s="19" t="s">
        <v>205</v>
      </c>
      <c r="C36" s="94"/>
      <c r="D36" s="94">
        <v>50</v>
      </c>
      <c r="E36" s="94"/>
      <c r="F36" s="18" t="s">
        <v>106</v>
      </c>
    </row>
    <row r="37" spans="1:8">
      <c r="A37" s="15"/>
      <c r="B37" s="19"/>
      <c r="C37" s="94"/>
      <c r="D37" s="94"/>
      <c r="E37" s="94"/>
    </row>
    <row r="38" spans="1:8">
      <c r="A38" s="15" t="s">
        <v>213</v>
      </c>
      <c r="B38" s="2"/>
      <c r="C38" s="94"/>
      <c r="D38" s="94"/>
      <c r="E38" s="94"/>
    </row>
    <row r="39" spans="1:8">
      <c r="A39" s="15"/>
      <c r="B39" s="19" t="s">
        <v>214</v>
      </c>
      <c r="C39" s="94">
        <v>0.3</v>
      </c>
      <c r="D39" s="94">
        <v>0.7</v>
      </c>
      <c r="E39" s="94">
        <v>1.4</v>
      </c>
      <c r="F39" s="18" t="s">
        <v>49</v>
      </c>
    </row>
    <row r="40" spans="1:8">
      <c r="A40" s="15"/>
      <c r="B40" s="19"/>
      <c r="C40" s="94"/>
      <c r="D40" s="94"/>
      <c r="E40" s="94"/>
    </row>
    <row r="41" spans="1:8">
      <c r="A41" s="15" t="s">
        <v>215</v>
      </c>
      <c r="B41" s="2"/>
      <c r="C41" s="94"/>
      <c r="D41" s="94"/>
      <c r="E41" s="94"/>
    </row>
    <row r="42" spans="1:8">
      <c r="A42" s="15"/>
      <c r="B42" s="19" t="s">
        <v>216</v>
      </c>
      <c r="C42" s="94"/>
      <c r="D42" s="94">
        <v>0.11</v>
      </c>
      <c r="E42" s="94">
        <v>0.25</v>
      </c>
      <c r="F42" s="18" t="s">
        <v>49</v>
      </c>
      <c r="G42">
        <v>2</v>
      </c>
      <c r="H42" s="18" t="s">
        <v>217</v>
      </c>
    </row>
    <row r="43" spans="1:8">
      <c r="A43" s="15"/>
      <c r="B43" s="2"/>
      <c r="C43" s="94"/>
      <c r="D43" s="94"/>
      <c r="E43" s="94"/>
    </row>
    <row r="44" spans="1:8">
      <c r="A44" s="15" t="s">
        <v>212</v>
      </c>
      <c r="B44" s="2"/>
      <c r="C44" s="94"/>
      <c r="D44" s="94"/>
      <c r="E44" s="94"/>
    </row>
    <row r="45" spans="1:8">
      <c r="A45" s="15"/>
      <c r="B45" s="19" t="s">
        <v>211</v>
      </c>
      <c r="C45" s="94">
        <v>140</v>
      </c>
      <c r="D45" s="94">
        <v>240</v>
      </c>
      <c r="E45" s="94">
        <v>340</v>
      </c>
      <c r="F45" s="18" t="s">
        <v>106</v>
      </c>
      <c r="H45" s="18"/>
    </row>
    <row r="46" spans="1:8">
      <c r="A46" s="15"/>
      <c r="B46" s="19" t="s">
        <v>205</v>
      </c>
      <c r="C46" s="94"/>
      <c r="D46" s="94">
        <v>70</v>
      </c>
      <c r="E46" s="94"/>
      <c r="F46" s="18" t="s">
        <v>106</v>
      </c>
    </row>
    <row r="48" spans="1:8">
      <c r="A48" s="15" t="s">
        <v>218</v>
      </c>
      <c r="B48" s="2"/>
      <c r="C48" s="94"/>
      <c r="D48" s="94"/>
      <c r="E48" s="94"/>
    </row>
    <row r="49" spans="1:6">
      <c r="A49" s="15"/>
      <c r="B49" s="19" t="s">
        <v>219</v>
      </c>
      <c r="C49" s="94">
        <v>90</v>
      </c>
      <c r="D49" s="94">
        <v>101</v>
      </c>
      <c r="E49" s="94">
        <v>115</v>
      </c>
      <c r="F49" s="18" t="s">
        <v>106</v>
      </c>
    </row>
    <row r="50" spans="1:6">
      <c r="A50" s="15"/>
      <c r="B50" s="2"/>
      <c r="C50" s="94"/>
      <c r="D50" s="94"/>
      <c r="E50" s="94"/>
    </row>
    <row r="51" spans="1:6">
      <c r="A51" s="15" t="s">
        <v>220</v>
      </c>
      <c r="B51" s="2"/>
      <c r="C51" s="94"/>
      <c r="D51" s="94"/>
      <c r="E51" s="94"/>
    </row>
    <row r="52" spans="1:6">
      <c r="A52" s="15"/>
      <c r="B52" s="19" t="s">
        <v>221</v>
      </c>
      <c r="C52" s="94">
        <v>0.65</v>
      </c>
      <c r="D52" s="94">
        <v>0.67800000000000005</v>
      </c>
      <c r="E52" s="94">
        <v>0.7</v>
      </c>
      <c r="F52" s="18" t="s">
        <v>49</v>
      </c>
    </row>
    <row r="53" spans="1:6">
      <c r="A53" s="15"/>
      <c r="B53" s="2"/>
      <c r="C53" s="94"/>
      <c r="D53" s="94"/>
      <c r="E53" s="94"/>
    </row>
    <row r="54" spans="1:6">
      <c r="A54" s="15"/>
      <c r="B54" s="2"/>
      <c r="C54" s="94"/>
      <c r="D54" s="94"/>
      <c r="E54" s="94"/>
    </row>
    <row r="55" spans="1:6">
      <c r="A55" s="15" t="s">
        <v>298</v>
      </c>
      <c r="B55" s="2"/>
      <c r="C55" s="94"/>
      <c r="D55" s="94"/>
      <c r="E55" s="94"/>
    </row>
    <row r="56" spans="1:6">
      <c r="A56" s="15"/>
      <c r="B56" s="19" t="s">
        <v>299</v>
      </c>
      <c r="C56" s="94">
        <v>1</v>
      </c>
      <c r="D56" s="111" t="s">
        <v>106</v>
      </c>
      <c r="E56" s="94"/>
    </row>
    <row r="57" spans="1:6">
      <c r="A57" s="15"/>
      <c r="B57" s="19" t="s">
        <v>263</v>
      </c>
      <c r="C57" s="115">
        <v>0.06</v>
      </c>
      <c r="D57" s="94"/>
      <c r="E57" s="94"/>
    </row>
    <row r="58" spans="1:6">
      <c r="A58" s="15"/>
      <c r="B58" s="2"/>
      <c r="C58" s="94"/>
      <c r="D58" s="94"/>
      <c r="E58" s="94"/>
    </row>
    <row r="59" spans="1:6">
      <c r="A59" s="15"/>
      <c r="B59" s="19" t="s">
        <v>310</v>
      </c>
      <c r="C59" s="94">
        <v>9.9000000000000005E-2</v>
      </c>
      <c r="D59" s="111" t="s">
        <v>201</v>
      </c>
      <c r="E59" s="94"/>
    </row>
    <row r="60" spans="1:6">
      <c r="A60" s="15"/>
      <c r="B60" s="2"/>
      <c r="C60" s="94"/>
      <c r="D60" s="94"/>
      <c r="E60" s="94"/>
    </row>
    <row r="61" spans="1:6">
      <c r="A61" s="15"/>
      <c r="B61" s="2"/>
      <c r="C61" s="94"/>
      <c r="D61" s="94"/>
      <c r="E61" s="94"/>
    </row>
    <row r="62" spans="1:6">
      <c r="A62" s="15"/>
      <c r="B62" s="2"/>
      <c r="C62" s="94"/>
      <c r="D62" s="94"/>
      <c r="E62" s="94"/>
    </row>
    <row r="63" spans="1:6">
      <c r="A63" s="15"/>
      <c r="B63" s="2"/>
      <c r="C63" s="94"/>
      <c r="D63" s="94"/>
      <c r="E63" s="94"/>
    </row>
    <row r="64" spans="1:6">
      <c r="A64" s="15"/>
      <c r="B64" s="2"/>
      <c r="C64" s="94"/>
      <c r="D64" s="94"/>
      <c r="E64" s="94"/>
    </row>
    <row r="65" spans="1:6">
      <c r="A65" s="15"/>
      <c r="B65" s="2"/>
      <c r="C65" s="94">
        <f>56.25*43.5^-0.57</f>
        <v>6.5491305892439273</v>
      </c>
      <c r="D65" s="94"/>
      <c r="E65" s="94"/>
    </row>
    <row r="66" spans="1:6">
      <c r="A66" s="15"/>
      <c r="B66" s="2"/>
      <c r="C66" s="94"/>
      <c r="D66" s="94"/>
      <c r="E66" s="94"/>
    </row>
    <row r="67" spans="1:6">
      <c r="A67" s="15"/>
      <c r="B67" s="2"/>
      <c r="C67" s="94">
        <f>(150-55)/(150-25)*C65</f>
        <v>4.9773392478253848</v>
      </c>
      <c r="D67" s="94"/>
      <c r="E67" s="94"/>
    </row>
    <row r="68" spans="1:6">
      <c r="A68" s="15"/>
      <c r="B68" s="2"/>
      <c r="C68" s="94"/>
      <c r="D68" s="94"/>
      <c r="E68" s="94"/>
    </row>
    <row r="69" spans="1:6">
      <c r="A69" s="15"/>
      <c r="B69" s="19"/>
      <c r="C69" s="94"/>
      <c r="D69" s="94"/>
      <c r="E69" s="94"/>
      <c r="F69" s="18"/>
    </row>
    <row r="70" spans="1:6">
      <c r="A70" s="15"/>
      <c r="B70" s="19"/>
      <c r="C70" s="94"/>
      <c r="D70" s="94"/>
      <c r="E70" s="94"/>
      <c r="F70" s="18"/>
    </row>
    <row r="71" spans="1:6">
      <c r="A71" s="15"/>
      <c r="B71" s="2"/>
      <c r="C71" s="94"/>
      <c r="D71" s="94"/>
      <c r="E71" s="94"/>
    </row>
    <row r="72" spans="1:6">
      <c r="A72" s="15"/>
      <c r="B72" s="2"/>
      <c r="C72" s="94"/>
      <c r="D72" s="94"/>
      <c r="E72" s="94"/>
    </row>
    <row r="73" spans="1:6">
      <c r="A73" s="15"/>
      <c r="B73" s="2"/>
      <c r="C73" s="94"/>
      <c r="D73" s="94"/>
      <c r="E73" s="94"/>
    </row>
    <row r="74" spans="1:6">
      <c r="A74" s="15"/>
      <c r="B74" s="2"/>
      <c r="C74" s="94"/>
      <c r="D74" s="94"/>
      <c r="E74" s="94"/>
    </row>
    <row r="75" spans="1:6">
      <c r="A75" s="15"/>
      <c r="B75" s="2"/>
      <c r="C75" s="94"/>
      <c r="D75" s="94"/>
      <c r="E75" s="94"/>
    </row>
    <row r="76" spans="1:6">
      <c r="A76" s="15"/>
      <c r="B76" s="2"/>
      <c r="C76" s="94"/>
      <c r="D76" s="94"/>
      <c r="E76" s="94"/>
    </row>
    <row r="77" spans="1:6">
      <c r="A77" s="15"/>
      <c r="B77" s="2"/>
      <c r="C77" s="94"/>
      <c r="D77" s="94"/>
      <c r="E77" s="94"/>
    </row>
    <row r="78" spans="1:6">
      <c r="A78" s="15"/>
      <c r="B78" s="2"/>
      <c r="C78" s="94"/>
      <c r="D78" s="94"/>
      <c r="E78" s="94"/>
    </row>
    <row r="79" spans="1:6">
      <c r="A79" s="15"/>
      <c r="B79" s="2"/>
      <c r="C79" s="94"/>
      <c r="D79" s="94"/>
      <c r="E79" s="94"/>
    </row>
    <row r="80" spans="1:6">
      <c r="A80" s="15"/>
      <c r="B80" s="2"/>
      <c r="C80" s="94"/>
      <c r="D80" s="94"/>
      <c r="E80" s="94"/>
    </row>
    <row r="81" spans="1:5">
      <c r="A81" s="15"/>
      <c r="B81" s="2"/>
      <c r="C81" s="94"/>
      <c r="D81" s="94"/>
      <c r="E81" s="94"/>
    </row>
    <row r="82" spans="1:5">
      <c r="A82" s="15"/>
      <c r="B82" s="2"/>
      <c r="C82" s="94"/>
      <c r="D82" s="94"/>
      <c r="E82" s="94"/>
    </row>
    <row r="83" spans="1:5">
      <c r="A83" s="15"/>
      <c r="B83" s="2"/>
      <c r="C83" s="94"/>
      <c r="D83" s="94"/>
      <c r="E83" s="94"/>
    </row>
    <row r="84" spans="1:5">
      <c r="A84" s="15"/>
      <c r="B84" s="2"/>
      <c r="C84" s="94"/>
      <c r="D84" s="94"/>
      <c r="E84" s="94"/>
    </row>
    <row r="85" spans="1:5">
      <c r="A85" s="15"/>
      <c r="B85" s="2"/>
      <c r="C85" s="94"/>
      <c r="D85" s="94"/>
      <c r="E85" s="94"/>
    </row>
    <row r="86" spans="1:5">
      <c r="A86" s="15"/>
      <c r="B86" s="2"/>
      <c r="C86" s="94"/>
      <c r="D86" s="94"/>
      <c r="E86" s="94"/>
    </row>
    <row r="87" spans="1:5">
      <c r="A87" s="15"/>
      <c r="B87" s="2"/>
      <c r="C87" s="94"/>
      <c r="D87" s="94"/>
      <c r="E87" s="94"/>
    </row>
    <row r="88" spans="1:5">
      <c r="A88" s="15"/>
      <c r="B88" s="2"/>
      <c r="C88" s="94"/>
      <c r="D88" s="94"/>
      <c r="E88" s="94"/>
    </row>
    <row r="89" spans="1:5">
      <c r="A89" s="15"/>
      <c r="B89" s="2"/>
      <c r="C89" s="94"/>
      <c r="D89" s="94"/>
      <c r="E89" s="94"/>
    </row>
    <row r="90" spans="1:5">
      <c r="A90" s="15"/>
      <c r="B90" s="2"/>
      <c r="C90" s="94"/>
      <c r="D90" s="94"/>
      <c r="E90" s="94"/>
    </row>
    <row r="91" spans="1:5">
      <c r="A91" s="15"/>
      <c r="B91" s="2"/>
      <c r="C91" s="94"/>
      <c r="D91" s="94"/>
      <c r="E91" s="94"/>
    </row>
    <row r="92" spans="1:5">
      <c r="A92" s="15"/>
      <c r="B92" s="2"/>
      <c r="C92" s="94"/>
      <c r="D92" s="94"/>
      <c r="E92" s="94"/>
    </row>
    <row r="93" spans="1:5">
      <c r="A93" s="15"/>
      <c r="B93" s="2"/>
      <c r="C93" s="94"/>
      <c r="D93" s="94"/>
      <c r="E93" s="94"/>
    </row>
    <row r="94" spans="1:5">
      <c r="A94" s="15"/>
      <c r="B94" s="2"/>
      <c r="C94" s="94"/>
      <c r="D94" s="94"/>
      <c r="E94" s="94"/>
    </row>
    <row r="95" spans="1:5">
      <c r="A95" s="15"/>
      <c r="B95" s="2"/>
      <c r="C95" s="94"/>
      <c r="D95" s="94"/>
      <c r="E95" s="94"/>
    </row>
    <row r="96" spans="1:5">
      <c r="A96" s="15"/>
      <c r="B96" s="2"/>
      <c r="C96" s="94"/>
      <c r="D96" s="94"/>
      <c r="E96" s="94"/>
    </row>
    <row r="97" spans="1:5">
      <c r="A97" s="15"/>
      <c r="B97" s="2"/>
      <c r="C97" s="94"/>
      <c r="D97" s="94"/>
      <c r="E97" s="94"/>
    </row>
    <row r="98" spans="1:5">
      <c r="A98" s="15"/>
      <c r="B98" s="2"/>
      <c r="C98" s="94"/>
      <c r="D98" s="94"/>
      <c r="E98" s="94"/>
    </row>
    <row r="99" spans="1:5">
      <c r="A99" s="15"/>
      <c r="B99" s="2"/>
      <c r="C99" s="94"/>
      <c r="D99" s="94"/>
      <c r="E99" s="94"/>
    </row>
    <row r="100" spans="1:5">
      <c r="A100" s="15"/>
      <c r="B100" s="2"/>
      <c r="C100" s="94"/>
      <c r="D100" s="94"/>
      <c r="E100" s="94"/>
    </row>
    <row r="101" spans="1:5">
      <c r="A101" s="15"/>
      <c r="B101" s="2"/>
      <c r="C101" s="94"/>
      <c r="D101" s="94"/>
      <c r="E101" s="94"/>
    </row>
    <row r="102" spans="1:5">
      <c r="A102" s="15"/>
      <c r="B102" s="2"/>
      <c r="C102" s="94"/>
      <c r="D102" s="94"/>
      <c r="E102" s="94"/>
    </row>
    <row r="103" spans="1:5">
      <c r="A103" s="15"/>
      <c r="B103" s="2"/>
      <c r="C103" s="94"/>
      <c r="D103" s="94"/>
      <c r="E103" s="94"/>
    </row>
    <row r="104" spans="1:5">
      <c r="A104" s="15"/>
      <c r="B104" s="2"/>
      <c r="C104" s="94"/>
      <c r="D104" s="94"/>
      <c r="E104" s="94"/>
    </row>
    <row r="105" spans="1:5">
      <c r="A105" s="15"/>
      <c r="B105" s="2"/>
      <c r="C105" s="94"/>
      <c r="D105" s="94"/>
      <c r="E105" s="94"/>
    </row>
    <row r="106" spans="1:5">
      <c r="A106" s="15"/>
      <c r="B106" s="2"/>
      <c r="C106" s="94"/>
      <c r="D106" s="94"/>
      <c r="E106" s="94"/>
    </row>
    <row r="107" spans="1:5">
      <c r="A107" s="15"/>
      <c r="B107" s="2"/>
      <c r="C107" s="94"/>
      <c r="D107" s="94"/>
      <c r="E107" s="94"/>
    </row>
    <row r="108" spans="1:5">
      <c r="A108" s="15"/>
      <c r="B108" s="2"/>
      <c r="C108" s="94"/>
      <c r="D108" s="94"/>
      <c r="E108" s="94"/>
    </row>
    <row r="109" spans="1:5">
      <c r="A109" s="15"/>
      <c r="B109" s="2"/>
      <c r="C109" s="94"/>
      <c r="D109" s="94"/>
      <c r="E109" s="94"/>
    </row>
    <row r="110" spans="1:5">
      <c r="A110" s="15"/>
      <c r="B110" s="2"/>
      <c r="C110" s="94"/>
      <c r="D110" s="94"/>
      <c r="E110" s="94"/>
    </row>
    <row r="111" spans="1:5">
      <c r="A111" s="15"/>
      <c r="B111" s="2"/>
      <c r="C111" s="94"/>
      <c r="D111" s="94"/>
      <c r="E111" s="94"/>
    </row>
    <row r="112" spans="1:5">
      <c r="A112" s="15"/>
      <c r="B112" s="2"/>
      <c r="C112" s="94"/>
      <c r="D112" s="94"/>
      <c r="E112" s="94"/>
    </row>
    <row r="113" spans="1:5">
      <c r="A113" s="15"/>
      <c r="B113" s="2"/>
      <c r="C113" s="94"/>
      <c r="D113" s="94"/>
      <c r="E113" s="94"/>
    </row>
    <row r="114" spans="1:5">
      <c r="A114" s="15"/>
      <c r="B114" s="2"/>
      <c r="C114" s="94"/>
      <c r="D114" s="94"/>
      <c r="E114" s="94"/>
    </row>
    <row r="115" spans="1:5">
      <c r="A115" s="15"/>
      <c r="B115" s="2"/>
      <c r="C115" s="94"/>
      <c r="D115" s="94"/>
      <c r="E115" s="94"/>
    </row>
    <row r="116" spans="1:5">
      <c r="A116" s="15"/>
      <c r="B116" s="2"/>
      <c r="C116" s="94"/>
      <c r="D116" s="94"/>
      <c r="E116" s="94"/>
    </row>
    <row r="117" spans="1:5">
      <c r="A117" s="15"/>
      <c r="B117" s="2"/>
      <c r="C117" s="94"/>
      <c r="D117" s="94"/>
      <c r="E117" s="94"/>
    </row>
    <row r="118" spans="1:5">
      <c r="A118" s="15"/>
      <c r="B118" s="2"/>
      <c r="C118" s="94"/>
      <c r="D118" s="94"/>
      <c r="E118" s="94"/>
    </row>
    <row r="119" spans="1:5">
      <c r="A119" s="15"/>
      <c r="B119" s="2"/>
      <c r="C119" s="94"/>
      <c r="D119" s="94"/>
      <c r="E119" s="94"/>
    </row>
    <row r="120" spans="1:5">
      <c r="A120" s="15"/>
      <c r="B120" s="2"/>
      <c r="C120" s="94"/>
      <c r="D120" s="94"/>
      <c r="E120" s="94"/>
    </row>
    <row r="121" spans="1:5">
      <c r="A121" s="15"/>
      <c r="B121" s="2"/>
      <c r="C121" s="94"/>
      <c r="D121" s="94"/>
      <c r="E121" s="94"/>
    </row>
    <row r="122" spans="1:5">
      <c r="A122" s="15"/>
      <c r="B122" s="2"/>
      <c r="C122" s="94"/>
      <c r="D122" s="94"/>
      <c r="E122" s="94"/>
    </row>
    <row r="123" spans="1:5">
      <c r="A123" s="15"/>
      <c r="B123" s="2"/>
      <c r="C123" s="94"/>
      <c r="D123" s="94"/>
      <c r="E123" s="94"/>
    </row>
    <row r="124" spans="1:5">
      <c r="A124" s="15"/>
      <c r="B124" s="2"/>
      <c r="C124" s="94"/>
      <c r="D124" s="94"/>
      <c r="E124" s="94"/>
    </row>
    <row r="125" spans="1:5">
      <c r="A125" s="15"/>
      <c r="B125" s="2"/>
      <c r="C125" s="94"/>
      <c r="D125" s="94"/>
      <c r="E125" s="94"/>
    </row>
    <row r="126" spans="1:5">
      <c r="A126" s="15"/>
      <c r="B126" s="2"/>
      <c r="C126" s="94"/>
      <c r="D126" s="94"/>
      <c r="E126" s="94"/>
    </row>
    <row r="127" spans="1:5">
      <c r="A127" s="15"/>
      <c r="B127" s="2"/>
      <c r="C127" s="94"/>
      <c r="D127" s="94"/>
      <c r="E127" s="94"/>
    </row>
    <row r="128" spans="1:5">
      <c r="A128" s="15"/>
      <c r="B128" s="2"/>
      <c r="C128" s="94"/>
      <c r="D128" s="94"/>
      <c r="E128" s="94"/>
    </row>
    <row r="129" spans="1:5">
      <c r="A129" s="15"/>
      <c r="B129" s="2"/>
      <c r="C129" s="94"/>
      <c r="D129" s="94"/>
      <c r="E129" s="94"/>
    </row>
    <row r="130" spans="1:5">
      <c r="A130" s="15"/>
      <c r="B130" s="2"/>
      <c r="C130" s="94"/>
      <c r="D130" s="94"/>
      <c r="E130" s="94"/>
    </row>
    <row r="131" spans="1:5">
      <c r="A131" s="15"/>
      <c r="B131" s="2"/>
      <c r="C131" s="94"/>
      <c r="D131" s="94"/>
      <c r="E131" s="94"/>
    </row>
    <row r="132" spans="1:5">
      <c r="A132" s="15"/>
      <c r="B132" s="2"/>
      <c r="C132" s="94"/>
      <c r="D132" s="94"/>
      <c r="E132" s="94"/>
    </row>
    <row r="133" spans="1:5">
      <c r="A133" s="15"/>
      <c r="B133" s="2"/>
      <c r="C133" s="94"/>
      <c r="D133" s="94"/>
      <c r="E133" s="94"/>
    </row>
    <row r="134" spans="1:5">
      <c r="A134" s="15"/>
      <c r="B134" s="2"/>
      <c r="C134" s="94"/>
      <c r="D134" s="94"/>
      <c r="E134" s="94"/>
    </row>
    <row r="135" spans="1:5">
      <c r="A135" s="15"/>
      <c r="B135" s="2"/>
      <c r="C135" s="94"/>
      <c r="D135" s="94"/>
      <c r="E135" s="94"/>
    </row>
    <row r="136" spans="1:5">
      <c r="A136" s="15"/>
      <c r="B136" s="2"/>
      <c r="C136" s="94"/>
      <c r="D136" s="94"/>
      <c r="E136" s="94"/>
    </row>
    <row r="137" spans="1:5">
      <c r="A137" s="15"/>
      <c r="B137" s="2"/>
      <c r="C137" s="94"/>
      <c r="D137" s="94"/>
      <c r="E137" s="94"/>
    </row>
    <row r="138" spans="1:5">
      <c r="A138" s="15"/>
      <c r="B138" s="2"/>
      <c r="C138" s="94"/>
      <c r="D138" s="94"/>
      <c r="E138" s="94"/>
    </row>
    <row r="139" spans="1:5">
      <c r="A139" s="15"/>
      <c r="B139" s="2"/>
      <c r="C139" s="94"/>
      <c r="D139" s="94"/>
      <c r="E139" s="94"/>
    </row>
    <row r="140" spans="1:5">
      <c r="A140" s="15"/>
      <c r="B140" s="2"/>
      <c r="C140" s="94"/>
      <c r="D140" s="94"/>
      <c r="E140" s="94"/>
    </row>
    <row r="141" spans="1:5">
      <c r="A141" s="15"/>
      <c r="B141" s="2"/>
      <c r="C141" s="94"/>
      <c r="D141" s="94"/>
      <c r="E141" s="94"/>
    </row>
    <row r="142" spans="1:5">
      <c r="A142" s="15"/>
      <c r="B142" s="2"/>
      <c r="C142" s="94"/>
      <c r="D142" s="94"/>
      <c r="E142" s="94"/>
    </row>
    <row r="143" spans="1:5">
      <c r="A143" s="15"/>
      <c r="B143" s="2"/>
      <c r="C143" s="94"/>
      <c r="D143" s="94"/>
      <c r="E143" s="94"/>
    </row>
    <row r="144" spans="1:5">
      <c r="A144" s="15"/>
      <c r="B144" s="2"/>
      <c r="C144" s="94"/>
      <c r="D144" s="94"/>
      <c r="E144" s="94"/>
    </row>
    <row r="145" spans="1:5">
      <c r="A145" s="15"/>
      <c r="B145" s="2"/>
      <c r="C145" s="94"/>
      <c r="D145" s="94"/>
      <c r="E145" s="94"/>
    </row>
    <row r="146" spans="1:5">
      <c r="A146" s="15"/>
      <c r="B146" s="2"/>
      <c r="C146" s="94"/>
      <c r="D146" s="94"/>
      <c r="E146" s="94"/>
    </row>
    <row r="147" spans="1:5">
      <c r="A147" s="15"/>
      <c r="B147" s="2"/>
      <c r="C147" s="94"/>
      <c r="D147" s="94"/>
      <c r="E147" s="94"/>
    </row>
    <row r="148" spans="1:5">
      <c r="A148" s="15"/>
      <c r="B148" s="2"/>
      <c r="C148" s="94"/>
      <c r="D148" s="94"/>
      <c r="E148" s="94"/>
    </row>
    <row r="149" spans="1:5">
      <c r="A149" s="15"/>
      <c r="B149" s="2"/>
      <c r="C149" s="94"/>
      <c r="D149" s="94"/>
      <c r="E149" s="94"/>
    </row>
    <row r="150" spans="1:5">
      <c r="A150" s="15"/>
      <c r="B150" s="2"/>
      <c r="C150" s="94"/>
      <c r="D150" s="94"/>
      <c r="E150" s="94"/>
    </row>
    <row r="151" spans="1:5">
      <c r="A151" s="15"/>
      <c r="B151" s="2"/>
      <c r="C151" s="94"/>
      <c r="D151" s="94"/>
      <c r="E151" s="94"/>
    </row>
    <row r="152" spans="1:5">
      <c r="A152" s="15"/>
      <c r="B152" s="2"/>
      <c r="C152" s="94"/>
      <c r="D152" s="94"/>
      <c r="E152" s="94"/>
    </row>
    <row r="153" spans="1:5">
      <c r="A153" s="15"/>
      <c r="B153" s="2"/>
      <c r="C153" s="94"/>
      <c r="D153" s="94"/>
      <c r="E153" s="94"/>
    </row>
    <row r="154" spans="1:5">
      <c r="A154" s="15"/>
      <c r="B154" s="2"/>
      <c r="C154" s="94"/>
      <c r="D154" s="94"/>
      <c r="E154" s="94"/>
    </row>
    <row r="155" spans="1:5">
      <c r="A155" s="15"/>
      <c r="B155" s="2"/>
      <c r="C155" s="94"/>
      <c r="D155" s="94"/>
      <c r="E155" s="94"/>
    </row>
    <row r="156" spans="1:5">
      <c r="A156" s="15"/>
      <c r="B156" s="2"/>
      <c r="C156" s="94"/>
      <c r="D156" s="94"/>
      <c r="E156" s="94"/>
    </row>
    <row r="157" spans="1:5">
      <c r="A157" s="15"/>
      <c r="B157" s="2"/>
      <c r="C157" s="94"/>
      <c r="D157" s="94"/>
      <c r="E157" s="94"/>
    </row>
    <row r="158" spans="1:5">
      <c r="A158" s="15"/>
      <c r="B158" s="2"/>
      <c r="C158" s="94"/>
      <c r="D158" s="94"/>
      <c r="E158" s="94"/>
    </row>
    <row r="159" spans="1:5">
      <c r="A159" s="15"/>
      <c r="B159" s="2"/>
      <c r="C159" s="94"/>
      <c r="D159" s="94"/>
      <c r="E159" s="94"/>
    </row>
    <row r="160" spans="1:5">
      <c r="A160" s="15"/>
      <c r="B160" s="2"/>
      <c r="C160" s="94"/>
      <c r="D160" s="94"/>
      <c r="E160" s="94"/>
    </row>
    <row r="161" spans="1:5">
      <c r="A161" s="15"/>
      <c r="B161" s="2"/>
      <c r="C161" s="94"/>
      <c r="D161" s="94"/>
      <c r="E161" s="94"/>
    </row>
    <row r="162" spans="1:5">
      <c r="A162" s="15"/>
      <c r="B162" s="2"/>
      <c r="C162" s="94"/>
      <c r="D162" s="94"/>
      <c r="E162" s="94"/>
    </row>
    <row r="163" spans="1:5">
      <c r="A163" s="15"/>
      <c r="B163" s="2"/>
      <c r="C163" s="94"/>
      <c r="D163" s="94"/>
      <c r="E163" s="94"/>
    </row>
    <row r="164" spans="1:5">
      <c r="A164" s="15"/>
      <c r="B164" s="2"/>
      <c r="C164" s="94"/>
      <c r="D164" s="94"/>
      <c r="E164" s="94"/>
    </row>
    <row r="165" spans="1:5">
      <c r="A165" s="15"/>
      <c r="B165" s="2"/>
      <c r="C165" s="94"/>
      <c r="D165" s="94"/>
      <c r="E165" s="94"/>
    </row>
    <row r="166" spans="1:5">
      <c r="A166" s="15"/>
      <c r="B166" s="2"/>
      <c r="C166" s="94"/>
      <c r="D166" s="94"/>
      <c r="E166" s="94"/>
    </row>
    <row r="167" spans="1:5">
      <c r="A167" s="15"/>
      <c r="B167" s="2"/>
      <c r="C167" s="94"/>
      <c r="D167" s="94"/>
      <c r="E167" s="94"/>
    </row>
    <row r="168" spans="1:5">
      <c r="A168" s="15"/>
      <c r="B168" s="2"/>
      <c r="C168" s="94"/>
      <c r="D168" s="94"/>
      <c r="E168" s="94"/>
    </row>
    <row r="169" spans="1:5">
      <c r="A169" s="15"/>
      <c r="B169" s="2"/>
      <c r="C169" s="94"/>
      <c r="D169" s="94"/>
      <c r="E169" s="94"/>
    </row>
    <row r="170" spans="1:5">
      <c r="A170" s="15"/>
      <c r="B170" s="2"/>
      <c r="C170" s="94"/>
      <c r="D170" s="94"/>
      <c r="E170" s="94"/>
    </row>
    <row r="171" spans="1:5">
      <c r="A171" s="15"/>
      <c r="B171" s="2"/>
      <c r="C171" s="94"/>
      <c r="D171" s="94"/>
      <c r="E171" s="94"/>
    </row>
    <row r="172" spans="1:5">
      <c r="A172" s="15"/>
      <c r="B172" s="2"/>
      <c r="C172" s="94"/>
      <c r="D172" s="94"/>
      <c r="E172" s="94"/>
    </row>
    <row r="173" spans="1:5">
      <c r="A173" s="15"/>
      <c r="B173" s="2"/>
      <c r="C173" s="94"/>
      <c r="D173" s="94"/>
      <c r="E173" s="94"/>
    </row>
    <row r="174" spans="1:5">
      <c r="A174" s="15"/>
      <c r="B174" s="2"/>
      <c r="C174" s="94"/>
      <c r="D174" s="94"/>
      <c r="E174" s="94"/>
    </row>
    <row r="175" spans="1:5">
      <c r="A175" s="15"/>
      <c r="B175" s="2"/>
      <c r="C175" s="94"/>
      <c r="D175" s="94"/>
      <c r="E175" s="94"/>
    </row>
    <row r="176" spans="1:5">
      <c r="A176" s="15"/>
      <c r="B176" s="2"/>
      <c r="C176" s="94"/>
      <c r="D176" s="94"/>
      <c r="E176" s="94"/>
    </row>
    <row r="177" spans="1:5">
      <c r="A177" s="15"/>
      <c r="B177" s="2"/>
      <c r="C177" s="94"/>
      <c r="D177" s="94"/>
      <c r="E177" s="94"/>
    </row>
    <row r="178" spans="1:5">
      <c r="A178" s="15"/>
      <c r="B178" s="2"/>
      <c r="C178" s="94"/>
      <c r="D178" s="94"/>
      <c r="E178" s="94"/>
    </row>
    <row r="179" spans="1:5">
      <c r="A179" s="15"/>
      <c r="B179" s="2"/>
      <c r="C179" s="94"/>
      <c r="D179" s="94"/>
      <c r="E179" s="94"/>
    </row>
    <row r="180" spans="1:5">
      <c r="A180" s="15"/>
      <c r="B180" s="2"/>
      <c r="C180" s="94"/>
      <c r="D180" s="94"/>
      <c r="E180" s="94"/>
    </row>
    <row r="181" spans="1:5">
      <c r="A181" s="15"/>
      <c r="B181" s="2"/>
      <c r="C181" s="94"/>
      <c r="D181" s="94"/>
      <c r="E181" s="94"/>
    </row>
    <row r="182" spans="1:5">
      <c r="A182" s="15"/>
      <c r="B182" s="2"/>
      <c r="C182" s="94"/>
      <c r="D182" s="94"/>
      <c r="E182" s="94"/>
    </row>
    <row r="183" spans="1:5">
      <c r="A183" s="15"/>
      <c r="B183" s="2"/>
      <c r="C183" s="94"/>
      <c r="D183" s="94"/>
      <c r="E183" s="94"/>
    </row>
    <row r="184" spans="1:5">
      <c r="A184" s="15"/>
      <c r="B184" s="2"/>
      <c r="C184" s="94"/>
      <c r="D184" s="94"/>
      <c r="E184" s="94"/>
    </row>
    <row r="185" spans="1:5">
      <c r="A185" s="15"/>
      <c r="B185" s="2"/>
      <c r="C185" s="94"/>
      <c r="D185" s="94"/>
      <c r="E185" s="94"/>
    </row>
    <row r="186" spans="1:5">
      <c r="A186" s="15"/>
      <c r="B186" s="2"/>
      <c r="C186" s="94"/>
      <c r="D186" s="94"/>
      <c r="E186" s="94"/>
    </row>
    <row r="187" spans="1:5">
      <c r="A187" s="15"/>
      <c r="B187" s="2"/>
      <c r="C187" s="94"/>
      <c r="D187" s="94"/>
      <c r="E187" s="94"/>
    </row>
    <row r="188" spans="1:5">
      <c r="A188" s="15"/>
      <c r="B188" s="2"/>
      <c r="C188" s="94"/>
      <c r="D188" s="94"/>
      <c r="E188" s="94"/>
    </row>
    <row r="189" spans="1:5">
      <c r="A189" s="15"/>
      <c r="B189" s="2"/>
      <c r="C189" s="94"/>
      <c r="D189" s="94"/>
      <c r="E189" s="94"/>
    </row>
    <row r="190" spans="1:5">
      <c r="A190" s="15"/>
      <c r="B190" s="2"/>
      <c r="C190" s="94"/>
      <c r="D190" s="94"/>
      <c r="E190" s="94"/>
    </row>
    <row r="191" spans="1:5">
      <c r="A191" s="15"/>
      <c r="B191" s="2"/>
      <c r="C191" s="94"/>
      <c r="D191" s="94"/>
      <c r="E191" s="94"/>
    </row>
    <row r="192" spans="1:5">
      <c r="A192" s="15"/>
      <c r="B192" s="2"/>
      <c r="C192" s="94"/>
      <c r="D192" s="94"/>
      <c r="E192" s="94"/>
    </row>
    <row r="193" spans="1:5">
      <c r="A193" s="15"/>
      <c r="B193" s="2"/>
      <c r="C193" s="94"/>
      <c r="D193" s="94"/>
      <c r="E193" s="94"/>
    </row>
    <row r="194" spans="1:5">
      <c r="A194" s="15"/>
      <c r="B194" s="2"/>
      <c r="C194" s="94"/>
      <c r="D194" s="94"/>
      <c r="E194" s="94"/>
    </row>
    <row r="195" spans="1:5">
      <c r="A195" s="15"/>
      <c r="B195" s="2"/>
      <c r="C195" s="94"/>
      <c r="D195" s="94"/>
      <c r="E195" s="94"/>
    </row>
    <row r="196" spans="1:5">
      <c r="A196" s="15"/>
      <c r="B196" s="2"/>
      <c r="C196" s="94"/>
      <c r="D196" s="94"/>
      <c r="E196" s="94"/>
    </row>
    <row r="197" spans="1:5">
      <c r="A197" s="15"/>
      <c r="B197" s="2"/>
      <c r="C197" s="94"/>
      <c r="D197" s="94"/>
      <c r="E197" s="94"/>
    </row>
    <row r="198" spans="1:5">
      <c r="A198" s="15"/>
      <c r="B198" s="2"/>
      <c r="C198" s="94"/>
      <c r="D198" s="94"/>
      <c r="E198" s="94"/>
    </row>
    <row r="199" spans="1:5">
      <c r="A199" s="15"/>
      <c r="B199" s="2"/>
      <c r="C199" s="94"/>
      <c r="D199" s="94"/>
      <c r="E199" s="94"/>
    </row>
    <row r="200" spans="1:5">
      <c r="A200" s="15"/>
      <c r="B200" s="2"/>
      <c r="C200" s="94"/>
      <c r="D200" s="94"/>
      <c r="E200" s="94"/>
    </row>
    <row r="201" spans="1:5">
      <c r="A201" s="15"/>
      <c r="B201" s="2"/>
      <c r="C201" s="94"/>
      <c r="D201" s="94"/>
      <c r="E201" s="94"/>
    </row>
    <row r="202" spans="1:5">
      <c r="A202" s="15"/>
      <c r="B202" s="2"/>
      <c r="C202" s="94"/>
      <c r="D202" s="94"/>
      <c r="E202" s="94"/>
    </row>
    <row r="203" spans="1:5">
      <c r="A203" s="15"/>
      <c r="B203" s="2"/>
      <c r="C203" s="94"/>
      <c r="D203" s="94"/>
      <c r="E203" s="94"/>
    </row>
    <row r="204" spans="1:5">
      <c r="A204" s="15"/>
      <c r="B204" s="2"/>
      <c r="C204" s="94"/>
      <c r="D204" s="94"/>
      <c r="E204" s="94"/>
    </row>
    <row r="205" spans="1:5">
      <c r="A205" s="15"/>
      <c r="B205" s="2"/>
      <c r="C205" s="94"/>
      <c r="D205" s="94"/>
      <c r="E205" s="94"/>
    </row>
    <row r="206" spans="1:5">
      <c r="A206" s="15"/>
      <c r="B206" s="2"/>
      <c r="C206" s="94"/>
      <c r="D206" s="94"/>
      <c r="E206" s="94"/>
    </row>
    <row r="207" spans="1:5">
      <c r="A207" s="15"/>
      <c r="B207" s="2"/>
      <c r="C207" s="94"/>
      <c r="D207" s="94"/>
      <c r="E207" s="94"/>
    </row>
    <row r="208" spans="1:5">
      <c r="A208" s="15"/>
      <c r="B208" s="2"/>
      <c r="C208" s="94"/>
      <c r="D208" s="94"/>
      <c r="E208" s="94"/>
    </row>
    <row r="209" spans="1:5">
      <c r="A209" s="15"/>
      <c r="B209" s="2"/>
      <c r="C209" s="94"/>
      <c r="D209" s="94"/>
      <c r="E209" s="94"/>
    </row>
    <row r="210" spans="1:5">
      <c r="A210" s="15"/>
      <c r="B210" s="2"/>
      <c r="C210" s="94"/>
      <c r="D210" s="94"/>
      <c r="E210" s="94"/>
    </row>
    <row r="211" spans="1:5">
      <c r="A211" s="15"/>
      <c r="B211" s="2"/>
      <c r="C211" s="94"/>
      <c r="D211" s="94"/>
      <c r="E211" s="94"/>
    </row>
    <row r="212" spans="1:5">
      <c r="A212" s="15"/>
      <c r="B212" s="2"/>
      <c r="C212" s="94"/>
      <c r="D212" s="94"/>
      <c r="E212" s="94"/>
    </row>
    <row r="213" spans="1:5">
      <c r="A213" s="15"/>
      <c r="B213" s="2"/>
      <c r="C213" s="94"/>
      <c r="D213" s="94"/>
      <c r="E213" s="94"/>
    </row>
    <row r="214" spans="1:5">
      <c r="A214" s="15"/>
      <c r="B214" s="2"/>
      <c r="C214" s="94"/>
      <c r="D214" s="94"/>
      <c r="E214" s="94"/>
    </row>
    <row r="215" spans="1:5">
      <c r="A215" s="15"/>
      <c r="B215" s="2"/>
      <c r="C215" s="94"/>
      <c r="D215" s="94"/>
      <c r="E215" s="94"/>
    </row>
    <row r="216" spans="1:5">
      <c r="A216" s="15"/>
      <c r="B216" s="2"/>
      <c r="C216" s="94"/>
      <c r="D216" s="94"/>
      <c r="E216" s="94"/>
    </row>
    <row r="217" spans="1:5">
      <c r="A217" s="15"/>
      <c r="B217" s="2"/>
      <c r="C217" s="94"/>
      <c r="D217" s="94"/>
      <c r="E217" s="94"/>
    </row>
    <row r="218" spans="1:5">
      <c r="A218" s="15"/>
      <c r="B218" s="2"/>
      <c r="C218" s="94"/>
      <c r="D218" s="94"/>
      <c r="E218" s="94"/>
    </row>
    <row r="219" spans="1:5">
      <c r="A219" s="15"/>
      <c r="B219" s="2"/>
      <c r="C219" s="94"/>
      <c r="D219" s="94"/>
      <c r="E219" s="94"/>
    </row>
    <row r="220" spans="1:5">
      <c r="A220" s="15"/>
      <c r="B220" s="2"/>
      <c r="C220" s="94"/>
      <c r="D220" s="94"/>
      <c r="E220" s="94"/>
    </row>
    <row r="221" spans="1:5">
      <c r="A221" s="15"/>
      <c r="B221" s="2"/>
      <c r="C221" s="94"/>
      <c r="D221" s="94"/>
      <c r="E221" s="94"/>
    </row>
    <row r="222" spans="1:5">
      <c r="A222" s="15"/>
      <c r="B222" s="2"/>
      <c r="C222" s="94"/>
      <c r="D222" s="94"/>
      <c r="E222" s="94"/>
    </row>
    <row r="223" spans="1:5">
      <c r="A223" s="15"/>
      <c r="B223" s="2"/>
      <c r="C223" s="94"/>
      <c r="D223" s="94"/>
      <c r="E223" s="94"/>
    </row>
    <row r="224" spans="1:5">
      <c r="A224" s="15"/>
      <c r="B224" s="2"/>
      <c r="C224" s="94"/>
      <c r="D224" s="94"/>
      <c r="E224" s="94"/>
    </row>
    <row r="225" spans="1:5">
      <c r="A225" s="15"/>
      <c r="B225" s="2"/>
      <c r="C225" s="94"/>
      <c r="D225" s="94"/>
      <c r="E225" s="94"/>
    </row>
    <row r="226" spans="1:5">
      <c r="A226" s="15"/>
      <c r="B226" s="2"/>
      <c r="C226" s="94"/>
      <c r="D226" s="94"/>
      <c r="E226" s="94"/>
    </row>
    <row r="227" spans="1:5">
      <c r="A227" s="15"/>
      <c r="B227" s="2"/>
      <c r="C227" s="94"/>
      <c r="D227" s="94"/>
      <c r="E227" s="94"/>
    </row>
    <row r="228" spans="1:5">
      <c r="A228" s="15"/>
      <c r="B228" s="2"/>
      <c r="C228" s="94"/>
      <c r="D228" s="94"/>
      <c r="E228" s="94"/>
    </row>
    <row r="229" spans="1:5">
      <c r="A229" s="15"/>
      <c r="B229" s="2"/>
      <c r="C229" s="94"/>
      <c r="D229" s="94"/>
      <c r="E229" s="94"/>
    </row>
    <row r="230" spans="1:5">
      <c r="A230" s="15"/>
      <c r="B230" s="2"/>
      <c r="C230" s="94"/>
      <c r="D230" s="94"/>
      <c r="E230" s="94"/>
    </row>
    <row r="231" spans="1:5">
      <c r="A231" s="15"/>
      <c r="B231" s="2"/>
      <c r="C231" s="94"/>
      <c r="D231" s="94"/>
      <c r="E231" s="94"/>
    </row>
    <row r="232" spans="1:5">
      <c r="A232" s="15"/>
      <c r="B232" s="2"/>
      <c r="C232" s="94"/>
      <c r="D232" s="94"/>
      <c r="E232" s="94"/>
    </row>
    <row r="233" spans="1:5">
      <c r="A233" s="15"/>
      <c r="B233" s="2"/>
      <c r="C233" s="94"/>
      <c r="D233" s="94"/>
      <c r="E233" s="94"/>
    </row>
    <row r="234" spans="1:5">
      <c r="A234" s="15"/>
      <c r="B234" s="2"/>
      <c r="C234" s="94"/>
      <c r="D234" s="94"/>
      <c r="E234" s="94"/>
    </row>
    <row r="235" spans="1:5">
      <c r="A235" s="15"/>
      <c r="B235" s="2"/>
      <c r="C235" s="94"/>
      <c r="D235" s="94"/>
      <c r="E235" s="94"/>
    </row>
    <row r="236" spans="1:5">
      <c r="A236" s="15"/>
      <c r="B236" s="2"/>
      <c r="C236" s="94"/>
      <c r="D236" s="94"/>
      <c r="E236" s="94"/>
    </row>
    <row r="237" spans="1:5">
      <c r="A237" s="15"/>
      <c r="B237" s="2"/>
      <c r="C237" s="94"/>
      <c r="D237" s="94"/>
      <c r="E237" s="94"/>
    </row>
    <row r="238" spans="1:5">
      <c r="A238" s="15"/>
      <c r="B238" s="2"/>
      <c r="C238" s="94"/>
      <c r="D238" s="94"/>
      <c r="E238" s="94"/>
    </row>
    <row r="239" spans="1:5">
      <c r="A239" s="15"/>
      <c r="B239" s="2"/>
      <c r="C239" s="94"/>
      <c r="D239" s="94"/>
      <c r="E239" s="94"/>
    </row>
    <row r="240" spans="1:5">
      <c r="A240" s="15"/>
      <c r="B240" s="2"/>
      <c r="C240" s="94"/>
      <c r="D240" s="94"/>
      <c r="E240" s="94"/>
    </row>
    <row r="241" spans="1:5">
      <c r="A241" s="15"/>
      <c r="B241" s="2"/>
      <c r="C241" s="94"/>
      <c r="D241" s="94"/>
      <c r="E241" s="94"/>
    </row>
    <row r="242" spans="1:5">
      <c r="A242" s="15"/>
      <c r="B242" s="2"/>
      <c r="C242" s="94"/>
      <c r="D242" s="94"/>
      <c r="E242" s="94"/>
    </row>
    <row r="243" spans="1:5">
      <c r="A243" s="15"/>
      <c r="B243" s="2"/>
      <c r="C243" s="94"/>
      <c r="D243" s="94"/>
      <c r="E243" s="94"/>
    </row>
    <row r="244" spans="1:5">
      <c r="A244" s="15"/>
      <c r="B244" s="2"/>
      <c r="C244" s="94"/>
      <c r="D244" s="94"/>
      <c r="E244" s="94"/>
    </row>
    <row r="245" spans="1:5">
      <c r="A245" s="15"/>
      <c r="B245" s="2"/>
      <c r="C245" s="94"/>
      <c r="D245" s="94"/>
      <c r="E245" s="94"/>
    </row>
    <row r="246" spans="1:5">
      <c r="A246" s="15"/>
      <c r="B246" s="2"/>
      <c r="C246" s="94"/>
      <c r="D246" s="94"/>
      <c r="E246" s="94"/>
    </row>
    <row r="247" spans="1:5">
      <c r="A247" s="15"/>
      <c r="B247" s="2"/>
      <c r="C247" s="94"/>
      <c r="D247" s="94"/>
      <c r="E247" s="94"/>
    </row>
    <row r="248" spans="1:5">
      <c r="A248" s="15"/>
      <c r="B248" s="2"/>
      <c r="C248" s="94"/>
      <c r="D248" s="94"/>
      <c r="E248" s="94"/>
    </row>
    <row r="249" spans="1:5">
      <c r="A249" s="15"/>
      <c r="B249" s="2"/>
      <c r="C249" s="94"/>
      <c r="D249" s="94"/>
      <c r="E249" s="94"/>
    </row>
    <row r="250" spans="1:5">
      <c r="A250" s="15"/>
      <c r="B250" s="2"/>
      <c r="C250" s="94"/>
      <c r="D250" s="94"/>
      <c r="E250" s="94"/>
    </row>
    <row r="251" spans="1:5">
      <c r="A251" s="15"/>
      <c r="B251" s="2"/>
      <c r="C251" s="94"/>
      <c r="D251" s="94"/>
      <c r="E251" s="94"/>
    </row>
    <row r="252" spans="1:5">
      <c r="A252" s="15"/>
      <c r="B252" s="2"/>
      <c r="C252" s="94"/>
      <c r="D252" s="94"/>
      <c r="E252" s="94"/>
    </row>
    <row r="253" spans="1:5">
      <c r="A253" s="15"/>
      <c r="B253" s="2"/>
      <c r="C253" s="94"/>
      <c r="D253" s="94"/>
      <c r="E253" s="94"/>
    </row>
    <row r="254" spans="1:5">
      <c r="A254" s="15"/>
      <c r="B254" s="2"/>
      <c r="C254" s="94"/>
      <c r="D254" s="94"/>
      <c r="E254" s="94"/>
    </row>
    <row r="255" spans="1:5">
      <c r="A255" s="15"/>
      <c r="B255" s="2"/>
      <c r="C255" s="94"/>
      <c r="D255" s="94"/>
      <c r="E255" s="94"/>
    </row>
    <row r="256" spans="1:5">
      <c r="A256" s="15"/>
      <c r="B256" s="2"/>
      <c r="C256" s="94"/>
      <c r="D256" s="94"/>
      <c r="E256" s="94"/>
    </row>
    <row r="257" spans="1:5">
      <c r="A257" s="15"/>
      <c r="B257" s="2"/>
      <c r="C257" s="94"/>
      <c r="D257" s="94"/>
      <c r="E257" s="94"/>
    </row>
    <row r="258" spans="1:5">
      <c r="A258" s="15"/>
      <c r="B258" s="2"/>
      <c r="C258" s="94"/>
      <c r="D258" s="94"/>
      <c r="E258" s="94"/>
    </row>
    <row r="259" spans="1:5">
      <c r="A259" s="15"/>
      <c r="B259" s="2"/>
      <c r="C259" s="94"/>
      <c r="D259" s="94"/>
      <c r="E259" s="94"/>
    </row>
    <row r="260" spans="1:5">
      <c r="A260" s="15"/>
      <c r="B260" s="2"/>
      <c r="C260" s="94"/>
      <c r="D260" s="94"/>
      <c r="E260" s="94"/>
    </row>
    <row r="261" spans="1:5">
      <c r="A261" s="15"/>
      <c r="B261" s="2"/>
      <c r="C261" s="94"/>
      <c r="D261" s="94"/>
      <c r="E261" s="94"/>
    </row>
    <row r="262" spans="1:5">
      <c r="A262" s="15"/>
      <c r="B262" s="2"/>
      <c r="C262" s="94"/>
      <c r="D262" s="94"/>
      <c r="E262" s="94"/>
    </row>
    <row r="263" spans="1:5">
      <c r="A263" s="15"/>
      <c r="B263" s="2"/>
      <c r="C263" s="94"/>
      <c r="D263" s="94"/>
      <c r="E263" s="94"/>
    </row>
    <row r="264" spans="1:5">
      <c r="A264" s="15"/>
      <c r="B264" s="2"/>
      <c r="C264" s="94"/>
      <c r="D264" s="94"/>
      <c r="E264" s="94"/>
    </row>
    <row r="265" spans="1:5">
      <c r="A265" s="15"/>
      <c r="B265" s="2"/>
      <c r="C265" s="94"/>
      <c r="D265" s="94"/>
      <c r="E265" s="94"/>
    </row>
    <row r="266" spans="1:5">
      <c r="A266" s="15"/>
      <c r="B266" s="2"/>
      <c r="C266" s="94"/>
      <c r="D266" s="94"/>
      <c r="E266" s="94"/>
    </row>
    <row r="267" spans="1:5">
      <c r="A267" s="15"/>
      <c r="B267" s="2"/>
      <c r="C267" s="94"/>
      <c r="D267" s="94"/>
      <c r="E267" s="94"/>
    </row>
    <row r="268" spans="1:5">
      <c r="A268" s="15"/>
      <c r="B268" s="2"/>
      <c r="C268" s="94"/>
      <c r="D268" s="94"/>
      <c r="E268" s="94"/>
    </row>
    <row r="269" spans="1:5">
      <c r="A269" s="15"/>
      <c r="B269" s="2"/>
      <c r="C269" s="94"/>
      <c r="D269" s="94"/>
      <c r="E269" s="94"/>
    </row>
    <row r="270" spans="1:5">
      <c r="A270" s="15"/>
      <c r="B270" s="2"/>
      <c r="C270" s="94"/>
      <c r="D270" s="94"/>
      <c r="E270" s="94"/>
    </row>
    <row r="271" spans="1:5">
      <c r="A271" s="15"/>
      <c r="B271" s="2"/>
      <c r="C271" s="94"/>
      <c r="D271" s="94"/>
      <c r="E271" s="94"/>
    </row>
    <row r="272" spans="1:5">
      <c r="A272" s="15"/>
      <c r="B272" s="2"/>
      <c r="C272" s="94"/>
      <c r="D272" s="94"/>
      <c r="E272" s="94"/>
    </row>
    <row r="273" spans="1:5">
      <c r="A273" s="15"/>
      <c r="B273" s="2"/>
      <c r="C273" s="94"/>
      <c r="D273" s="94"/>
      <c r="E273" s="94"/>
    </row>
    <row r="274" spans="1:5">
      <c r="A274" s="15"/>
      <c r="B274" s="2"/>
      <c r="C274" s="94"/>
      <c r="D274" s="94"/>
      <c r="E274" s="94"/>
    </row>
    <row r="275" spans="1:5">
      <c r="A275" s="15"/>
      <c r="B275" s="2"/>
      <c r="C275" s="94"/>
      <c r="D275" s="94"/>
      <c r="E275" s="94"/>
    </row>
    <row r="276" spans="1:5">
      <c r="A276" s="15"/>
      <c r="B276" s="2"/>
      <c r="C276" s="94"/>
      <c r="D276" s="94"/>
      <c r="E276" s="94"/>
    </row>
    <row r="277" spans="1:5">
      <c r="A277" s="15"/>
      <c r="B277" s="2"/>
      <c r="C277" s="94"/>
      <c r="D277" s="94"/>
      <c r="E277" s="94"/>
    </row>
    <row r="278" spans="1:5">
      <c r="A278" s="15"/>
      <c r="B278" s="2"/>
      <c r="C278" s="94"/>
      <c r="D278" s="94"/>
      <c r="E278" s="94"/>
    </row>
    <row r="279" spans="1:5">
      <c r="A279" s="15"/>
      <c r="B279" s="2"/>
      <c r="C279" s="94"/>
      <c r="D279" s="94"/>
      <c r="E279" s="94"/>
    </row>
    <row r="280" spans="1:5">
      <c r="A280" s="15"/>
      <c r="B280" s="2"/>
      <c r="C280" s="94"/>
      <c r="D280" s="94"/>
      <c r="E280" s="94"/>
    </row>
    <row r="281" spans="1:5">
      <c r="A281" s="15"/>
      <c r="B281" s="2"/>
      <c r="C281" s="94"/>
      <c r="D281" s="94"/>
      <c r="E281" s="94"/>
    </row>
    <row r="282" spans="1:5">
      <c r="A282" s="15"/>
      <c r="B282" s="2"/>
      <c r="C282" s="94"/>
      <c r="D282" s="94"/>
      <c r="E282" s="94"/>
    </row>
    <row r="283" spans="1:5">
      <c r="A283" s="15"/>
      <c r="B283" s="2"/>
      <c r="C283" s="94"/>
      <c r="D283" s="94"/>
      <c r="E283" s="94"/>
    </row>
    <row r="284" spans="1:5">
      <c r="A284" s="15"/>
      <c r="B284" s="2"/>
      <c r="C284" s="94"/>
      <c r="D284" s="94"/>
      <c r="E284" s="94"/>
    </row>
    <row r="285" spans="1:5">
      <c r="A285" s="15"/>
      <c r="B285" s="2"/>
      <c r="C285" s="94"/>
      <c r="D285" s="94"/>
      <c r="E285" s="94"/>
    </row>
    <row r="286" spans="1:5">
      <c r="A286" s="15"/>
      <c r="B286" s="2"/>
      <c r="C286" s="94"/>
      <c r="D286" s="94"/>
      <c r="E286" s="94"/>
    </row>
    <row r="287" spans="1:5">
      <c r="A287" s="15"/>
      <c r="B287" s="2"/>
      <c r="C287" s="94"/>
      <c r="D287" s="94"/>
      <c r="E287" s="94"/>
    </row>
    <row r="288" spans="1:5">
      <c r="A288" s="15"/>
      <c r="B288" s="2"/>
      <c r="C288" s="94"/>
      <c r="D288" s="94"/>
      <c r="E288" s="94"/>
    </row>
    <row r="289" spans="1:5">
      <c r="A289" s="15"/>
      <c r="B289" s="2"/>
      <c r="C289" s="94"/>
      <c r="D289" s="94"/>
      <c r="E289" s="94"/>
    </row>
    <row r="290" spans="1:5">
      <c r="A290" s="15"/>
      <c r="B290" s="2"/>
      <c r="C290" s="94"/>
      <c r="D290" s="94"/>
      <c r="E290" s="94"/>
    </row>
    <row r="291" spans="1:5">
      <c r="A291" s="15"/>
      <c r="B291" s="2"/>
      <c r="C291" s="94"/>
      <c r="D291" s="94"/>
      <c r="E291" s="94"/>
    </row>
    <row r="292" spans="1:5">
      <c r="A292" s="15"/>
      <c r="B292" s="2"/>
      <c r="C292" s="94"/>
      <c r="D292" s="94"/>
      <c r="E292" s="94"/>
    </row>
    <row r="293" spans="1:5">
      <c r="A293" s="15"/>
      <c r="B293" s="2"/>
      <c r="C293" s="94"/>
      <c r="D293" s="94"/>
      <c r="E293" s="94"/>
    </row>
    <row r="294" spans="1:5">
      <c r="A294" s="15"/>
      <c r="B294" s="2"/>
      <c r="C294" s="94"/>
      <c r="D294" s="94"/>
      <c r="E294" s="94"/>
    </row>
    <row r="295" spans="1:5">
      <c r="A295" s="15"/>
      <c r="B295" s="2"/>
      <c r="C295" s="94"/>
      <c r="D295" s="94"/>
      <c r="E295" s="94"/>
    </row>
    <row r="296" spans="1:5">
      <c r="A296" s="15"/>
      <c r="B296" s="2"/>
      <c r="C296" s="94"/>
      <c r="D296" s="94"/>
      <c r="E296" s="94"/>
    </row>
    <row r="297" spans="1:5">
      <c r="A297" s="15"/>
      <c r="B297" s="2"/>
      <c r="C297" s="94"/>
      <c r="D297" s="94"/>
      <c r="E297" s="94"/>
    </row>
    <row r="298" spans="1:5">
      <c r="A298" s="15"/>
      <c r="B298" s="2"/>
      <c r="C298" s="94"/>
      <c r="D298" s="94"/>
      <c r="E298" s="94"/>
    </row>
    <row r="299" spans="1:5">
      <c r="A299" s="15"/>
      <c r="B299" s="2"/>
      <c r="C299" s="94"/>
      <c r="D299" s="94"/>
      <c r="E299" s="94"/>
    </row>
    <row r="300" spans="1:5">
      <c r="A300" s="15"/>
      <c r="B300" s="2"/>
      <c r="C300" s="94"/>
      <c r="D300" s="94"/>
      <c r="E300" s="94"/>
    </row>
    <row r="301" spans="1:5">
      <c r="A301" s="15"/>
      <c r="B301" s="2"/>
      <c r="C301" s="94"/>
      <c r="D301" s="94"/>
      <c r="E301" s="94"/>
    </row>
    <row r="302" spans="1:5">
      <c r="A302" s="15"/>
      <c r="B302" s="2"/>
      <c r="C302" s="94"/>
      <c r="D302" s="94"/>
      <c r="E302" s="94"/>
    </row>
    <row r="303" spans="1:5">
      <c r="A303" s="15"/>
      <c r="B303" s="2"/>
      <c r="C303" s="94"/>
      <c r="D303" s="94"/>
      <c r="E303" s="94"/>
    </row>
    <row r="304" spans="1:5">
      <c r="A304" s="15"/>
      <c r="B304" s="2"/>
      <c r="C304" s="94"/>
      <c r="D304" s="94"/>
      <c r="E304" s="94"/>
    </row>
    <row r="305" spans="1:5">
      <c r="A305" s="15"/>
      <c r="B305" s="2"/>
      <c r="C305" s="94"/>
      <c r="D305" s="94"/>
      <c r="E305" s="94"/>
    </row>
    <row r="306" spans="1:5">
      <c r="A306" s="15"/>
      <c r="B306" s="2"/>
      <c r="C306" s="94"/>
      <c r="D306" s="94"/>
      <c r="E306" s="94"/>
    </row>
    <row r="307" spans="1:5">
      <c r="A307" s="15"/>
      <c r="B307" s="2"/>
      <c r="C307" s="94"/>
      <c r="D307" s="94"/>
      <c r="E307" s="94"/>
    </row>
    <row r="308" spans="1:5">
      <c r="A308" s="15"/>
      <c r="B308" s="2"/>
      <c r="C308" s="94"/>
      <c r="D308" s="94"/>
      <c r="E308" s="94"/>
    </row>
    <row r="309" spans="1:5">
      <c r="A309" s="15"/>
      <c r="B309" s="2"/>
      <c r="C309" s="94"/>
      <c r="D309" s="94"/>
      <c r="E309" s="94"/>
    </row>
    <row r="310" spans="1:5">
      <c r="A310" s="15"/>
      <c r="B310" s="2"/>
      <c r="C310" s="94"/>
      <c r="D310" s="94"/>
      <c r="E310" s="94"/>
    </row>
    <row r="311" spans="1:5">
      <c r="A311" s="15"/>
      <c r="B311" s="2"/>
      <c r="C311" s="94"/>
      <c r="D311" s="94"/>
      <c r="E311" s="94"/>
    </row>
    <row r="312" spans="1:5">
      <c r="A312" s="15"/>
      <c r="B312" s="2"/>
      <c r="C312" s="94"/>
      <c r="D312" s="94"/>
      <c r="E312" s="94"/>
    </row>
    <row r="313" spans="1:5">
      <c r="A313" s="15"/>
      <c r="B313" s="2"/>
      <c r="C313" s="94"/>
      <c r="D313" s="94"/>
      <c r="E313" s="94"/>
    </row>
    <row r="314" spans="1:5">
      <c r="A314" s="15"/>
      <c r="B314" s="2"/>
      <c r="C314" s="94"/>
      <c r="D314" s="94"/>
      <c r="E314" s="94"/>
    </row>
    <row r="315" spans="1:5">
      <c r="A315" s="15"/>
      <c r="B315" s="2"/>
      <c r="C315" s="94"/>
      <c r="D315" s="94"/>
      <c r="E315" s="94"/>
    </row>
    <row r="316" spans="1:5">
      <c r="A316" s="15"/>
      <c r="B316" s="2"/>
      <c r="C316" s="94"/>
      <c r="D316" s="94"/>
      <c r="E316" s="94"/>
    </row>
    <row r="317" spans="1:5">
      <c r="A317" s="15"/>
      <c r="B317" s="2"/>
      <c r="C317" s="94"/>
      <c r="D317" s="94"/>
      <c r="E317" s="94"/>
    </row>
    <row r="318" spans="1:5">
      <c r="A318" s="15"/>
      <c r="B318" s="2"/>
      <c r="C318" s="94"/>
      <c r="D318" s="94"/>
      <c r="E318" s="94"/>
    </row>
    <row r="319" spans="1:5">
      <c r="A319" s="15"/>
      <c r="B319" s="2"/>
      <c r="C319" s="94"/>
      <c r="D319" s="94"/>
      <c r="E319" s="94"/>
    </row>
    <row r="320" spans="1:5">
      <c r="A320" s="15"/>
      <c r="B320" s="2"/>
      <c r="C320" s="94"/>
      <c r="D320" s="94"/>
      <c r="E320" s="94"/>
    </row>
    <row r="321" spans="1:5">
      <c r="A321" s="15"/>
      <c r="B321" s="2"/>
      <c r="C321" s="94"/>
      <c r="D321" s="94"/>
      <c r="E321" s="94"/>
    </row>
    <row r="322" spans="1:5">
      <c r="A322" s="15"/>
      <c r="B322" s="2"/>
      <c r="C322" s="94"/>
      <c r="D322" s="94"/>
      <c r="E322" s="94"/>
    </row>
    <row r="323" spans="1:5">
      <c r="A323" s="15"/>
      <c r="B323" s="2"/>
      <c r="C323" s="94"/>
      <c r="D323" s="94"/>
      <c r="E323" s="94"/>
    </row>
    <row r="324" spans="1:5">
      <c r="A324" s="15"/>
      <c r="B324" s="2"/>
      <c r="C324" s="94"/>
      <c r="D324" s="94"/>
      <c r="E324" s="94"/>
    </row>
    <row r="325" spans="1:5">
      <c r="A325" s="15"/>
      <c r="B325" s="2"/>
      <c r="C325" s="94"/>
      <c r="D325" s="94"/>
      <c r="E325" s="94"/>
    </row>
    <row r="326" spans="1:5">
      <c r="A326" s="15"/>
      <c r="B326" s="2"/>
      <c r="C326" s="94"/>
      <c r="D326" s="94"/>
      <c r="E326" s="94"/>
    </row>
    <row r="327" spans="1:5">
      <c r="A327" s="15"/>
      <c r="B327" s="2"/>
      <c r="C327" s="94"/>
      <c r="D327" s="94"/>
      <c r="E327" s="94"/>
    </row>
    <row r="328" spans="1:5">
      <c r="A328" s="15"/>
      <c r="B328" s="2"/>
      <c r="C328" s="94"/>
      <c r="D328" s="94"/>
      <c r="E328" s="94"/>
    </row>
    <row r="329" spans="1:5">
      <c r="A329" s="15"/>
      <c r="B329" s="2"/>
      <c r="C329" s="94"/>
      <c r="D329" s="94"/>
      <c r="E329" s="94"/>
    </row>
    <row r="330" spans="1:5">
      <c r="A330" s="15"/>
      <c r="B330" s="2"/>
      <c r="C330" s="94"/>
      <c r="D330" s="94"/>
      <c r="E330" s="94"/>
    </row>
    <row r="331" spans="1:5">
      <c r="A331" s="15"/>
      <c r="B331" s="2"/>
      <c r="C331" s="94"/>
      <c r="D331" s="94"/>
      <c r="E331" s="94"/>
    </row>
    <row r="332" spans="1:5">
      <c r="A332" s="15"/>
      <c r="B332" s="2"/>
      <c r="C332" s="94"/>
      <c r="D332" s="94"/>
      <c r="E332" s="94"/>
    </row>
    <row r="333" spans="1:5">
      <c r="A333" s="15"/>
      <c r="B333" s="2"/>
      <c r="C333" s="94"/>
      <c r="D333" s="94"/>
      <c r="E333" s="94"/>
    </row>
    <row r="334" spans="1:5">
      <c r="A334" s="15"/>
      <c r="B334" s="2"/>
      <c r="C334" s="94"/>
      <c r="D334" s="94"/>
      <c r="E334" s="94"/>
    </row>
    <row r="335" spans="1:5">
      <c r="A335" s="15"/>
      <c r="B335" s="2"/>
      <c r="C335" s="94"/>
      <c r="D335" s="94"/>
      <c r="E335" s="94"/>
    </row>
    <row r="336" spans="1:5">
      <c r="A336" s="15"/>
      <c r="B336" s="2"/>
      <c r="C336" s="94"/>
      <c r="D336" s="94"/>
      <c r="E336" s="94"/>
    </row>
    <row r="337" spans="1:5">
      <c r="A337" s="15"/>
      <c r="B337" s="2"/>
      <c r="C337" s="94"/>
      <c r="D337" s="94"/>
      <c r="E337" s="94"/>
    </row>
    <row r="338" spans="1:5">
      <c r="A338" s="15"/>
      <c r="B338" s="2"/>
      <c r="C338" s="94"/>
      <c r="D338" s="94"/>
      <c r="E338" s="94"/>
    </row>
    <row r="339" spans="1:5">
      <c r="A339" s="15"/>
      <c r="B339" s="2"/>
      <c r="C339" s="94"/>
      <c r="D339" s="94"/>
      <c r="E339" s="94"/>
    </row>
    <row r="340" spans="1:5">
      <c r="B340" s="2"/>
      <c r="C340" s="94"/>
      <c r="D340" s="94"/>
      <c r="E340" s="94"/>
    </row>
    <row r="341" spans="1:5">
      <c r="B341" s="2"/>
      <c r="C341" s="94"/>
      <c r="D341" s="94"/>
      <c r="E341" s="94"/>
    </row>
    <row r="342" spans="1:5">
      <c r="B342" s="2"/>
      <c r="C342" s="94"/>
      <c r="D342" s="94"/>
      <c r="E342" s="94"/>
    </row>
    <row r="343" spans="1:5">
      <c r="B343" s="2"/>
      <c r="C343" s="94"/>
      <c r="D343" s="94"/>
      <c r="E343" s="94"/>
    </row>
    <row r="344" spans="1:5">
      <c r="B344" s="2"/>
      <c r="C344" s="94"/>
      <c r="D344" s="94"/>
      <c r="E344" s="94"/>
    </row>
    <row r="345" spans="1:5">
      <c r="B345" s="2"/>
      <c r="C345" s="94"/>
      <c r="D345" s="94"/>
      <c r="E345" s="94"/>
    </row>
    <row r="346" spans="1:5">
      <c r="B346" s="2"/>
      <c r="C346" s="94"/>
      <c r="D346" s="94"/>
      <c r="E346" s="94"/>
    </row>
    <row r="347" spans="1:5">
      <c r="B347" s="2"/>
      <c r="C347" s="94"/>
      <c r="D347" s="94"/>
      <c r="E347" s="94"/>
    </row>
    <row r="348" spans="1:5">
      <c r="B348" s="2"/>
      <c r="C348" s="94"/>
      <c r="D348" s="94"/>
      <c r="E348" s="94"/>
    </row>
    <row r="349" spans="1:5">
      <c r="B349" s="2"/>
      <c r="C349" s="94"/>
      <c r="D349" s="94"/>
      <c r="E349" s="94"/>
    </row>
    <row r="350" spans="1:5">
      <c r="B350" s="2"/>
      <c r="C350" s="94"/>
      <c r="D350" s="94"/>
      <c r="E350" s="94"/>
    </row>
    <row r="351" spans="1:5">
      <c r="B351" s="2"/>
      <c r="C351" s="94"/>
      <c r="D351" s="94"/>
      <c r="E351" s="94"/>
    </row>
    <row r="352" spans="1:5">
      <c r="B352" s="2"/>
      <c r="C352" s="94"/>
      <c r="D352" s="94"/>
      <c r="E352" s="94"/>
    </row>
    <row r="353" spans="2:5">
      <c r="B353" s="2"/>
      <c r="C353" s="94"/>
      <c r="D353" s="94"/>
      <c r="E353" s="94"/>
    </row>
    <row r="354" spans="2:5">
      <c r="B354" s="2"/>
      <c r="C354" s="94"/>
      <c r="D354" s="94"/>
      <c r="E354" s="94"/>
    </row>
    <row r="355" spans="2:5">
      <c r="B355" s="2"/>
      <c r="C355" s="94"/>
      <c r="D355" s="94"/>
      <c r="E355" s="94"/>
    </row>
    <row r="356" spans="2:5">
      <c r="B356" s="2"/>
      <c r="C356" s="94"/>
      <c r="D356" s="94"/>
      <c r="E356" s="94"/>
    </row>
    <row r="357" spans="2:5">
      <c r="B357" s="2"/>
      <c r="C357" s="94"/>
      <c r="D357" s="94"/>
      <c r="E357" s="94"/>
    </row>
    <row r="358" spans="2:5">
      <c r="B358" s="2"/>
      <c r="C358" s="94"/>
      <c r="D358" s="94"/>
      <c r="E358" s="94"/>
    </row>
    <row r="359" spans="2:5">
      <c r="B359" s="2"/>
      <c r="C359" s="94"/>
      <c r="D359" s="94"/>
      <c r="E359" s="94"/>
    </row>
    <row r="360" spans="2:5">
      <c r="B360" s="2"/>
      <c r="C360" s="94"/>
      <c r="D360" s="94"/>
      <c r="E360" s="94"/>
    </row>
    <row r="361" spans="2:5">
      <c r="B361" s="2"/>
      <c r="C361" s="94"/>
      <c r="D361" s="94"/>
      <c r="E361" s="94"/>
    </row>
    <row r="362" spans="2:5">
      <c r="B362" s="2"/>
      <c r="C362" s="94"/>
      <c r="D362" s="94"/>
      <c r="E362" s="94"/>
    </row>
    <row r="363" spans="2:5">
      <c r="B363" s="2"/>
      <c r="C363" s="94"/>
      <c r="D363" s="94"/>
      <c r="E363" s="94"/>
    </row>
    <row r="364" spans="2:5">
      <c r="B364" s="2"/>
      <c r="C364" s="94"/>
      <c r="D364" s="94"/>
      <c r="E364" s="94"/>
    </row>
    <row r="365" spans="2:5">
      <c r="B365" s="2"/>
      <c r="C365" s="94"/>
      <c r="D365" s="94"/>
      <c r="E365" s="94"/>
    </row>
    <row r="366" spans="2:5">
      <c r="B366" s="2"/>
      <c r="C366" s="94"/>
      <c r="D366" s="94"/>
      <c r="E366" s="94"/>
    </row>
    <row r="367" spans="2:5">
      <c r="B367" s="2"/>
      <c r="C367" s="94"/>
      <c r="D367" s="94"/>
      <c r="E367" s="94"/>
    </row>
    <row r="368" spans="2:5">
      <c r="B368" s="2"/>
      <c r="C368" s="94"/>
      <c r="D368" s="94"/>
      <c r="E368" s="94"/>
    </row>
    <row r="369" spans="2:5">
      <c r="B369" s="2"/>
      <c r="C369" s="94"/>
      <c r="D369" s="94"/>
      <c r="E369" s="94"/>
    </row>
    <row r="370" spans="2:5">
      <c r="B370" s="2"/>
      <c r="C370" s="94"/>
      <c r="D370" s="94"/>
      <c r="E370" s="94"/>
    </row>
    <row r="371" spans="2:5">
      <c r="B371" s="2"/>
      <c r="C371" s="94"/>
      <c r="D371" s="94"/>
      <c r="E371" s="94"/>
    </row>
    <row r="372" spans="2:5">
      <c r="B372" s="2"/>
      <c r="C372" s="94"/>
      <c r="D372" s="94"/>
      <c r="E372" s="94"/>
    </row>
    <row r="373" spans="2:5">
      <c r="B373" s="2"/>
      <c r="C373" s="94"/>
      <c r="D373" s="94"/>
      <c r="E373" s="94"/>
    </row>
    <row r="374" spans="2:5">
      <c r="B374" s="2"/>
      <c r="C374" s="94"/>
      <c r="D374" s="94"/>
      <c r="E374" s="94"/>
    </row>
    <row r="375" spans="2:5">
      <c r="B375" s="2"/>
      <c r="C375" s="94"/>
      <c r="D375" s="94"/>
      <c r="E375" s="94"/>
    </row>
    <row r="376" spans="2:5">
      <c r="B376" s="2"/>
      <c r="C376" s="94"/>
      <c r="D376" s="94"/>
      <c r="E376" s="94"/>
    </row>
    <row r="377" spans="2:5">
      <c r="B377" s="2"/>
      <c r="C377" s="94"/>
      <c r="D377" s="94"/>
      <c r="E377" s="94"/>
    </row>
    <row r="378" spans="2:5">
      <c r="C378" s="94"/>
      <c r="D378" s="94"/>
      <c r="E378" s="94"/>
    </row>
    <row r="379" spans="2:5">
      <c r="C379" s="94"/>
      <c r="D379" s="94"/>
      <c r="E379" s="94"/>
    </row>
    <row r="380" spans="2:5">
      <c r="C380" s="94"/>
      <c r="D380" s="94"/>
      <c r="E380" s="94"/>
    </row>
    <row r="381" spans="2:5">
      <c r="C381" s="94"/>
      <c r="D381" s="94"/>
      <c r="E381" s="94"/>
    </row>
  </sheetData>
  <phoneticPr fontId="4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156"/>
  <sheetViews>
    <sheetView topLeftCell="A37" workbookViewId="0">
      <selection activeCell="C97" sqref="C97"/>
    </sheetView>
  </sheetViews>
  <sheetFormatPr defaultRowHeight="13.2"/>
  <cols>
    <col min="1" max="1" width="13.44140625" customWidth="1"/>
    <col min="2" max="2" width="10.33203125" customWidth="1"/>
    <col min="3" max="3" width="8.33203125" customWidth="1"/>
    <col min="5" max="5" width="10.6640625" customWidth="1"/>
    <col min="6" max="6" width="12.44140625" bestFit="1" customWidth="1"/>
    <col min="8" max="8" width="14" customWidth="1"/>
    <col min="9" max="9" width="12.6640625" customWidth="1"/>
    <col min="10" max="10" width="11.6640625" customWidth="1"/>
  </cols>
  <sheetData>
    <row r="1" spans="1:12">
      <c r="A1" s="15" t="s">
        <v>75</v>
      </c>
    </row>
    <row r="2" spans="1:12">
      <c r="E2" s="2"/>
    </row>
    <row r="3" spans="1:12">
      <c r="D3" s="2" t="s">
        <v>0</v>
      </c>
      <c r="E3">
        <f>'Device Parmaters'!E11/ILIM_tgt</f>
        <v>4.5</v>
      </c>
    </row>
    <row r="4" spans="1:12">
      <c r="D4" s="19" t="s">
        <v>266</v>
      </c>
      <c r="E4">
        <f>'Device Parmaters'!C11/ILIM_tgt</f>
        <v>0.66666666666666663</v>
      </c>
    </row>
    <row r="5" spans="1:12">
      <c r="A5" s="131"/>
      <c r="D5" s="2" t="s">
        <v>1</v>
      </c>
      <c r="E5" s="3">
        <f>CLMIN_Threshold/Rs</f>
        <v>18.914598540145981</v>
      </c>
      <c r="F5" s="3"/>
    </row>
    <row r="6" spans="1:12">
      <c r="A6" s="131"/>
      <c r="D6" s="2" t="s">
        <v>2</v>
      </c>
      <c r="E6">
        <f>CLNOM_Threshold/Rs</f>
        <v>19.855839416058391</v>
      </c>
    </row>
    <row r="7" spans="1:12">
      <c r="A7" s="131"/>
      <c r="D7" s="2" t="s">
        <v>3</v>
      </c>
      <c r="E7">
        <f>CLMAX_Threshold/Rs</f>
        <v>20.797080291970801</v>
      </c>
    </row>
    <row r="8" spans="1:12">
      <c r="D8" s="2" t="s">
        <v>4</v>
      </c>
      <c r="E8">
        <f>E7^2*'Design Calculator'!F25</f>
        <v>432.51854867068027</v>
      </c>
    </row>
    <row r="10" spans="1:12">
      <c r="A10" s="138"/>
      <c r="D10" s="19" t="s">
        <v>225</v>
      </c>
      <c r="E10">
        <f>(ILIM_tgt*Rs)/0.25</f>
        <v>60</v>
      </c>
    </row>
    <row r="11" spans="1:12">
      <c r="D11" s="19" t="s">
        <v>226</v>
      </c>
      <c r="E11">
        <f>(0.675*'Design Calculator'!F27)/(ILIM_tgt*Rs*0.001)</f>
        <v>3627</v>
      </c>
    </row>
    <row r="13" spans="1:12">
      <c r="D13" s="19" t="s">
        <v>255</v>
      </c>
      <c r="E13" s="2">
        <f>(675*'Design Calculator'!F27/RDIV1)</f>
        <v>19.855839416058391</v>
      </c>
      <c r="F13" t="s">
        <v>106</v>
      </c>
    </row>
    <row r="14" spans="1:12">
      <c r="G14" s="18" t="s">
        <v>264</v>
      </c>
    </row>
    <row r="15" spans="1:12">
      <c r="D15" t="s">
        <v>142</v>
      </c>
      <c r="E15">
        <f>CLNOM_Threshold-J16-CLNOM_Threshold*J17</f>
        <v>18.914598540145981</v>
      </c>
      <c r="F15" s="57" t="s">
        <v>106</v>
      </c>
      <c r="G15">
        <f>(CLMIN_Threshold-CLNOM_Threshold)/CLNOM_Threshold</f>
        <v>-4.7403731274699074E-2</v>
      </c>
      <c r="H15" s="18" t="s">
        <v>261</v>
      </c>
      <c r="L15" s="131"/>
    </row>
    <row r="16" spans="1:12">
      <c r="D16" t="s">
        <v>141</v>
      </c>
      <c r="E16">
        <f>E13</f>
        <v>19.855839416058391</v>
      </c>
      <c r="F16" s="57" t="s">
        <v>106</v>
      </c>
      <c r="I16" s="18" t="s">
        <v>262</v>
      </c>
      <c r="J16">
        <v>0.5</v>
      </c>
      <c r="K16" s="18" t="s">
        <v>106</v>
      </c>
      <c r="L16" s="131"/>
    </row>
    <row r="17" spans="1:12">
      <c r="D17" t="s">
        <v>140</v>
      </c>
      <c r="E17">
        <f>CLNOM_Threshold+J16+CLNOM_Threshold*J17</f>
        <v>20.797080291970801</v>
      </c>
      <c r="F17" s="57" t="s">
        <v>106</v>
      </c>
      <c r="G17">
        <f>(CLMAX_Threshold-CLNOM_Threshold)/CLNOM_Threshold</f>
        <v>4.7403731274699074E-2</v>
      </c>
      <c r="I17" s="18" t="s">
        <v>263</v>
      </c>
      <c r="J17">
        <f>15/675</f>
        <v>2.2222222222222223E-2</v>
      </c>
      <c r="L17" s="131"/>
    </row>
    <row r="18" spans="1:12">
      <c r="E18" s="2"/>
    </row>
    <row r="19" spans="1:12">
      <c r="A19" s="15" t="s">
        <v>95</v>
      </c>
    </row>
    <row r="20" spans="1:12">
      <c r="A20" s="18"/>
      <c r="F20" s="18"/>
      <c r="H20" s="18"/>
    </row>
    <row r="21" spans="1:12">
      <c r="A21" s="18"/>
      <c r="E21" s="25"/>
      <c r="F21" s="26"/>
      <c r="G21" s="18"/>
    </row>
    <row r="22" spans="1:12">
      <c r="A22" s="18"/>
      <c r="E22" s="25"/>
      <c r="F22" s="26"/>
      <c r="G22" s="18"/>
      <c r="H22">
        <f>FoldBack_max</f>
        <v>25</v>
      </c>
    </row>
    <row r="23" spans="1:12">
      <c r="A23" s="18"/>
      <c r="E23" s="25"/>
      <c r="F23" s="26"/>
      <c r="G23" s="18"/>
    </row>
    <row r="24" spans="1:12">
      <c r="A24" s="18"/>
      <c r="E24" s="25"/>
      <c r="F24" s="26"/>
      <c r="G24" s="34"/>
    </row>
    <row r="25" spans="1:12">
      <c r="A25" s="18"/>
      <c r="E25" s="36"/>
      <c r="F25" s="35"/>
      <c r="G25" s="34"/>
    </row>
    <row r="26" spans="1:12">
      <c r="A26" s="132"/>
      <c r="E26" s="36" t="s">
        <v>107</v>
      </c>
      <c r="F26" s="35">
        <f>VINMAX*MAX(Vsns_min, CLNOM_Threshold/FoldBack_max)/Rs</f>
        <v>19.5</v>
      </c>
      <c r="G26" s="34" t="s">
        <v>50</v>
      </c>
    </row>
    <row r="27" spans="1:12">
      <c r="A27" s="18"/>
      <c r="E27" s="36" t="s">
        <v>154</v>
      </c>
      <c r="F27" s="35">
        <f>'Design Calculator'!F54</f>
        <v>100</v>
      </c>
      <c r="G27" s="34" t="s">
        <v>50</v>
      </c>
    </row>
    <row r="28" spans="1:12">
      <c r="A28" s="18"/>
      <c r="E28" s="36" t="s">
        <v>228</v>
      </c>
      <c r="F28">
        <f>(84375*'Design Calculator'!F27)/('Design Calculator'!F54*Rs*RDIV1)</f>
        <v>24.819799270072988</v>
      </c>
      <c r="G28" s="34" t="s">
        <v>155</v>
      </c>
    </row>
    <row r="29" spans="1:12">
      <c r="A29" s="18"/>
      <c r="E29" s="36" t="s">
        <v>229</v>
      </c>
      <c r="F29" s="35">
        <f>RPROG</f>
        <v>24</v>
      </c>
      <c r="G29" s="34" t="s">
        <v>155</v>
      </c>
    </row>
    <row r="30" spans="1:12">
      <c r="A30" s="133"/>
      <c r="E30" s="36" t="s">
        <v>156</v>
      </c>
      <c r="F30" s="35">
        <f>(84375*'Design Calculator'!F27)/(Rs*RDIV1*RPROG)</f>
        <v>103.41583029197079</v>
      </c>
      <c r="G30" s="34" t="s">
        <v>50</v>
      </c>
    </row>
    <row r="31" spans="1:12">
      <c r="A31" s="18"/>
      <c r="E31" s="36"/>
      <c r="G31" s="34"/>
    </row>
    <row r="32" spans="1:12">
      <c r="A32" s="18"/>
      <c r="E32" s="36"/>
      <c r="G32" s="34"/>
    </row>
    <row r="33" spans="1:12">
      <c r="A33" s="18"/>
      <c r="E33" s="36"/>
      <c r="G33" s="34"/>
    </row>
    <row r="34" spans="1:12">
      <c r="E34" s="2" t="s">
        <v>5</v>
      </c>
      <c r="F34" s="3">
        <f>F35*(1-0.24)</f>
        <v>78.596031021897801</v>
      </c>
    </row>
    <row r="35" spans="1:12">
      <c r="E35" s="2" t="s">
        <v>6</v>
      </c>
      <c r="F35" s="3">
        <f>F30</f>
        <v>103.41583029197079</v>
      </c>
    </row>
    <row r="36" spans="1:12">
      <c r="E36" s="2" t="s">
        <v>7</v>
      </c>
      <c r="F36" s="3">
        <f>F35*(1+0.24)</f>
        <v>128.23562956204378</v>
      </c>
    </row>
    <row r="37" spans="1:12">
      <c r="E37" s="2"/>
      <c r="F37" s="1"/>
      <c r="H37" s="2"/>
      <c r="I37" s="1"/>
      <c r="K37" s="2"/>
      <c r="L37" s="1"/>
    </row>
    <row r="38" spans="1:12">
      <c r="E38" s="2"/>
      <c r="F38" s="1"/>
      <c r="H38" s="2"/>
      <c r="I38" s="1"/>
      <c r="K38" s="2"/>
      <c r="L38" s="1"/>
    </row>
    <row r="39" spans="1:12">
      <c r="A39" s="15" t="s">
        <v>94</v>
      </c>
    </row>
    <row r="40" spans="1:12">
      <c r="A40" s="15"/>
      <c r="D40" s="324"/>
      <c r="E40" s="325"/>
      <c r="F40" s="325"/>
      <c r="G40" s="325"/>
    </row>
    <row r="41" spans="1:12">
      <c r="A41" s="15"/>
      <c r="E41" s="19" t="s">
        <v>170</v>
      </c>
      <c r="F41" s="3">
        <f>Start_up!L2</f>
        <v>1.6218061222691862</v>
      </c>
      <c r="G41" s="18" t="s">
        <v>8</v>
      </c>
    </row>
    <row r="42" spans="1:12">
      <c r="A42" s="15"/>
      <c r="E42" s="19" t="s">
        <v>230</v>
      </c>
      <c r="F42" s="3">
        <f>NUMFETS*'Design Calculator'!AN50*5.9/'Device Parmaters'!C23</f>
        <v>0.40227272727272734</v>
      </c>
      <c r="G42" s="18" t="s">
        <v>8</v>
      </c>
    </row>
    <row r="43" spans="1:12">
      <c r="A43" s="15"/>
      <c r="E43" s="19" t="s">
        <v>171</v>
      </c>
      <c r="F43" s="3">
        <f>F41+F42</f>
        <v>2.0240788495419135</v>
      </c>
      <c r="G43" s="18" t="s">
        <v>8</v>
      </c>
    </row>
    <row r="44" spans="1:12">
      <c r="A44" s="135"/>
      <c r="E44" s="19" t="s">
        <v>172</v>
      </c>
      <c r="F44">
        <f>('Device Parmaters'!D19-IF('Design Calculator'!F64="single", 'Device Parmaters'!D20,0))*'Design Calculator'!F65/'Device Parmaters'!D17</f>
        <v>18.981481481481481</v>
      </c>
      <c r="G44" s="18" t="s">
        <v>62</v>
      </c>
    </row>
    <row r="45" spans="1:12">
      <c r="A45" s="15"/>
      <c r="E45" s="19" t="s">
        <v>173</v>
      </c>
      <c r="F45" s="3">
        <f>'Design Calculator'!F67</f>
        <v>22</v>
      </c>
      <c r="G45" s="18" t="s">
        <v>62</v>
      </c>
    </row>
    <row r="46" spans="1:12">
      <c r="A46" s="15"/>
      <c r="E46" s="19" t="s">
        <v>333</v>
      </c>
      <c r="F46">
        <f>(F45*'Device Parmaters'!D17)/('Device Parmaters'!D19-IF('Design Calculator'!F64="single", 'Device Parmaters'!D20,0))</f>
        <v>2.8975609756097565</v>
      </c>
      <c r="G46" s="18" t="s">
        <v>8</v>
      </c>
    </row>
    <row r="47" spans="1:12">
      <c r="A47" s="15"/>
      <c r="E47" s="19" t="s">
        <v>182</v>
      </c>
      <c r="F47">
        <f>SOA!C25/F35</f>
        <v>2.6660119766696466</v>
      </c>
      <c r="G47" s="18"/>
    </row>
    <row r="48" spans="1:12">
      <c r="A48" s="15"/>
      <c r="E48" s="19"/>
      <c r="G48" s="18"/>
    </row>
    <row r="49" spans="1:12">
      <c r="A49" s="134"/>
      <c r="E49" s="19" t="s">
        <v>330</v>
      </c>
      <c r="F49">
        <f>('Device Parmaters'!D19)*'Design Calculator'!F70/'Device Parmaters'!D17</f>
        <v>7.5925925925925917</v>
      </c>
      <c r="G49" s="18" t="s">
        <v>62</v>
      </c>
    </row>
    <row r="50" spans="1:12">
      <c r="A50" s="15"/>
      <c r="E50" s="19" t="s">
        <v>331</v>
      </c>
      <c r="F50">
        <f>'Design Calculator'!F72</f>
        <v>10</v>
      </c>
      <c r="G50" s="18" t="s">
        <v>62</v>
      </c>
    </row>
    <row r="51" spans="1:12">
      <c r="A51" s="15"/>
      <c r="E51" s="19" t="s">
        <v>332</v>
      </c>
      <c r="F51">
        <f>(F50*'Device Parmaters'!D17)/('Device Parmaters'!D19)</f>
        <v>1.3170731707317074</v>
      </c>
      <c r="G51" s="18" t="s">
        <v>8</v>
      </c>
    </row>
    <row r="52" spans="1:12">
      <c r="A52" s="15"/>
      <c r="E52" s="19"/>
      <c r="G52" s="18"/>
    </row>
    <row r="53" spans="1:12">
      <c r="A53" s="15"/>
      <c r="E53" s="19"/>
      <c r="G53" s="18"/>
    </row>
    <row r="54" spans="1:12">
      <c r="A54" s="15"/>
      <c r="D54" s="324"/>
      <c r="E54" s="325"/>
      <c r="F54" s="325"/>
      <c r="G54" s="325"/>
    </row>
    <row r="55" spans="1:12">
      <c r="A55" s="15"/>
      <c r="C55" s="18"/>
      <c r="D55" s="77"/>
      <c r="E55" s="19"/>
      <c r="F55" s="72"/>
      <c r="G55" s="63"/>
    </row>
    <row r="56" spans="1:12">
      <c r="A56" s="15"/>
      <c r="C56" s="18"/>
      <c r="D56" s="77"/>
      <c r="E56" s="19"/>
      <c r="F56" s="326" t="s">
        <v>307</v>
      </c>
      <c r="G56" s="327"/>
    </row>
    <row r="57" spans="1:12">
      <c r="A57" s="15"/>
      <c r="C57" s="18"/>
      <c r="D57" s="77"/>
      <c r="E57" s="19"/>
      <c r="F57" s="72" t="s">
        <v>309</v>
      </c>
      <c r="G57" s="18">
        <f>(C64*G58)/('Design Calculator'!F74-C64)</f>
        <v>7.7878612716763014</v>
      </c>
    </row>
    <row r="58" spans="1:12">
      <c r="D58" s="15"/>
      <c r="F58" s="2" t="s">
        <v>15</v>
      </c>
      <c r="G58" s="13">
        <f>'Design Calculator'!F76</f>
        <v>49.9</v>
      </c>
      <c r="I58" t="s">
        <v>10</v>
      </c>
      <c r="L58" t="s">
        <v>16</v>
      </c>
    </row>
    <row r="59" spans="1:12">
      <c r="B59" s="19"/>
      <c r="C59" s="77"/>
      <c r="F59" s="2" t="s">
        <v>14</v>
      </c>
      <c r="G59" s="5">
        <f>G57-G60</f>
        <v>2.2251032204789443</v>
      </c>
      <c r="I59" t="s">
        <v>11</v>
      </c>
      <c r="L59" t="s">
        <v>17</v>
      </c>
    </row>
    <row r="60" spans="1:12">
      <c r="B60" s="19"/>
      <c r="C60" s="77"/>
      <c r="F60" s="2" t="s">
        <v>13</v>
      </c>
      <c r="G60" s="5">
        <f>(G58+G57)*C66/'Design Calculator'!F75</f>
        <v>5.5627580511973571</v>
      </c>
      <c r="I60" t="s">
        <v>12</v>
      </c>
      <c r="L60" t="s">
        <v>18</v>
      </c>
    </row>
    <row r="61" spans="1:12">
      <c r="B61" s="18"/>
      <c r="C61" s="77"/>
    </row>
    <row r="63" spans="1:12">
      <c r="B63" s="18" t="s">
        <v>301</v>
      </c>
      <c r="C63" s="18" t="s">
        <v>300</v>
      </c>
      <c r="D63" s="18" t="s">
        <v>302</v>
      </c>
      <c r="F63" s="326" t="s">
        <v>308</v>
      </c>
      <c r="G63" s="327"/>
    </row>
    <row r="64" spans="1:12">
      <c r="A64" s="133" t="s">
        <v>304</v>
      </c>
      <c r="B64" s="136">
        <f>'Device Parmaters'!C35</f>
        <v>1.3</v>
      </c>
      <c r="C64" s="136">
        <f>'Device Parmaters'!D35</f>
        <v>1.35</v>
      </c>
      <c r="D64" s="136">
        <f>'Device Parmaters'!E35</f>
        <v>1.4</v>
      </c>
      <c r="E64" s="137"/>
      <c r="F64" s="2" t="s">
        <v>15</v>
      </c>
      <c r="G64" s="13">
        <f>G58</f>
        <v>49.9</v>
      </c>
    </row>
    <row r="65" spans="1:7">
      <c r="A65" s="133" t="s">
        <v>303</v>
      </c>
      <c r="B65" s="136">
        <f>C65-C64+B64</f>
        <v>1.25</v>
      </c>
      <c r="C65" s="136">
        <f>C64-'Device Parmaters'!D36*0.001</f>
        <v>1.3</v>
      </c>
      <c r="D65" s="136">
        <f>C65+D64-C64</f>
        <v>1.35</v>
      </c>
      <c r="E65" s="137"/>
      <c r="F65" s="2" t="s">
        <v>14</v>
      </c>
      <c r="G65" s="5">
        <f>'Design Calculator'!F79</f>
        <v>2.21</v>
      </c>
    </row>
    <row r="66" spans="1:7">
      <c r="A66" s="18" t="s">
        <v>305</v>
      </c>
      <c r="B66">
        <f>'Device Parmaters'!C26</f>
        <v>1.3</v>
      </c>
      <c r="C66">
        <v>1.35</v>
      </c>
      <c r="D66">
        <f>'Device Parmaters'!E26</f>
        <v>1.4</v>
      </c>
      <c r="F66" s="2" t="s">
        <v>13</v>
      </c>
      <c r="G66" s="5">
        <f>'Design Calculator'!F80</f>
        <v>5.56</v>
      </c>
    </row>
    <row r="67" spans="1:7">
      <c r="A67" s="18" t="s">
        <v>306</v>
      </c>
      <c r="B67">
        <f>C67-C66+B66</f>
        <v>1.25</v>
      </c>
      <c r="C67">
        <f>C66-'Device Parmaters'!D27*0.001</f>
        <v>1.3</v>
      </c>
      <c r="D67">
        <f>C67+D66-C66</f>
        <v>1.35</v>
      </c>
    </row>
    <row r="68" spans="1:7">
      <c r="G68" s="13"/>
    </row>
    <row r="69" spans="1:7">
      <c r="E69" s="2"/>
      <c r="F69" s="106"/>
      <c r="G69" s="13"/>
    </row>
    <row r="70" spans="1:7">
      <c r="B70" s="8"/>
      <c r="C70" s="9"/>
      <c r="D70" s="9"/>
      <c r="E70" s="102" t="s">
        <v>241</v>
      </c>
      <c r="F70" s="3">
        <f t="shared" ref="F70:F81" si="0">G70</f>
        <v>9.6487773487773492</v>
      </c>
      <c r="G70" s="13">
        <f>($G$64+$G$65+$G$66)/($G$65+$G$66)*B64</f>
        <v>9.6487773487773492</v>
      </c>
    </row>
    <row r="71" spans="1:7">
      <c r="B71" s="10"/>
      <c r="C71" s="7"/>
      <c r="D71" s="7"/>
      <c r="E71" s="103" t="s">
        <v>242</v>
      </c>
      <c r="F71" s="3">
        <f t="shared" si="0"/>
        <v>10.019884169884172</v>
      </c>
      <c r="G71" s="13">
        <f>($G$64+$G$65+$G$66)/($G$65+$G$66)*C64</f>
        <v>10.019884169884172</v>
      </c>
    </row>
    <row r="72" spans="1:7">
      <c r="B72" s="11"/>
      <c r="C72" s="12"/>
      <c r="D72" s="12"/>
      <c r="E72" s="104" t="s">
        <v>243</v>
      </c>
      <c r="F72" s="3">
        <f t="shared" si="0"/>
        <v>10.390990990990991</v>
      </c>
      <c r="G72" s="13">
        <f>($G$64+$G$65+$G$66)/($G$65+$G$66)*D64</f>
        <v>10.390990990990991</v>
      </c>
    </row>
    <row r="73" spans="1:7">
      <c r="E73" s="80" t="s">
        <v>244</v>
      </c>
      <c r="F73" s="3">
        <f t="shared" si="0"/>
        <v>9.2776705276705282</v>
      </c>
      <c r="G73" s="13">
        <f>($G$64+$G$65+$G$66)/($G$65+$G$66)*B65</f>
        <v>9.2776705276705282</v>
      </c>
    </row>
    <row r="74" spans="1:7">
      <c r="E74" s="80" t="s">
        <v>245</v>
      </c>
      <c r="F74" s="3">
        <f t="shared" si="0"/>
        <v>9.6487773487773492</v>
      </c>
      <c r="G74" s="13">
        <f>($G$64+$G$65+$G$66)/($G$65+$G$66)*C65</f>
        <v>9.6487773487773492</v>
      </c>
    </row>
    <row r="75" spans="1:7">
      <c r="E75" s="80" t="s">
        <v>246</v>
      </c>
      <c r="F75" s="3">
        <f t="shared" si="0"/>
        <v>10.019884169884172</v>
      </c>
      <c r="G75" s="13">
        <f>($G$64+$G$65+$G$66)/($G$65+$G$66)*D65</f>
        <v>10.019884169884172</v>
      </c>
    </row>
    <row r="76" spans="1:7">
      <c r="B76" s="8"/>
      <c r="C76" s="9"/>
      <c r="D76" s="9"/>
      <c r="E76" s="102" t="s">
        <v>247</v>
      </c>
      <c r="F76" s="3">
        <f t="shared" si="0"/>
        <v>13.483992805755399</v>
      </c>
      <c r="G76" s="13">
        <f>($G$64+$G$65+$G$66)/($G$66)*B66</f>
        <v>13.483992805755399</v>
      </c>
    </row>
    <row r="77" spans="1:7">
      <c r="B77" s="10"/>
      <c r="C77" s="7"/>
      <c r="D77" s="7"/>
      <c r="E77" s="103" t="s">
        <v>248</v>
      </c>
      <c r="F77" s="3">
        <f>G77</f>
        <v>14.002607913669069</v>
      </c>
      <c r="G77" s="13">
        <f>($G$64+$G$65+$G$66)/($G$66)*C66</f>
        <v>14.002607913669069</v>
      </c>
    </row>
    <row r="78" spans="1:7">
      <c r="B78" s="11"/>
      <c r="C78" s="12"/>
      <c r="D78" s="12"/>
      <c r="E78" s="104" t="s">
        <v>249</v>
      </c>
      <c r="F78" s="3">
        <f t="shared" si="0"/>
        <v>14.521223021582735</v>
      </c>
      <c r="G78" s="13">
        <f>($G$64+$G$65+$G$66)/($G$66)*D66</f>
        <v>14.521223021582735</v>
      </c>
    </row>
    <row r="79" spans="1:7">
      <c r="E79" s="80" t="s">
        <v>250</v>
      </c>
      <c r="F79" s="3">
        <f t="shared" si="0"/>
        <v>12.965377697841729</v>
      </c>
      <c r="G79" s="13">
        <f>($G$64+$G$65+$G$66)/($G$66)*B67</f>
        <v>12.965377697841729</v>
      </c>
    </row>
    <row r="80" spans="1:7">
      <c r="E80" s="80" t="s">
        <v>251</v>
      </c>
      <c r="F80" s="3">
        <f t="shared" si="0"/>
        <v>13.483992805755399</v>
      </c>
      <c r="G80" s="13">
        <f>($G$64+$G$65+$G$66)/($G$66)*C67</f>
        <v>13.483992805755399</v>
      </c>
    </row>
    <row r="81" spans="2:7">
      <c r="E81" s="80" t="s">
        <v>252</v>
      </c>
      <c r="F81" s="3">
        <f t="shared" si="0"/>
        <v>14.002607913669069</v>
      </c>
      <c r="G81" s="13">
        <f>($G$64+$G$65+$G$66)/($G$66)*D67</f>
        <v>14.002607913669069</v>
      </c>
    </row>
    <row r="89" spans="2:7">
      <c r="E89" s="19"/>
      <c r="F89" s="18"/>
      <c r="G89" s="18"/>
    </row>
    <row r="90" spans="2:7">
      <c r="E90" s="19"/>
      <c r="F90" s="18"/>
      <c r="G90" s="18"/>
    </row>
    <row r="91" spans="2:7" ht="12" customHeight="1">
      <c r="B91" s="15" t="s">
        <v>471</v>
      </c>
      <c r="E91" s="19"/>
      <c r="G91" s="18"/>
    </row>
    <row r="92" spans="2:7">
      <c r="B92" s="18" t="s">
        <v>288</v>
      </c>
      <c r="C92">
        <f>NUMFETS</f>
        <v>1</v>
      </c>
    </row>
    <row r="94" spans="2:7">
      <c r="B94" s="18" t="s">
        <v>472</v>
      </c>
      <c r="C94">
        <f>'Design Calculator'!F83/SQRT('Design Calculator'!F84)</f>
        <v>20.348218595248085</v>
      </c>
      <c r="E94" s="18" t="s">
        <v>474</v>
      </c>
      <c r="F94">
        <f>RDIV1/'Design Calculator'!F27</f>
        <v>33.995037220843678</v>
      </c>
    </row>
    <row r="96" spans="2:7">
      <c r="B96" s="18" t="s">
        <v>473</v>
      </c>
      <c r="C96">
        <f>(0.00000000000654)*C94*F94^1.5*SQRT(Rs*0.001)/SQRT(C92)</f>
        <v>8.3411786767654037E-10</v>
      </c>
    </row>
    <row r="98" spans="2:4">
      <c r="B98" s="18" t="s">
        <v>473</v>
      </c>
      <c r="C98">
        <f>C96*1000000000</f>
        <v>0.83411786767654039</v>
      </c>
      <c r="D98" s="18" t="s">
        <v>62</v>
      </c>
    </row>
    <row r="100" spans="2:4">
      <c r="B100" s="18" t="s">
        <v>475</v>
      </c>
      <c r="C100">
        <f>C98*2 - 'Design Calculator'!F85</f>
        <v>0.3182357353530807</v>
      </c>
      <c r="D100" s="18" t="s">
        <v>62</v>
      </c>
    </row>
    <row r="102" spans="2:4">
      <c r="B102" s="160" t="s">
        <v>466</v>
      </c>
      <c r="C102" s="202" t="str">
        <f>IF(C100&lt;0, "NO", "YES")</f>
        <v>YES</v>
      </c>
      <c r="D102" s="216"/>
    </row>
    <row r="103" spans="2:4">
      <c r="B103" s="160" t="s">
        <v>467</v>
      </c>
      <c r="C103" s="202">
        <f>IF(C102="NO", "none", C100)</f>
        <v>0.3182357353530807</v>
      </c>
      <c r="D103" s="203" t="s">
        <v>62</v>
      </c>
    </row>
    <row r="112" spans="2:4">
      <c r="C112" s="15" t="s">
        <v>19</v>
      </c>
    </row>
    <row r="113" spans="4:18">
      <c r="E113" s="2" t="s">
        <v>20</v>
      </c>
      <c r="F113" s="106">
        <f>'Design Calculator'!F25</f>
        <v>1</v>
      </c>
    </row>
    <row r="114" spans="4:18" ht="15.6">
      <c r="E114" s="2" t="s">
        <v>21</v>
      </c>
      <c r="F114" s="106">
        <f>'Design Calculator'!F56</f>
        <v>24</v>
      </c>
    </row>
    <row r="115" spans="4:18">
      <c r="E115" s="2" t="s">
        <v>22</v>
      </c>
      <c r="F115" s="106">
        <f>'Design Calculator'!F15</f>
        <v>13</v>
      </c>
    </row>
    <row r="117" spans="4:18">
      <c r="E117" s="2" t="s">
        <v>23</v>
      </c>
      <c r="F117" s="13">
        <f>E5</f>
        <v>18.914598540145981</v>
      </c>
    </row>
    <row r="118" spans="4:18">
      <c r="E118" s="2" t="s">
        <v>24</v>
      </c>
      <c r="F118" s="13">
        <f>E6</f>
        <v>19.855839416058391</v>
      </c>
    </row>
    <row r="119" spans="4:18">
      <c r="E119" s="2" t="s">
        <v>25</v>
      </c>
      <c r="F119" s="13">
        <f>E7</f>
        <v>20.797080291970801</v>
      </c>
    </row>
    <row r="121" spans="4:18">
      <c r="E121" s="2" t="s">
        <v>26</v>
      </c>
      <c r="F121" s="5">
        <f>F34</f>
        <v>78.596031021897801</v>
      </c>
    </row>
    <row r="122" spans="4:18">
      <c r="E122" s="2" t="s">
        <v>27</v>
      </c>
      <c r="F122" s="5">
        <f>F35</f>
        <v>103.41583029197079</v>
      </c>
    </row>
    <row r="123" spans="4:18">
      <c r="E123" s="2" t="s">
        <v>28</v>
      </c>
      <c r="F123" s="5">
        <f>F36</f>
        <v>128.23562956204378</v>
      </c>
    </row>
    <row r="128" spans="4:18">
      <c r="D128" t="s">
        <v>29</v>
      </c>
      <c r="E128" s="2"/>
      <c r="I128" t="s">
        <v>30</v>
      </c>
      <c r="N128" t="s">
        <v>45</v>
      </c>
      <c r="R128" s="18" t="s">
        <v>51</v>
      </c>
    </row>
    <row r="129" spans="2:25">
      <c r="D129" t="s">
        <v>31</v>
      </c>
      <c r="I129" t="s">
        <v>32</v>
      </c>
      <c r="N129" t="s">
        <v>37</v>
      </c>
      <c r="R129" s="18" t="s">
        <v>52</v>
      </c>
    </row>
    <row r="130" spans="2:25">
      <c r="B130" s="18" t="s">
        <v>87</v>
      </c>
      <c r="D130" s="108" t="s">
        <v>33</v>
      </c>
      <c r="E130" s="108" t="s">
        <v>34</v>
      </c>
      <c r="F130" s="107" t="s">
        <v>35</v>
      </c>
      <c r="G130" s="108" t="s">
        <v>36</v>
      </c>
      <c r="I130" s="108" t="s">
        <v>33</v>
      </c>
      <c r="J130" s="108" t="s">
        <v>34</v>
      </c>
      <c r="K130" s="108" t="s">
        <v>35</v>
      </c>
      <c r="L130" s="108" t="s">
        <v>36</v>
      </c>
      <c r="N130" t="s">
        <v>38</v>
      </c>
      <c r="R130" s="108" t="s">
        <v>33</v>
      </c>
      <c r="S130" s="14" t="s">
        <v>34</v>
      </c>
      <c r="T130" s="14" t="s">
        <v>35</v>
      </c>
      <c r="U130" s="14" t="s">
        <v>36</v>
      </c>
      <c r="V130" s="73" t="s">
        <v>44</v>
      </c>
      <c r="X130" s="74" t="s">
        <v>180</v>
      </c>
    </row>
    <row r="131" spans="2:25">
      <c r="B131">
        <f>D131*F131</f>
        <v>103.41583029197079</v>
      </c>
      <c r="D131" s="108">
        <v>1</v>
      </c>
      <c r="E131" s="16">
        <f t="shared" ref="E131:E147" si="1">(1-$F$154)*F131</f>
        <v>77.561872718978094</v>
      </c>
      <c r="F131" s="16">
        <f t="shared" ref="F131:F147" si="2">($F$122+(D131-VINMAX)*$E$151/$E$152)/D131</f>
        <v>103.41583029197079</v>
      </c>
      <c r="G131" s="16">
        <f t="shared" ref="G131:G147" si="3">F131*(1+$F$154)</f>
        <v>129.26978786496349</v>
      </c>
      <c r="I131" s="108">
        <v>1</v>
      </c>
      <c r="J131" s="16">
        <f t="shared" ref="J131:J147" si="4">IF(E131&gt;$F$117,$F$117,E131)</f>
        <v>18.914598540145981</v>
      </c>
      <c r="K131" s="16">
        <f>IF(F131&gt;$F$118,$F$118,F131)</f>
        <v>19.855839416058391</v>
      </c>
      <c r="L131" s="16">
        <f t="shared" ref="L131:L147" si="5">IF(G131&gt;$F$119,$F$119,G131)</f>
        <v>20.797080291970801</v>
      </c>
      <c r="N131" t="s">
        <v>39</v>
      </c>
      <c r="R131" s="108">
        <v>1</v>
      </c>
      <c r="S131" s="16">
        <f t="shared" ref="S131:S150" si="6">IF($R131&gt;$F$115,0.0000000005,J131)</f>
        <v>18.914598540145981</v>
      </c>
      <c r="T131" s="16">
        <f t="shared" ref="T131:T150" si="7">IF($R131&gt;$F$115,0.0000000005,K131)</f>
        <v>19.855839416058391</v>
      </c>
      <c r="U131" s="16">
        <f t="shared" ref="U131:U150" si="8">IF($R131&gt;$F$115,0.0000000005,L131)</f>
        <v>20.797080291970801</v>
      </c>
      <c r="V131" s="16">
        <f>$X$131/R131</f>
        <v>275.70784213562979</v>
      </c>
      <c r="X131">
        <f>SOA!C25</f>
        <v>275.70784213562979</v>
      </c>
      <c r="Y131" s="18" t="s">
        <v>50</v>
      </c>
    </row>
    <row r="132" spans="2:25">
      <c r="B132">
        <f t="shared" ref="B132:B147" si="9">D132*F132</f>
        <v>103.41583029197079</v>
      </c>
      <c r="D132" s="108">
        <v>2</v>
      </c>
      <c r="E132" s="16">
        <f t="shared" si="1"/>
        <v>38.780936359489047</v>
      </c>
      <c r="F132" s="16">
        <f t="shared" si="2"/>
        <v>51.707915145985396</v>
      </c>
      <c r="G132" s="16">
        <f t="shared" si="3"/>
        <v>64.634893932481745</v>
      </c>
      <c r="I132" s="108">
        <v>2</v>
      </c>
      <c r="J132" s="16">
        <f t="shared" si="4"/>
        <v>18.914598540145981</v>
      </c>
      <c r="K132" s="16">
        <f t="shared" ref="K132:K147" si="10">IF(F132&gt;$F$118,$F$118,F132)</f>
        <v>19.855839416058391</v>
      </c>
      <c r="L132" s="16">
        <f t="shared" si="5"/>
        <v>20.797080291970801</v>
      </c>
      <c r="R132" s="108">
        <v>2</v>
      </c>
      <c r="S132" s="16">
        <f t="shared" si="6"/>
        <v>18.914598540145981</v>
      </c>
      <c r="T132" s="16">
        <f t="shared" si="7"/>
        <v>19.855839416058391</v>
      </c>
      <c r="U132" s="16">
        <f t="shared" si="8"/>
        <v>20.797080291970801</v>
      </c>
      <c r="V132" s="16">
        <f>$X$131/R132</f>
        <v>137.85392106781489</v>
      </c>
    </row>
    <row r="133" spans="2:25">
      <c r="B133">
        <f t="shared" si="9"/>
        <v>103.41583029197079</v>
      </c>
      <c r="D133" s="108">
        <v>3</v>
      </c>
      <c r="E133" s="16">
        <f t="shared" si="1"/>
        <v>25.853957572992698</v>
      </c>
      <c r="F133" s="16">
        <f t="shared" si="2"/>
        <v>34.471943430656928</v>
      </c>
      <c r="G133" s="16">
        <f t="shared" si="3"/>
        <v>43.089929288321159</v>
      </c>
      <c r="I133" s="108">
        <v>3</v>
      </c>
      <c r="J133" s="16">
        <f t="shared" si="4"/>
        <v>18.914598540145981</v>
      </c>
      <c r="K133" s="16">
        <f t="shared" si="10"/>
        <v>19.855839416058391</v>
      </c>
      <c r="L133" s="16">
        <f t="shared" si="5"/>
        <v>20.797080291970801</v>
      </c>
      <c r="O133" s="109" t="s">
        <v>40</v>
      </c>
      <c r="R133" s="108">
        <v>3</v>
      </c>
      <c r="S133" s="16">
        <f t="shared" si="6"/>
        <v>18.914598540145981</v>
      </c>
      <c r="T133" s="16">
        <f t="shared" si="7"/>
        <v>19.855839416058391</v>
      </c>
      <c r="U133" s="16">
        <f t="shared" si="8"/>
        <v>20.797080291970801</v>
      </c>
      <c r="V133" s="16">
        <f>$X$131/R133</f>
        <v>91.90261404520993</v>
      </c>
    </row>
    <row r="134" spans="2:25">
      <c r="B134">
        <f t="shared" si="9"/>
        <v>103.41583029197079</v>
      </c>
      <c r="D134" s="4">
        <v>4</v>
      </c>
      <c r="E134" s="16">
        <f t="shared" si="1"/>
        <v>19.390468179744524</v>
      </c>
      <c r="F134" s="16">
        <f t="shared" si="2"/>
        <v>25.853957572992698</v>
      </c>
      <c r="G134" s="16">
        <f t="shared" si="3"/>
        <v>32.317446966240873</v>
      </c>
      <c r="I134" s="4">
        <v>4</v>
      </c>
      <c r="J134" s="16">
        <f t="shared" si="4"/>
        <v>18.914598540145981</v>
      </c>
      <c r="K134" s="16">
        <f t="shared" si="10"/>
        <v>19.855839416058391</v>
      </c>
      <c r="L134" s="16">
        <f t="shared" si="5"/>
        <v>20.797080291970801</v>
      </c>
      <c r="N134" s="6" t="s">
        <v>33</v>
      </c>
      <c r="O134" s="17" t="s">
        <v>41</v>
      </c>
      <c r="R134" s="4">
        <v>4</v>
      </c>
      <c r="S134" s="16">
        <f t="shared" si="6"/>
        <v>18.914598540145981</v>
      </c>
      <c r="T134" s="16">
        <f t="shared" si="7"/>
        <v>19.855839416058391</v>
      </c>
      <c r="U134" s="16">
        <f t="shared" si="8"/>
        <v>20.797080291970801</v>
      </c>
      <c r="V134" s="16">
        <f>$X$131/R134</f>
        <v>68.926960533907447</v>
      </c>
    </row>
    <row r="135" spans="2:25">
      <c r="B135">
        <f t="shared" si="9"/>
        <v>103.41583029197079</v>
      </c>
      <c r="D135" s="4">
        <v>5</v>
      </c>
      <c r="E135" s="16">
        <f t="shared" si="1"/>
        <v>15.512374543795618</v>
      </c>
      <c r="F135" s="16">
        <f t="shared" si="2"/>
        <v>20.683166058394157</v>
      </c>
      <c r="G135" s="16">
        <f t="shared" si="3"/>
        <v>25.853957572992698</v>
      </c>
      <c r="I135" s="4">
        <v>5</v>
      </c>
      <c r="J135" s="16">
        <f t="shared" si="4"/>
        <v>15.512374543795618</v>
      </c>
      <c r="K135" s="16">
        <f t="shared" si="10"/>
        <v>19.855839416058391</v>
      </c>
      <c r="L135" s="16">
        <f t="shared" si="5"/>
        <v>20.797080291970801</v>
      </c>
      <c r="N135" s="4">
        <v>1</v>
      </c>
      <c r="O135" s="4" t="e">
        <f>#REF!</f>
        <v>#REF!</v>
      </c>
      <c r="P135" t="s">
        <v>42</v>
      </c>
      <c r="R135" s="4">
        <v>5</v>
      </c>
      <c r="S135" s="16">
        <f t="shared" si="6"/>
        <v>15.512374543795618</v>
      </c>
      <c r="T135" s="16">
        <f t="shared" si="7"/>
        <v>19.855839416058391</v>
      </c>
      <c r="U135" s="16">
        <f t="shared" si="8"/>
        <v>20.797080291970801</v>
      </c>
      <c r="V135" s="16">
        <f t="shared" ref="V135:V150" si="11">$X$131/R135</f>
        <v>55.141568427125961</v>
      </c>
    </row>
    <row r="136" spans="2:25">
      <c r="B136">
        <f t="shared" si="9"/>
        <v>103.41583029197079</v>
      </c>
      <c r="D136" s="4">
        <v>6</v>
      </c>
      <c r="E136" s="16">
        <f t="shared" si="1"/>
        <v>12.926978786496349</v>
      </c>
      <c r="F136" s="16">
        <f t="shared" si="2"/>
        <v>17.235971715328464</v>
      </c>
      <c r="G136" s="16">
        <f t="shared" si="3"/>
        <v>21.544964644160579</v>
      </c>
      <c r="I136" s="4">
        <v>6</v>
      </c>
      <c r="J136" s="16">
        <f t="shared" si="4"/>
        <v>12.926978786496349</v>
      </c>
      <c r="K136" s="16">
        <f t="shared" si="10"/>
        <v>17.235971715328464</v>
      </c>
      <c r="L136" s="16">
        <f t="shared" si="5"/>
        <v>20.797080291970801</v>
      </c>
      <c r="N136" s="4">
        <v>2</v>
      </c>
      <c r="O136" s="16" t="e">
        <f>O139+((O135-O139)*3/7)</f>
        <v>#REF!</v>
      </c>
      <c r="R136" s="4">
        <v>6</v>
      </c>
      <c r="S136" s="16">
        <f t="shared" si="6"/>
        <v>12.926978786496349</v>
      </c>
      <c r="T136" s="16">
        <f t="shared" si="7"/>
        <v>17.235971715328464</v>
      </c>
      <c r="U136" s="16">
        <f t="shared" si="8"/>
        <v>20.797080291970801</v>
      </c>
      <c r="V136" s="16">
        <f t="shared" si="11"/>
        <v>45.951307022604965</v>
      </c>
    </row>
    <row r="137" spans="2:25">
      <c r="B137">
        <f t="shared" si="9"/>
        <v>103.41583029197079</v>
      </c>
      <c r="D137" s="4">
        <v>7</v>
      </c>
      <c r="E137" s="16">
        <f t="shared" si="1"/>
        <v>11.080267531282585</v>
      </c>
      <c r="F137" s="16">
        <f t="shared" si="2"/>
        <v>14.773690041710113</v>
      </c>
      <c r="G137" s="16">
        <f t="shared" si="3"/>
        <v>18.467112552137642</v>
      </c>
      <c r="I137" s="4">
        <v>7</v>
      </c>
      <c r="J137" s="16">
        <f t="shared" si="4"/>
        <v>11.080267531282585</v>
      </c>
      <c r="K137" s="16">
        <f t="shared" si="10"/>
        <v>14.773690041710113</v>
      </c>
      <c r="L137" s="16">
        <f t="shared" si="5"/>
        <v>18.467112552137642</v>
      </c>
      <c r="N137" s="4">
        <v>3</v>
      </c>
      <c r="O137" s="16" t="e">
        <f>O139+((O135-O139)*2/8)</f>
        <v>#REF!</v>
      </c>
      <c r="R137" s="4">
        <v>7</v>
      </c>
      <c r="S137" s="16">
        <f t="shared" si="6"/>
        <v>11.080267531282585</v>
      </c>
      <c r="T137" s="16">
        <f t="shared" si="7"/>
        <v>14.773690041710113</v>
      </c>
      <c r="U137" s="16">
        <f t="shared" si="8"/>
        <v>18.467112552137642</v>
      </c>
      <c r="V137" s="16">
        <f t="shared" si="11"/>
        <v>39.386834590804256</v>
      </c>
    </row>
    <row r="138" spans="2:25">
      <c r="B138">
        <f t="shared" si="9"/>
        <v>103.41583029197079</v>
      </c>
      <c r="D138" s="4">
        <v>8</v>
      </c>
      <c r="E138" s="16">
        <f t="shared" si="1"/>
        <v>9.6952340898722618</v>
      </c>
      <c r="F138" s="16">
        <f t="shared" si="2"/>
        <v>12.926978786496349</v>
      </c>
      <c r="G138" s="16">
        <f t="shared" si="3"/>
        <v>16.158723483120436</v>
      </c>
      <c r="I138" s="4">
        <v>8</v>
      </c>
      <c r="J138" s="16">
        <f t="shared" si="4"/>
        <v>9.6952340898722618</v>
      </c>
      <c r="K138" s="16">
        <f t="shared" si="10"/>
        <v>12.926978786496349</v>
      </c>
      <c r="L138" s="16">
        <f t="shared" si="5"/>
        <v>16.158723483120436</v>
      </c>
      <c r="N138" s="4">
        <v>4</v>
      </c>
      <c r="O138" s="16" t="e">
        <f>O139+((O135-O139)*1/9)</f>
        <v>#REF!</v>
      </c>
      <c r="R138" s="4">
        <v>8</v>
      </c>
      <c r="S138" s="16">
        <f t="shared" si="6"/>
        <v>9.6952340898722618</v>
      </c>
      <c r="T138" s="16">
        <f t="shared" si="7"/>
        <v>12.926978786496349</v>
      </c>
      <c r="U138" s="16">
        <f t="shared" si="8"/>
        <v>16.158723483120436</v>
      </c>
      <c r="V138" s="16">
        <f t="shared" si="11"/>
        <v>34.463480266953724</v>
      </c>
    </row>
    <row r="139" spans="2:25">
      <c r="B139">
        <f t="shared" si="9"/>
        <v>103.41583029197079</v>
      </c>
      <c r="D139" s="4">
        <v>9</v>
      </c>
      <c r="E139" s="16">
        <f t="shared" si="1"/>
        <v>8.6179858576642339</v>
      </c>
      <c r="F139" s="16">
        <f t="shared" si="2"/>
        <v>11.490647810218977</v>
      </c>
      <c r="G139" s="16">
        <f t="shared" si="3"/>
        <v>14.363309762773721</v>
      </c>
      <c r="I139" s="4">
        <v>9</v>
      </c>
      <c r="J139" s="16">
        <f t="shared" si="4"/>
        <v>8.6179858576642339</v>
      </c>
      <c r="K139" s="16">
        <f t="shared" si="10"/>
        <v>11.490647810218977</v>
      </c>
      <c r="L139" s="16">
        <f t="shared" si="5"/>
        <v>14.363309762773721</v>
      </c>
      <c r="N139" s="4">
        <v>5</v>
      </c>
      <c r="O139" s="16" t="e">
        <f>#REF!</f>
        <v>#REF!</v>
      </c>
      <c r="P139" t="s">
        <v>43</v>
      </c>
      <c r="R139" s="4">
        <v>9</v>
      </c>
      <c r="S139" s="16">
        <f t="shared" si="6"/>
        <v>8.6179858576642339</v>
      </c>
      <c r="T139" s="16">
        <f t="shared" si="7"/>
        <v>11.490647810218977</v>
      </c>
      <c r="U139" s="16">
        <f t="shared" si="8"/>
        <v>14.363309762773721</v>
      </c>
      <c r="V139" s="16">
        <f t="shared" si="11"/>
        <v>30.634204681736644</v>
      </c>
    </row>
    <row r="140" spans="2:25">
      <c r="B140">
        <f t="shared" si="9"/>
        <v>103.41583029197079</v>
      </c>
      <c r="D140" s="4">
        <v>10</v>
      </c>
      <c r="E140" s="16">
        <f t="shared" si="1"/>
        <v>7.7561872718978089</v>
      </c>
      <c r="F140" s="16">
        <f t="shared" si="2"/>
        <v>10.341583029197079</v>
      </c>
      <c r="G140" s="16">
        <f t="shared" si="3"/>
        <v>12.926978786496349</v>
      </c>
      <c r="I140" s="4">
        <v>10</v>
      </c>
      <c r="J140" s="16">
        <f t="shared" si="4"/>
        <v>7.7561872718978089</v>
      </c>
      <c r="K140" s="16">
        <f t="shared" si="10"/>
        <v>10.341583029197079</v>
      </c>
      <c r="L140" s="16">
        <f t="shared" si="5"/>
        <v>12.926978786496349</v>
      </c>
      <c r="N140" s="4">
        <v>6</v>
      </c>
      <c r="O140" s="16" t="e">
        <f>O$144+((O$139-O$144)*4/6)</f>
        <v>#REF!</v>
      </c>
      <c r="R140" s="4">
        <v>10</v>
      </c>
      <c r="S140" s="16">
        <f t="shared" si="6"/>
        <v>7.7561872718978089</v>
      </c>
      <c r="T140" s="16">
        <f t="shared" si="7"/>
        <v>10.341583029197079</v>
      </c>
      <c r="U140" s="16">
        <f t="shared" si="8"/>
        <v>12.926978786496349</v>
      </c>
      <c r="V140" s="16">
        <f t="shared" si="11"/>
        <v>27.57078421356298</v>
      </c>
    </row>
    <row r="141" spans="2:25">
      <c r="B141">
        <f t="shared" si="9"/>
        <v>103.41583029197079</v>
      </c>
      <c r="D141" s="4">
        <v>11</v>
      </c>
      <c r="E141" s="16">
        <f t="shared" si="1"/>
        <v>7.0510793380889174</v>
      </c>
      <c r="F141" s="16">
        <f t="shared" si="2"/>
        <v>9.4014391174518899</v>
      </c>
      <c r="G141" s="16">
        <f t="shared" si="3"/>
        <v>11.751798896814861</v>
      </c>
      <c r="I141" s="4">
        <v>11</v>
      </c>
      <c r="J141" s="16">
        <f t="shared" si="4"/>
        <v>7.0510793380889174</v>
      </c>
      <c r="K141" s="16">
        <f t="shared" si="10"/>
        <v>9.4014391174518899</v>
      </c>
      <c r="L141" s="16">
        <f t="shared" si="5"/>
        <v>11.751798896814861</v>
      </c>
      <c r="N141" s="4">
        <v>7</v>
      </c>
      <c r="O141" s="16" t="e">
        <f>O$144+((O$139-O$144)*3/7)</f>
        <v>#REF!</v>
      </c>
      <c r="R141" s="4">
        <v>11</v>
      </c>
      <c r="S141" s="16">
        <f t="shared" si="6"/>
        <v>7.0510793380889174</v>
      </c>
      <c r="T141" s="16">
        <f t="shared" si="7"/>
        <v>9.4014391174518899</v>
      </c>
      <c r="U141" s="16">
        <f t="shared" si="8"/>
        <v>11.751798896814861</v>
      </c>
      <c r="V141" s="16">
        <f t="shared" si="11"/>
        <v>25.064349285057254</v>
      </c>
    </row>
    <row r="142" spans="2:25">
      <c r="B142">
        <f t="shared" si="9"/>
        <v>103.41583029197079</v>
      </c>
      <c r="D142" s="4">
        <v>12</v>
      </c>
      <c r="E142" s="16">
        <f t="shared" si="1"/>
        <v>6.4634893932481745</v>
      </c>
      <c r="F142" s="16">
        <f t="shared" si="2"/>
        <v>8.6179858576642321</v>
      </c>
      <c r="G142" s="16">
        <f t="shared" si="3"/>
        <v>10.77248232208029</v>
      </c>
      <c r="I142" s="4">
        <v>12</v>
      </c>
      <c r="J142" s="16">
        <f t="shared" si="4"/>
        <v>6.4634893932481745</v>
      </c>
      <c r="K142" s="16">
        <f t="shared" si="10"/>
        <v>8.6179858576642321</v>
      </c>
      <c r="L142" s="16">
        <f t="shared" si="5"/>
        <v>10.77248232208029</v>
      </c>
      <c r="N142" s="4">
        <v>8</v>
      </c>
      <c r="O142" s="16" t="e">
        <f>O$144+((O$139-O$144)*2/8)</f>
        <v>#REF!</v>
      </c>
      <c r="R142" s="4">
        <v>12</v>
      </c>
      <c r="S142" s="16">
        <f t="shared" si="6"/>
        <v>6.4634893932481745</v>
      </c>
      <c r="T142" s="16">
        <f t="shared" si="7"/>
        <v>8.6179858576642321</v>
      </c>
      <c r="U142" s="16">
        <f t="shared" si="8"/>
        <v>10.77248232208029</v>
      </c>
      <c r="V142" s="16">
        <f t="shared" si="11"/>
        <v>22.975653511302482</v>
      </c>
    </row>
    <row r="143" spans="2:25">
      <c r="B143">
        <f t="shared" si="9"/>
        <v>103.41583029197079</v>
      </c>
      <c r="D143" s="4">
        <v>13</v>
      </c>
      <c r="E143" s="16">
        <f t="shared" si="1"/>
        <v>5.9662979014598534</v>
      </c>
      <c r="F143" s="16">
        <f t="shared" si="2"/>
        <v>7.9550638686131379</v>
      </c>
      <c r="G143" s="16">
        <f t="shared" si="3"/>
        <v>9.9438298357664223</v>
      </c>
      <c r="I143" s="4">
        <v>13</v>
      </c>
      <c r="J143" s="16">
        <f t="shared" si="4"/>
        <v>5.9662979014598534</v>
      </c>
      <c r="K143" s="16">
        <f t="shared" si="10"/>
        <v>7.9550638686131379</v>
      </c>
      <c r="L143" s="16">
        <f t="shared" si="5"/>
        <v>9.9438298357664223</v>
      </c>
      <c r="N143" s="4">
        <v>9</v>
      </c>
      <c r="O143" s="16" t="e">
        <f>O$144+((O$139-O$144)*1/9)</f>
        <v>#REF!</v>
      </c>
      <c r="R143" s="4">
        <v>13</v>
      </c>
      <c r="S143" s="16">
        <f t="shared" si="6"/>
        <v>5.9662979014598534</v>
      </c>
      <c r="T143" s="16">
        <f t="shared" si="7"/>
        <v>7.9550638686131379</v>
      </c>
      <c r="U143" s="16">
        <f t="shared" si="8"/>
        <v>9.9438298357664223</v>
      </c>
      <c r="V143" s="16">
        <f t="shared" si="11"/>
        <v>21.208295548894601</v>
      </c>
    </row>
    <row r="144" spans="2:25">
      <c r="B144">
        <f t="shared" si="9"/>
        <v>103.41583029197079</v>
      </c>
      <c r="D144" s="4">
        <v>14</v>
      </c>
      <c r="E144" s="16">
        <f t="shared" si="1"/>
        <v>5.5401337656412926</v>
      </c>
      <c r="F144" s="16">
        <f t="shared" si="2"/>
        <v>7.3868450208550565</v>
      </c>
      <c r="G144" s="16">
        <f t="shared" si="3"/>
        <v>9.2335562760688212</v>
      </c>
      <c r="I144" s="4">
        <v>14</v>
      </c>
      <c r="J144" s="16">
        <f t="shared" si="4"/>
        <v>5.5401337656412926</v>
      </c>
      <c r="K144" s="16">
        <f t="shared" si="10"/>
        <v>7.3868450208550565</v>
      </c>
      <c r="L144" s="16">
        <f t="shared" si="5"/>
        <v>9.2335562760688212</v>
      </c>
      <c r="N144" s="4">
        <v>10</v>
      </c>
      <c r="O144" s="16" t="e">
        <f>#REF!</f>
        <v>#REF!</v>
      </c>
      <c r="P144" t="s">
        <v>43</v>
      </c>
      <c r="R144" s="4">
        <v>14</v>
      </c>
      <c r="S144" s="16">
        <f t="shared" si="6"/>
        <v>5.0000000000000003E-10</v>
      </c>
      <c r="T144" s="16">
        <f>IF($R144&gt;$F$115,0.0000000005,K144)</f>
        <v>5.0000000000000003E-10</v>
      </c>
      <c r="U144" s="16">
        <f t="shared" si="8"/>
        <v>5.0000000000000003E-10</v>
      </c>
      <c r="V144" s="16">
        <f t="shared" si="11"/>
        <v>19.693417295402128</v>
      </c>
    </row>
    <row r="145" spans="2:22">
      <c r="B145">
        <f t="shared" si="9"/>
        <v>103.41583029197079</v>
      </c>
      <c r="D145" s="4">
        <v>15</v>
      </c>
      <c r="E145" s="16">
        <f t="shared" si="1"/>
        <v>5.1707915145985401</v>
      </c>
      <c r="F145" s="16">
        <f t="shared" si="2"/>
        <v>6.8943886861313866</v>
      </c>
      <c r="G145" s="16">
        <f t="shared" si="3"/>
        <v>8.6179858576642339</v>
      </c>
      <c r="I145" s="4">
        <v>15</v>
      </c>
      <c r="J145" s="16">
        <f t="shared" si="4"/>
        <v>5.1707915145985401</v>
      </c>
      <c r="K145" s="16">
        <f t="shared" si="10"/>
        <v>6.8943886861313866</v>
      </c>
      <c r="L145" s="16">
        <f t="shared" si="5"/>
        <v>8.6179858576642339</v>
      </c>
      <c r="N145" s="4">
        <v>11</v>
      </c>
      <c r="O145" s="16" t="e">
        <f>O$149+((O$144-O$149)*4/6)</f>
        <v>#REF!</v>
      </c>
      <c r="R145" s="4">
        <v>15</v>
      </c>
      <c r="S145" s="16">
        <f t="shared" si="6"/>
        <v>5.0000000000000003E-10</v>
      </c>
      <c r="T145" s="16">
        <f t="shared" si="7"/>
        <v>5.0000000000000003E-10</v>
      </c>
      <c r="U145" s="16">
        <f t="shared" si="8"/>
        <v>5.0000000000000003E-10</v>
      </c>
      <c r="V145" s="16">
        <f t="shared" si="11"/>
        <v>18.380522809041985</v>
      </c>
    </row>
    <row r="146" spans="2:22">
      <c r="B146">
        <f t="shared" si="9"/>
        <v>103.41583029197079</v>
      </c>
      <c r="D146" s="4">
        <v>16</v>
      </c>
      <c r="E146" s="16">
        <f t="shared" si="1"/>
        <v>4.8476170449361309</v>
      </c>
      <c r="F146" s="16">
        <f t="shared" si="2"/>
        <v>6.4634893932481745</v>
      </c>
      <c r="G146" s="16">
        <f t="shared" si="3"/>
        <v>8.0793617415602181</v>
      </c>
      <c r="I146" s="4">
        <v>16</v>
      </c>
      <c r="J146" s="16">
        <f t="shared" si="4"/>
        <v>4.8476170449361309</v>
      </c>
      <c r="K146" s="16">
        <f t="shared" si="10"/>
        <v>6.4634893932481745</v>
      </c>
      <c r="L146" s="16">
        <f t="shared" si="5"/>
        <v>8.0793617415602181</v>
      </c>
      <c r="N146" s="4">
        <v>12</v>
      </c>
      <c r="O146" s="16" t="e">
        <f>O$149+((O$144-O$149)*3/7)</f>
        <v>#REF!</v>
      </c>
      <c r="R146" s="4">
        <v>16</v>
      </c>
      <c r="S146" s="16">
        <f t="shared" si="6"/>
        <v>5.0000000000000003E-10</v>
      </c>
      <c r="T146" s="16">
        <f t="shared" si="7"/>
        <v>5.0000000000000003E-10</v>
      </c>
      <c r="U146" s="16">
        <f t="shared" si="8"/>
        <v>5.0000000000000003E-10</v>
      </c>
      <c r="V146" s="16">
        <f t="shared" si="11"/>
        <v>17.231740133476862</v>
      </c>
    </row>
    <row r="147" spans="2:22">
      <c r="B147">
        <f t="shared" si="9"/>
        <v>103.41583029197079</v>
      </c>
      <c r="D147" s="4">
        <v>17</v>
      </c>
      <c r="E147" s="16">
        <f t="shared" si="1"/>
        <v>4.562463101116359</v>
      </c>
      <c r="F147" s="16">
        <f t="shared" si="2"/>
        <v>6.0832841348218114</v>
      </c>
      <c r="G147" s="16">
        <f t="shared" si="3"/>
        <v>7.6041051685272638</v>
      </c>
      <c r="I147" s="4">
        <v>17</v>
      </c>
      <c r="J147" s="16">
        <f t="shared" si="4"/>
        <v>4.562463101116359</v>
      </c>
      <c r="K147" s="16">
        <f t="shared" si="10"/>
        <v>6.0832841348218114</v>
      </c>
      <c r="L147" s="16">
        <f t="shared" si="5"/>
        <v>7.6041051685272638</v>
      </c>
      <c r="N147" s="4">
        <v>13</v>
      </c>
      <c r="O147" s="16" t="e">
        <f>O$149+((O$144-O$149)*2/8)</f>
        <v>#REF!</v>
      </c>
      <c r="R147" s="4">
        <v>17</v>
      </c>
      <c r="S147" s="16">
        <f t="shared" si="6"/>
        <v>5.0000000000000003E-10</v>
      </c>
      <c r="T147" s="16">
        <f t="shared" si="7"/>
        <v>5.0000000000000003E-10</v>
      </c>
      <c r="U147" s="16">
        <f t="shared" si="8"/>
        <v>5.0000000000000003E-10</v>
      </c>
      <c r="V147" s="16">
        <f t="shared" si="11"/>
        <v>16.218108360919398</v>
      </c>
    </row>
    <row r="148" spans="2:22">
      <c r="N148" s="4">
        <v>14</v>
      </c>
      <c r="O148" s="16" t="e">
        <f>O$149+((O$144-O$149)*1/9)</f>
        <v>#REF!</v>
      </c>
      <c r="R148" s="14">
        <v>18</v>
      </c>
      <c r="S148" s="16">
        <f t="shared" si="6"/>
        <v>5.0000000000000003E-10</v>
      </c>
      <c r="T148" s="16">
        <f t="shared" si="7"/>
        <v>5.0000000000000003E-10</v>
      </c>
      <c r="U148" s="16">
        <f t="shared" si="8"/>
        <v>5.0000000000000003E-10</v>
      </c>
      <c r="V148" s="16">
        <f t="shared" si="11"/>
        <v>15.317102340868322</v>
      </c>
    </row>
    <row r="149" spans="2:22">
      <c r="D149" s="18" t="s">
        <v>175</v>
      </c>
      <c r="N149" s="4">
        <v>15</v>
      </c>
      <c r="O149" s="16" t="e">
        <f>#REF!</f>
        <v>#REF!</v>
      </c>
      <c r="P149" t="s">
        <v>43</v>
      </c>
      <c r="R149" s="14">
        <v>19</v>
      </c>
      <c r="S149" s="16">
        <f t="shared" si="6"/>
        <v>5.0000000000000003E-10</v>
      </c>
      <c r="T149" s="16">
        <f t="shared" si="7"/>
        <v>5.0000000000000003E-10</v>
      </c>
      <c r="U149" s="16">
        <f t="shared" si="8"/>
        <v>5.0000000000000003E-10</v>
      </c>
      <c r="V149" s="16">
        <f t="shared" si="11"/>
        <v>14.510939059769989</v>
      </c>
    </row>
    <row r="150" spans="2:22">
      <c r="N150" s="4">
        <v>16</v>
      </c>
      <c r="O150" s="16" t="e">
        <f>O$154+((O$149-O$154)*4/6)</f>
        <v>#REF!</v>
      </c>
      <c r="R150" s="14">
        <v>20</v>
      </c>
      <c r="S150" s="16">
        <f t="shared" si="6"/>
        <v>5.0000000000000003E-10</v>
      </c>
      <c r="T150" s="16">
        <f t="shared" si="7"/>
        <v>5.0000000000000003E-10</v>
      </c>
      <c r="U150" s="16">
        <f t="shared" si="8"/>
        <v>5.0000000000000003E-10</v>
      </c>
      <c r="V150" s="16">
        <f t="shared" si="11"/>
        <v>13.78539210678149</v>
      </c>
    </row>
    <row r="151" spans="2:22">
      <c r="D151" s="18" t="s">
        <v>176</v>
      </c>
      <c r="E151">
        <v>0</v>
      </c>
      <c r="N151" s="4">
        <v>17</v>
      </c>
      <c r="O151" s="16" t="e">
        <f>O$154+((O$149-O$154)*3/7)</f>
        <v>#REF!</v>
      </c>
    </row>
    <row r="152" spans="2:22">
      <c r="D152" s="18" t="s">
        <v>177</v>
      </c>
      <c r="E152">
        <f>RsEFF*0.001</f>
        <v>6.6666666666666664E-4</v>
      </c>
      <c r="N152" s="14">
        <v>18</v>
      </c>
      <c r="O152" s="16" t="e">
        <f>O$154+((O$149-O$154)*2/8)</f>
        <v>#REF!</v>
      </c>
    </row>
    <row r="153" spans="2:22">
      <c r="D153" s="18" t="s">
        <v>178</v>
      </c>
      <c r="E153">
        <f>VINMAX</f>
        <v>13</v>
      </c>
      <c r="N153" s="14">
        <v>19</v>
      </c>
      <c r="O153" s="16" t="e">
        <f>O$154+((O$149-O$154)*1/9)</f>
        <v>#REF!</v>
      </c>
    </row>
    <row r="154" spans="2:22">
      <c r="D154" s="18" t="s">
        <v>179</v>
      </c>
      <c r="E154" s="62"/>
      <c r="F154">
        <v>0.25</v>
      </c>
      <c r="N154" s="14">
        <v>20</v>
      </c>
      <c r="O154" s="16" t="e">
        <f>#REF!</f>
        <v>#REF!</v>
      </c>
      <c r="P154" t="s">
        <v>43</v>
      </c>
    </row>
    <row r="156" spans="2:22">
      <c r="D156" s="64" t="s">
        <v>152</v>
      </c>
    </row>
  </sheetData>
  <mergeCells count="4">
    <mergeCell ref="D40:G40"/>
    <mergeCell ref="D54:G54"/>
    <mergeCell ref="F56:G56"/>
    <mergeCell ref="F63:G63"/>
  </mergeCells>
  <phoneticPr fontId="46"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workbookViewId="0">
      <selection activeCell="F19" sqref="F19"/>
    </sheetView>
  </sheetViews>
  <sheetFormatPr defaultColWidth="9.109375" defaultRowHeight="13.2"/>
  <cols>
    <col min="1" max="1" width="11" style="28" customWidth="1"/>
    <col min="2" max="3" width="9.109375" style="28"/>
    <col min="4" max="5" width="15" style="28" customWidth="1"/>
    <col min="6" max="6" width="15.44140625" style="28" customWidth="1"/>
    <col min="7" max="7" width="14.88671875" style="28" customWidth="1"/>
    <col min="8" max="8" width="10.6640625" style="28" customWidth="1"/>
    <col min="9" max="9" width="12.44140625" style="28" bestFit="1" customWidth="1"/>
    <col min="10" max="10" width="14.88671875" style="28" customWidth="1"/>
    <col min="11" max="11" width="14.33203125" style="28" customWidth="1"/>
    <col min="12" max="12" width="20.88671875" style="28" customWidth="1"/>
    <col min="13" max="13" width="12.6640625" style="28" customWidth="1"/>
    <col min="14" max="14" width="10.109375" style="28" bestFit="1" customWidth="1"/>
    <col min="15" max="15" width="18.88671875" style="28" customWidth="1"/>
    <col min="16" max="16" width="10.88671875" style="28" customWidth="1"/>
    <col min="17" max="16384" width="9.109375" style="28"/>
  </cols>
  <sheetData>
    <row r="1" spans="1:24">
      <c r="B1" s="28" t="s">
        <v>87</v>
      </c>
      <c r="C1" s="28" t="s">
        <v>158</v>
      </c>
      <c r="D1" s="28" t="s">
        <v>159</v>
      </c>
      <c r="F1" s="75"/>
      <c r="G1" s="75" t="s">
        <v>160</v>
      </c>
      <c r="H1" s="75" t="s">
        <v>161</v>
      </c>
      <c r="I1" s="75" t="s">
        <v>162</v>
      </c>
      <c r="J1" s="75" t="s">
        <v>163</v>
      </c>
      <c r="K1" s="75"/>
      <c r="L1" s="75" t="s">
        <v>167</v>
      </c>
      <c r="M1" s="75"/>
      <c r="N1" s="75" t="s">
        <v>168</v>
      </c>
      <c r="P1" s="28" t="s">
        <v>189</v>
      </c>
      <c r="Q1" s="28" t="s">
        <v>190</v>
      </c>
    </row>
    <row r="2" spans="1:24">
      <c r="B2" s="67">
        <f>'Design Calculator'!F57</f>
        <v>103.41583029197079</v>
      </c>
      <c r="C2" s="28">
        <f>'Design Calculator'!F33</f>
        <v>19.855839416058391</v>
      </c>
      <c r="D2" s="28" t="str">
        <f>IF( 'Design Calculator'!F59 = "Constant Current", "CC", "R")</f>
        <v>CC</v>
      </c>
      <c r="G2" s="28">
        <f>'Design Calculator'!F60</f>
        <v>6</v>
      </c>
      <c r="H2" s="28">
        <f>'Design Calculator'!F58</f>
        <v>7</v>
      </c>
      <c r="I2" s="28">
        <f>RsEFF</f>
        <v>0.66666666666666663</v>
      </c>
      <c r="J2" s="28">
        <v>0</v>
      </c>
      <c r="L2" s="67">
        <f>J112*1000</f>
        <v>1.6218061222691862</v>
      </c>
      <c r="M2" s="28" t="s">
        <v>8</v>
      </c>
      <c r="N2" s="71">
        <f>MIN(K8:K109)</f>
        <v>0.65189081885856071</v>
      </c>
      <c r="P2" s="28">
        <f>'Device Parmaters'!E23/'Device Parmaters'!D23</f>
        <v>1.2</v>
      </c>
      <c r="Q2" s="28">
        <f>'Device Parmaters'!C23/'Device Parmaters'!D23</f>
        <v>0.8</v>
      </c>
    </row>
    <row r="3" spans="1:24">
      <c r="B3" s="67"/>
      <c r="L3" s="67"/>
      <c r="N3" s="71"/>
    </row>
    <row r="4" spans="1:24">
      <c r="B4" s="67"/>
      <c r="L4" s="67"/>
      <c r="N4" s="71"/>
      <c r="O4" s="28" t="s">
        <v>191</v>
      </c>
      <c r="P4" s="28">
        <f>MAX(N8:N112)</f>
        <v>103.41583029197081</v>
      </c>
      <c r="Q4" s="28" t="s">
        <v>50</v>
      </c>
    </row>
    <row r="5" spans="1:24">
      <c r="B5" s="67"/>
      <c r="L5" s="28" t="s">
        <v>185</v>
      </c>
      <c r="M5" s="28">
        <f>SUM(M8:M112)</f>
        <v>0.13786189438288934</v>
      </c>
      <c r="N5" s="71" t="s">
        <v>186</v>
      </c>
    </row>
    <row r="7" spans="1:24">
      <c r="A7" s="68" t="s">
        <v>104</v>
      </c>
      <c r="B7" s="69" t="s">
        <v>81</v>
      </c>
      <c r="C7" s="69" t="s">
        <v>82</v>
      </c>
      <c r="D7" s="69" t="s">
        <v>87</v>
      </c>
      <c r="E7" s="69" t="s">
        <v>183</v>
      </c>
      <c r="F7" s="69"/>
      <c r="G7" s="69" t="s">
        <v>165</v>
      </c>
      <c r="H7" s="69" t="s">
        <v>102</v>
      </c>
      <c r="I7" s="69" t="s">
        <v>164</v>
      </c>
      <c r="J7" s="70" t="s">
        <v>93</v>
      </c>
      <c r="K7" s="68" t="s">
        <v>166</v>
      </c>
      <c r="L7" s="68" t="s">
        <v>187</v>
      </c>
      <c r="M7" s="68" t="s">
        <v>197</v>
      </c>
      <c r="N7" s="68" t="s">
        <v>188</v>
      </c>
    </row>
    <row r="8" spans="1:24">
      <c r="A8" s="28">
        <f t="shared" ref="A8:A39" si="0">VINMAX</f>
        <v>13</v>
      </c>
      <c r="B8" s="31">
        <f t="shared" ref="B8:B39" si="1">VINMAX*((ROW()-8)/104)</f>
        <v>0</v>
      </c>
      <c r="C8" s="29">
        <f t="shared" ref="C8:C39" si="2">IF(B8&gt;=$H$2,IF($D$2="CC", $G$2, B8/$G$2), 0)</f>
        <v>0</v>
      </c>
      <c r="D8" s="27">
        <f>$B$2-B8*$J$2/($I$2*0.001)</f>
        <v>103.41583029197079</v>
      </c>
      <c r="E8" s="27">
        <f>MIN(D8/(A8-B8),$C$2)</f>
        <v>7.9550638686131379</v>
      </c>
      <c r="F8" s="29"/>
      <c r="G8" s="27">
        <f>E8</f>
        <v>7.9550638686131379</v>
      </c>
      <c r="H8" s="29">
        <f t="shared" ref="H8:H39" si="3">G8-C8</f>
        <v>7.9550638686131379</v>
      </c>
      <c r="I8" s="30">
        <f>(COUTMAX/1000000)*(B8)/H8</f>
        <v>0</v>
      </c>
      <c r="J8" s="37">
        <f>I8</f>
        <v>0</v>
      </c>
      <c r="K8" s="71">
        <f>H8/G8</f>
        <v>1</v>
      </c>
      <c r="L8" s="28">
        <f t="shared" ref="L8:L39" si="4">1/COUTMAX*(E8/2-C8)*1000</f>
        <v>2.6516879562043796</v>
      </c>
      <c r="M8" s="28">
        <f>I8*G8*(A8-B8)</f>
        <v>0</v>
      </c>
      <c r="N8" s="28">
        <f>G8*(A8-B8)</f>
        <v>103.41583029197079</v>
      </c>
    </row>
    <row r="9" spans="1:24">
      <c r="A9" s="28">
        <f t="shared" si="0"/>
        <v>13</v>
      </c>
      <c r="B9" s="31">
        <f t="shared" si="1"/>
        <v>0.125</v>
      </c>
      <c r="C9" s="29">
        <f t="shared" si="2"/>
        <v>0</v>
      </c>
      <c r="D9" s="27">
        <f t="shared" ref="D9:D39" si="5">$B$2-B9*$J$2/($I$2*0.001)</f>
        <v>103.41583029197079</v>
      </c>
      <c r="E9" s="27">
        <f t="shared" ref="E9:E72" si="6">MIN(D9/(A9-B9),$C$2)</f>
        <v>8.032297498405498</v>
      </c>
      <c r="F9" s="29"/>
      <c r="G9" s="27">
        <f t="shared" ref="G9:G72" si="7">E9</f>
        <v>8.032297498405498</v>
      </c>
      <c r="H9" s="29">
        <f t="shared" si="3"/>
        <v>8.032297498405498</v>
      </c>
      <c r="I9" s="30">
        <f t="shared" ref="I9:I40" si="8">(COUTMAX/1000000)*(B9-B8)/H9</f>
        <v>2.3343258891645992E-5</v>
      </c>
      <c r="J9" s="37">
        <f>J8+I9</f>
        <v>2.3343258891645992E-5</v>
      </c>
      <c r="K9" s="71">
        <f t="shared" ref="K9:K72" si="9">H9/G9</f>
        <v>1</v>
      </c>
      <c r="L9" s="28">
        <f t="shared" si="4"/>
        <v>2.677432499468499</v>
      </c>
      <c r="M9" s="28">
        <f>I9*G9*(A9-B9)</f>
        <v>2.4140625E-3</v>
      </c>
      <c r="N9" s="28">
        <f t="shared" ref="N9:N72" si="10">G9*(A9-B9)</f>
        <v>103.41583029197079</v>
      </c>
    </row>
    <row r="10" spans="1:24">
      <c r="A10" s="28">
        <f t="shared" si="0"/>
        <v>13</v>
      </c>
      <c r="B10" s="31">
        <f t="shared" si="1"/>
        <v>0.25</v>
      </c>
      <c r="C10" s="29">
        <f t="shared" si="2"/>
        <v>0</v>
      </c>
      <c r="D10" s="27">
        <f t="shared" si="5"/>
        <v>103.41583029197079</v>
      </c>
      <c r="E10" s="27">
        <f t="shared" si="6"/>
        <v>8.1110455130957479</v>
      </c>
      <c r="F10" s="29"/>
      <c r="G10" s="27">
        <f t="shared" si="7"/>
        <v>8.1110455130957479</v>
      </c>
      <c r="H10" s="29">
        <f t="shared" si="3"/>
        <v>8.1110455130957479</v>
      </c>
      <c r="I10" s="30">
        <f t="shared" si="8"/>
        <v>2.3116625310173701E-5</v>
      </c>
      <c r="J10" s="37">
        <f t="shared" ref="J10:J73" si="11">J9+I10</f>
        <v>4.6459884201819696E-5</v>
      </c>
      <c r="K10" s="71">
        <f t="shared" si="9"/>
        <v>1</v>
      </c>
      <c r="L10" s="28">
        <f t="shared" si="4"/>
        <v>2.7036818376985825</v>
      </c>
      <c r="M10" s="28">
        <f>I10*G10*(A10-B10)</f>
        <v>2.390625E-3</v>
      </c>
      <c r="N10" s="28">
        <f t="shared" si="10"/>
        <v>103.41583029197079</v>
      </c>
      <c r="W10" s="328" t="s">
        <v>83</v>
      </c>
      <c r="X10" s="328"/>
    </row>
    <row r="11" spans="1:24">
      <c r="A11" s="28">
        <f t="shared" si="0"/>
        <v>13</v>
      </c>
      <c r="B11" s="31">
        <f t="shared" si="1"/>
        <v>0.375</v>
      </c>
      <c r="C11" s="29">
        <f t="shared" si="2"/>
        <v>0</v>
      </c>
      <c r="D11" s="27">
        <f t="shared" si="5"/>
        <v>103.41583029197079</v>
      </c>
      <c r="E11" s="27">
        <f t="shared" si="6"/>
        <v>8.1913528944135283</v>
      </c>
      <c r="F11" s="29"/>
      <c r="G11" s="27">
        <f t="shared" si="7"/>
        <v>8.1913528944135283</v>
      </c>
      <c r="H11" s="29">
        <f t="shared" si="3"/>
        <v>8.1913528944135283</v>
      </c>
      <c r="I11" s="30">
        <f t="shared" si="8"/>
        <v>2.2889991728701409E-5</v>
      </c>
      <c r="J11" s="37">
        <f t="shared" si="11"/>
        <v>6.9349875930521112E-5</v>
      </c>
      <c r="K11" s="71">
        <f t="shared" si="9"/>
        <v>1</v>
      </c>
      <c r="L11" s="28">
        <f t="shared" si="4"/>
        <v>2.7304509648045094</v>
      </c>
      <c r="M11" s="28">
        <f>I11*G11*(A11-B11)</f>
        <v>2.3671874999999999E-3</v>
      </c>
      <c r="N11" s="28">
        <f t="shared" si="10"/>
        <v>103.41583029197079</v>
      </c>
      <c r="W11" s="32" t="s">
        <v>84</v>
      </c>
      <c r="X11" s="33">
        <v>0.3</v>
      </c>
    </row>
    <row r="12" spans="1:24">
      <c r="A12" s="28">
        <f t="shared" si="0"/>
        <v>13</v>
      </c>
      <c r="B12" s="31">
        <f t="shared" si="1"/>
        <v>0.5</v>
      </c>
      <c r="C12" s="29">
        <f t="shared" si="2"/>
        <v>0</v>
      </c>
      <c r="D12" s="27">
        <f t="shared" si="5"/>
        <v>103.41583029197079</v>
      </c>
      <c r="E12" s="27">
        <f t="shared" si="6"/>
        <v>8.2732664233576632</v>
      </c>
      <c r="F12" s="29"/>
      <c r="G12" s="27">
        <f t="shared" si="7"/>
        <v>8.2732664233576632</v>
      </c>
      <c r="H12" s="29">
        <f t="shared" si="3"/>
        <v>8.2732664233576632</v>
      </c>
      <c r="I12" s="30">
        <f t="shared" si="8"/>
        <v>2.2663358147229118E-5</v>
      </c>
      <c r="J12" s="37">
        <f t="shared" si="11"/>
        <v>9.2013234077750226E-5</v>
      </c>
      <c r="K12" s="71">
        <f t="shared" si="9"/>
        <v>1</v>
      </c>
      <c r="L12" s="28">
        <f t="shared" si="4"/>
        <v>2.7577554744525541</v>
      </c>
      <c r="M12" s="28">
        <f t="shared" ref="M12:M72" si="12">I12*G12*(A12-B12)</f>
        <v>2.3437499999999999E-3</v>
      </c>
      <c r="N12" s="28">
        <f t="shared" si="10"/>
        <v>103.41583029197079</v>
      </c>
      <c r="W12" s="32" t="s">
        <v>85</v>
      </c>
      <c r="X12" s="33">
        <v>0.3</v>
      </c>
    </row>
    <row r="13" spans="1:24">
      <c r="A13" s="28">
        <f t="shared" si="0"/>
        <v>13</v>
      </c>
      <c r="B13" s="31">
        <f t="shared" si="1"/>
        <v>0.625</v>
      </c>
      <c r="C13" s="29">
        <f t="shared" si="2"/>
        <v>0</v>
      </c>
      <c r="D13" s="27">
        <f t="shared" si="5"/>
        <v>103.41583029197079</v>
      </c>
      <c r="E13" s="27">
        <f t="shared" si="6"/>
        <v>8.3568347710683462</v>
      </c>
      <c r="F13" s="29"/>
      <c r="G13" s="27">
        <f t="shared" si="7"/>
        <v>8.3568347710683462</v>
      </c>
      <c r="H13" s="29">
        <f t="shared" si="3"/>
        <v>8.3568347710683462</v>
      </c>
      <c r="I13" s="30">
        <f t="shared" si="8"/>
        <v>2.243672456575683E-5</v>
      </c>
      <c r="J13" s="37">
        <f t="shared" si="11"/>
        <v>1.1444995864350705E-4</v>
      </c>
      <c r="K13" s="71">
        <f t="shared" si="9"/>
        <v>1</v>
      </c>
      <c r="L13" s="28">
        <f t="shared" si="4"/>
        <v>2.7856115903561154</v>
      </c>
      <c r="M13" s="28">
        <f t="shared" si="12"/>
        <v>2.3203124999999999E-3</v>
      </c>
      <c r="N13" s="28">
        <f t="shared" si="10"/>
        <v>103.41583029197078</v>
      </c>
      <c r="W13" s="32" t="s">
        <v>86</v>
      </c>
      <c r="X13" s="33">
        <f>SQRT(X12^2+X11^2)</f>
        <v>0.42426406871192851</v>
      </c>
    </row>
    <row r="14" spans="1:24">
      <c r="A14" s="28">
        <f t="shared" si="0"/>
        <v>13</v>
      </c>
      <c r="B14" s="31">
        <f t="shared" si="1"/>
        <v>0.75</v>
      </c>
      <c r="C14" s="29">
        <f t="shared" si="2"/>
        <v>0</v>
      </c>
      <c r="D14" s="27">
        <f t="shared" si="5"/>
        <v>103.41583029197079</v>
      </c>
      <c r="E14" s="27">
        <f t="shared" si="6"/>
        <v>8.4421085952629227</v>
      </c>
      <c r="F14" s="29"/>
      <c r="G14" s="27">
        <f t="shared" si="7"/>
        <v>8.4421085952629227</v>
      </c>
      <c r="H14" s="29">
        <f t="shared" si="3"/>
        <v>8.4421085952629227</v>
      </c>
      <c r="I14" s="30">
        <f t="shared" si="8"/>
        <v>2.2210090984284532E-5</v>
      </c>
      <c r="J14" s="37">
        <f t="shared" si="11"/>
        <v>1.3666004962779158E-4</v>
      </c>
      <c r="K14" s="71">
        <f t="shared" si="9"/>
        <v>1</v>
      </c>
      <c r="L14" s="28">
        <f t="shared" si="4"/>
        <v>2.8140361984209745</v>
      </c>
      <c r="M14" s="28">
        <f t="shared" si="12"/>
        <v>2.2968749999999999E-3</v>
      </c>
      <c r="N14" s="28">
        <f t="shared" si="10"/>
        <v>103.41583029197081</v>
      </c>
      <c r="W14" s="33"/>
      <c r="X14" s="33"/>
    </row>
    <row r="15" spans="1:24">
      <c r="A15" s="28">
        <f t="shared" si="0"/>
        <v>13</v>
      </c>
      <c r="B15" s="31">
        <f t="shared" si="1"/>
        <v>0.875</v>
      </c>
      <c r="C15" s="29">
        <f t="shared" si="2"/>
        <v>0</v>
      </c>
      <c r="D15" s="27">
        <f t="shared" si="5"/>
        <v>103.41583029197079</v>
      </c>
      <c r="E15" s="27">
        <f t="shared" si="6"/>
        <v>8.5291406426367669</v>
      </c>
      <c r="F15" s="29"/>
      <c r="G15" s="27">
        <f t="shared" si="7"/>
        <v>8.5291406426367669</v>
      </c>
      <c r="H15" s="29">
        <f t="shared" si="3"/>
        <v>8.5291406426367669</v>
      </c>
      <c r="I15" s="30">
        <f t="shared" si="8"/>
        <v>2.1983457402812244E-5</v>
      </c>
      <c r="J15" s="37">
        <f t="shared" si="11"/>
        <v>1.5864350703060381E-4</v>
      </c>
      <c r="K15" s="71">
        <f t="shared" si="9"/>
        <v>1</v>
      </c>
      <c r="L15" s="28">
        <f t="shared" si="4"/>
        <v>2.843046880878922</v>
      </c>
      <c r="M15" s="28">
        <f t="shared" si="12"/>
        <v>2.2734374999999999E-3</v>
      </c>
      <c r="N15" s="28">
        <f t="shared" si="10"/>
        <v>103.41583029197079</v>
      </c>
      <c r="W15" s="32" t="s">
        <v>87</v>
      </c>
      <c r="X15" s="33">
        <v>0.3</v>
      </c>
    </row>
    <row r="16" spans="1:24">
      <c r="A16" s="28">
        <f t="shared" si="0"/>
        <v>13</v>
      </c>
      <c r="B16" s="31">
        <f t="shared" si="1"/>
        <v>1</v>
      </c>
      <c r="C16" s="29">
        <f t="shared" si="2"/>
        <v>0</v>
      </c>
      <c r="D16" s="27">
        <f t="shared" si="5"/>
        <v>103.41583029197079</v>
      </c>
      <c r="E16" s="27">
        <f t="shared" si="6"/>
        <v>8.6179858576642321</v>
      </c>
      <c r="F16" s="29"/>
      <c r="G16" s="27">
        <f t="shared" si="7"/>
        <v>8.6179858576642321</v>
      </c>
      <c r="H16" s="29">
        <f t="shared" si="3"/>
        <v>8.6179858576642321</v>
      </c>
      <c r="I16" s="30">
        <f t="shared" si="8"/>
        <v>2.1756823821339956E-5</v>
      </c>
      <c r="J16" s="37">
        <f t="shared" si="11"/>
        <v>1.8040033085194376E-4</v>
      </c>
      <c r="K16" s="71">
        <f t="shared" si="9"/>
        <v>1</v>
      </c>
      <c r="L16" s="28">
        <f t="shared" si="4"/>
        <v>2.8726619525547439</v>
      </c>
      <c r="M16" s="28">
        <f t="shared" si="12"/>
        <v>2.2500000000000003E-3</v>
      </c>
      <c r="N16" s="28">
        <f t="shared" si="10"/>
        <v>103.41583029197079</v>
      </c>
      <c r="W16" s="32" t="s">
        <v>88</v>
      </c>
      <c r="X16" s="33">
        <f>MAX(X13:X15)</f>
        <v>0.42426406871192851</v>
      </c>
    </row>
    <row r="17" spans="1:24">
      <c r="A17" s="28">
        <f t="shared" si="0"/>
        <v>13</v>
      </c>
      <c r="B17" s="31">
        <f t="shared" si="1"/>
        <v>1.125</v>
      </c>
      <c r="C17" s="29">
        <f t="shared" si="2"/>
        <v>0</v>
      </c>
      <c r="D17" s="27">
        <f t="shared" si="5"/>
        <v>103.41583029197079</v>
      </c>
      <c r="E17" s="27">
        <f t="shared" si="6"/>
        <v>8.7087014982712248</v>
      </c>
      <c r="F17" s="29"/>
      <c r="G17" s="27">
        <f t="shared" si="7"/>
        <v>8.7087014982712248</v>
      </c>
      <c r="H17" s="29">
        <f t="shared" si="3"/>
        <v>8.7087014982712248</v>
      </c>
      <c r="I17" s="30">
        <f t="shared" si="8"/>
        <v>2.1530190239867661E-5</v>
      </c>
      <c r="J17" s="37">
        <f t="shared" si="11"/>
        <v>2.0193052109181142E-4</v>
      </c>
      <c r="K17" s="71">
        <f t="shared" si="9"/>
        <v>1</v>
      </c>
      <c r="L17" s="28">
        <f t="shared" si="4"/>
        <v>2.9029004994237413</v>
      </c>
      <c r="M17" s="28">
        <f t="shared" si="12"/>
        <v>2.2265625000000002E-3</v>
      </c>
      <c r="N17" s="28">
        <f t="shared" si="10"/>
        <v>103.41583029197079</v>
      </c>
      <c r="W17" s="33"/>
      <c r="X17" s="33"/>
    </row>
    <row r="18" spans="1:24">
      <c r="A18" s="28">
        <f t="shared" si="0"/>
        <v>13</v>
      </c>
      <c r="B18" s="31">
        <f t="shared" si="1"/>
        <v>1.25</v>
      </c>
      <c r="C18" s="29">
        <f t="shared" si="2"/>
        <v>0</v>
      </c>
      <c r="D18" s="27">
        <f t="shared" si="5"/>
        <v>103.41583029197079</v>
      </c>
      <c r="E18" s="27">
        <f t="shared" si="6"/>
        <v>8.8013472588911306</v>
      </c>
      <c r="F18" s="29"/>
      <c r="G18" s="27">
        <f t="shared" si="7"/>
        <v>8.8013472588911306</v>
      </c>
      <c r="H18" s="29">
        <f t="shared" si="3"/>
        <v>8.8013472588911306</v>
      </c>
      <c r="I18" s="30">
        <f t="shared" si="8"/>
        <v>2.1303556658395373E-5</v>
      </c>
      <c r="J18" s="37">
        <f t="shared" si="11"/>
        <v>2.232340777502068E-4</v>
      </c>
      <c r="K18" s="71">
        <f t="shared" si="9"/>
        <v>1</v>
      </c>
      <c r="L18" s="28">
        <f t="shared" si="4"/>
        <v>2.9337824196303766</v>
      </c>
      <c r="M18" s="28">
        <f t="shared" si="12"/>
        <v>2.2031250000000002E-3</v>
      </c>
      <c r="N18" s="28">
        <f t="shared" si="10"/>
        <v>103.41583029197078</v>
      </c>
      <c r="W18" s="32" t="s">
        <v>89</v>
      </c>
      <c r="X18" s="33">
        <v>0.2</v>
      </c>
    </row>
    <row r="19" spans="1:24">
      <c r="A19" s="28">
        <f t="shared" si="0"/>
        <v>13</v>
      </c>
      <c r="B19" s="31">
        <f t="shared" si="1"/>
        <v>1.375</v>
      </c>
      <c r="C19" s="29">
        <f t="shared" si="2"/>
        <v>0</v>
      </c>
      <c r="D19" s="27">
        <f t="shared" si="5"/>
        <v>103.41583029197079</v>
      </c>
      <c r="E19" s="27">
        <f t="shared" si="6"/>
        <v>8.8959854014598534</v>
      </c>
      <c r="F19" s="29"/>
      <c r="G19" s="27">
        <f t="shared" si="7"/>
        <v>8.8959854014598534</v>
      </c>
      <c r="H19" s="29">
        <f t="shared" si="3"/>
        <v>8.8959854014598534</v>
      </c>
      <c r="I19" s="30">
        <f t="shared" si="8"/>
        <v>2.1076923076923078E-5</v>
      </c>
      <c r="J19" s="37">
        <f t="shared" si="11"/>
        <v>2.4431100082712985E-4</v>
      </c>
      <c r="K19" s="71">
        <f t="shared" si="9"/>
        <v>1</v>
      </c>
      <c r="L19" s="28">
        <f t="shared" si="4"/>
        <v>2.9653284671532845</v>
      </c>
      <c r="M19" s="28">
        <f t="shared" si="12"/>
        <v>2.1796875000000002E-3</v>
      </c>
      <c r="N19" s="28">
        <f t="shared" si="10"/>
        <v>103.41583029197079</v>
      </c>
      <c r="W19" s="32" t="s">
        <v>90</v>
      </c>
      <c r="X19" s="33">
        <v>0.2</v>
      </c>
    </row>
    <row r="20" spans="1:24">
      <c r="A20" s="28">
        <f t="shared" si="0"/>
        <v>13</v>
      </c>
      <c r="B20" s="31">
        <f t="shared" si="1"/>
        <v>1.5</v>
      </c>
      <c r="C20" s="29">
        <f t="shared" si="2"/>
        <v>0</v>
      </c>
      <c r="D20" s="27">
        <f t="shared" si="5"/>
        <v>103.41583029197079</v>
      </c>
      <c r="E20" s="27">
        <f t="shared" si="6"/>
        <v>8.9926808949539812</v>
      </c>
      <c r="F20" s="29"/>
      <c r="G20" s="27">
        <f t="shared" si="7"/>
        <v>8.9926808949539812</v>
      </c>
      <c r="H20" s="29">
        <f t="shared" si="3"/>
        <v>8.9926808949539812</v>
      </c>
      <c r="I20" s="30">
        <f t="shared" si="8"/>
        <v>2.085028949545079E-5</v>
      </c>
      <c r="J20" s="37">
        <f t="shared" si="11"/>
        <v>2.6516129032258062E-4</v>
      </c>
      <c r="K20" s="71">
        <f t="shared" si="9"/>
        <v>1</v>
      </c>
      <c r="L20" s="28">
        <f t="shared" si="4"/>
        <v>2.9975602983179939</v>
      </c>
      <c r="M20" s="28">
        <f t="shared" si="12"/>
        <v>2.1562500000000002E-3</v>
      </c>
      <c r="N20" s="28">
        <f t="shared" si="10"/>
        <v>103.41583029197078</v>
      </c>
      <c r="W20" s="32" t="s">
        <v>86</v>
      </c>
      <c r="X20" s="33">
        <f>SQRT(X19^2+X18^2)</f>
        <v>0.28284271247461906</v>
      </c>
    </row>
    <row r="21" spans="1:24">
      <c r="A21" s="28">
        <f t="shared" si="0"/>
        <v>13</v>
      </c>
      <c r="B21" s="31">
        <f t="shared" si="1"/>
        <v>1.625</v>
      </c>
      <c r="C21" s="29">
        <f t="shared" si="2"/>
        <v>0</v>
      </c>
      <c r="D21" s="27">
        <f t="shared" si="5"/>
        <v>103.41583029197079</v>
      </c>
      <c r="E21" s="27">
        <f t="shared" si="6"/>
        <v>9.0915015641293007</v>
      </c>
      <c r="F21" s="29"/>
      <c r="G21" s="27">
        <f t="shared" si="7"/>
        <v>9.0915015641293007</v>
      </c>
      <c r="H21" s="29">
        <f t="shared" si="3"/>
        <v>9.0915015641293007</v>
      </c>
      <c r="I21" s="30">
        <f t="shared" si="8"/>
        <v>2.0623655913978495E-5</v>
      </c>
      <c r="J21" s="37">
        <f t="shared" si="11"/>
        <v>2.8578494623655913E-4</v>
      </c>
      <c r="K21" s="71">
        <f t="shared" si="9"/>
        <v>1</v>
      </c>
      <c r="L21" s="28">
        <f t="shared" si="4"/>
        <v>3.0305005213764336</v>
      </c>
      <c r="M21" s="28">
        <f t="shared" si="12"/>
        <v>2.1328124999999997E-3</v>
      </c>
      <c r="N21" s="28">
        <f t="shared" si="10"/>
        <v>103.41583029197079</v>
      </c>
      <c r="W21" s="33"/>
      <c r="X21" s="33"/>
    </row>
    <row r="22" spans="1:24">
      <c r="A22" s="28">
        <f t="shared" si="0"/>
        <v>13</v>
      </c>
      <c r="B22" s="31">
        <f t="shared" si="1"/>
        <v>1.75</v>
      </c>
      <c r="C22" s="29">
        <f t="shared" si="2"/>
        <v>0</v>
      </c>
      <c r="D22" s="27">
        <f t="shared" si="5"/>
        <v>103.41583029197079</v>
      </c>
      <c r="E22" s="27">
        <f t="shared" si="6"/>
        <v>9.1925182481751815</v>
      </c>
      <c r="F22" s="29"/>
      <c r="G22" s="27">
        <f t="shared" si="7"/>
        <v>9.1925182481751815</v>
      </c>
      <c r="H22" s="29">
        <f t="shared" si="3"/>
        <v>9.1925182481751815</v>
      </c>
      <c r="I22" s="30">
        <f t="shared" si="8"/>
        <v>2.0397022332506207E-5</v>
      </c>
      <c r="J22" s="37">
        <f t="shared" si="11"/>
        <v>3.0618196856906533E-4</v>
      </c>
      <c r="K22" s="71">
        <f t="shared" si="9"/>
        <v>1</v>
      </c>
      <c r="L22" s="28">
        <f t="shared" si="4"/>
        <v>3.064172749391727</v>
      </c>
      <c r="M22" s="28">
        <f t="shared" si="12"/>
        <v>2.1093750000000001E-3</v>
      </c>
      <c r="N22" s="28">
        <f t="shared" si="10"/>
        <v>103.41583029197079</v>
      </c>
      <c r="W22" s="32" t="s">
        <v>91</v>
      </c>
      <c r="X22" s="33">
        <f>SQRT(X16^2+X20^2)</f>
        <v>0.50990195135927852</v>
      </c>
    </row>
    <row r="23" spans="1:24">
      <c r="A23" s="28">
        <f t="shared" si="0"/>
        <v>13</v>
      </c>
      <c r="B23" s="31">
        <f t="shared" si="1"/>
        <v>1.8749999999999998</v>
      </c>
      <c r="C23" s="29">
        <f t="shared" si="2"/>
        <v>0</v>
      </c>
      <c r="D23" s="27">
        <f t="shared" si="5"/>
        <v>103.41583029197079</v>
      </c>
      <c r="E23" s="27">
        <f t="shared" si="6"/>
        <v>9.2958049700647898</v>
      </c>
      <c r="F23" s="29"/>
      <c r="G23" s="27">
        <f t="shared" si="7"/>
        <v>9.2958049700647898</v>
      </c>
      <c r="H23" s="29">
        <f t="shared" si="3"/>
        <v>9.2958049700647898</v>
      </c>
      <c r="I23" s="30">
        <f t="shared" si="8"/>
        <v>2.0170388751033882E-5</v>
      </c>
      <c r="J23" s="37">
        <f t="shared" si="11"/>
        <v>3.263523573200992E-4</v>
      </c>
      <c r="K23" s="71">
        <f t="shared" si="9"/>
        <v>1</v>
      </c>
      <c r="L23" s="28">
        <f t="shared" si="4"/>
        <v>3.0986016566882633</v>
      </c>
      <c r="M23" s="28">
        <f t="shared" si="12"/>
        <v>2.0859374999999962E-3</v>
      </c>
      <c r="N23" s="28">
        <f t="shared" si="10"/>
        <v>103.41583029197079</v>
      </c>
    </row>
    <row r="24" spans="1:24">
      <c r="A24" s="28">
        <f t="shared" si="0"/>
        <v>13</v>
      </c>
      <c r="B24" s="31">
        <f t="shared" si="1"/>
        <v>2</v>
      </c>
      <c r="C24" s="29">
        <f t="shared" si="2"/>
        <v>0</v>
      </c>
      <c r="D24" s="27">
        <f t="shared" si="5"/>
        <v>103.41583029197079</v>
      </c>
      <c r="E24" s="27">
        <f t="shared" si="6"/>
        <v>9.4014391174518899</v>
      </c>
      <c r="F24" s="29"/>
      <c r="G24" s="27">
        <f t="shared" si="7"/>
        <v>9.4014391174518899</v>
      </c>
      <c r="H24" s="29">
        <f t="shared" si="3"/>
        <v>9.4014391174518899</v>
      </c>
      <c r="I24" s="30">
        <f t="shared" si="8"/>
        <v>1.9943755169561658E-5</v>
      </c>
      <c r="J24" s="37">
        <f t="shared" si="11"/>
        <v>3.4629611248966088E-4</v>
      </c>
      <c r="K24" s="71">
        <f t="shared" si="9"/>
        <v>1</v>
      </c>
      <c r="L24" s="28">
        <f t="shared" si="4"/>
        <v>3.1338130391506298</v>
      </c>
      <c r="M24" s="28">
        <f t="shared" si="12"/>
        <v>2.0625000000000036E-3</v>
      </c>
      <c r="N24" s="28">
        <f t="shared" si="10"/>
        <v>103.41583029197079</v>
      </c>
    </row>
    <row r="25" spans="1:24">
      <c r="A25" s="28">
        <f t="shared" si="0"/>
        <v>13</v>
      </c>
      <c r="B25" s="31">
        <f t="shared" si="1"/>
        <v>2.125</v>
      </c>
      <c r="C25" s="29">
        <f t="shared" si="2"/>
        <v>0</v>
      </c>
      <c r="D25" s="27">
        <f t="shared" si="5"/>
        <v>103.41583029197079</v>
      </c>
      <c r="E25" s="27">
        <f t="shared" si="6"/>
        <v>9.5095016360432911</v>
      </c>
      <c r="F25" s="29"/>
      <c r="G25" s="27">
        <f t="shared" si="7"/>
        <v>9.5095016360432911</v>
      </c>
      <c r="H25" s="29">
        <f t="shared" si="3"/>
        <v>9.5095016360432911</v>
      </c>
      <c r="I25" s="30">
        <f t="shared" si="8"/>
        <v>1.9717121588089333E-5</v>
      </c>
      <c r="J25" s="37">
        <f t="shared" si="11"/>
        <v>3.6601323407775023E-4</v>
      </c>
      <c r="K25" s="71">
        <f t="shared" si="9"/>
        <v>1</v>
      </c>
      <c r="L25" s="28">
        <f t="shared" si="4"/>
        <v>3.1698338786810969</v>
      </c>
      <c r="M25" s="28">
        <f t="shared" si="12"/>
        <v>2.0390625000000001E-3</v>
      </c>
      <c r="N25" s="28">
        <f t="shared" si="10"/>
        <v>103.41583029197079</v>
      </c>
    </row>
    <row r="26" spans="1:24">
      <c r="A26" s="28">
        <f t="shared" si="0"/>
        <v>13</v>
      </c>
      <c r="B26" s="31">
        <f t="shared" si="1"/>
        <v>2.25</v>
      </c>
      <c r="C26" s="29">
        <f t="shared" si="2"/>
        <v>0</v>
      </c>
      <c r="D26" s="27">
        <f t="shared" si="5"/>
        <v>103.41583029197079</v>
      </c>
      <c r="E26" s="27">
        <f t="shared" si="6"/>
        <v>9.6200772364624001</v>
      </c>
      <c r="F26" s="29"/>
      <c r="G26" s="27">
        <f t="shared" si="7"/>
        <v>9.6200772364624001</v>
      </c>
      <c r="H26" s="29">
        <f t="shared" si="3"/>
        <v>9.6200772364624001</v>
      </c>
      <c r="I26" s="30">
        <f t="shared" si="8"/>
        <v>1.9490488006617038E-5</v>
      </c>
      <c r="J26" s="37">
        <f t="shared" si="11"/>
        <v>3.8550372208436727E-4</v>
      </c>
      <c r="K26" s="71">
        <f t="shared" si="9"/>
        <v>1</v>
      </c>
      <c r="L26" s="28">
        <f t="shared" si="4"/>
        <v>3.2066924121541334</v>
      </c>
      <c r="M26" s="28">
        <f t="shared" si="12"/>
        <v>2.0156249999999996E-3</v>
      </c>
      <c r="N26" s="28">
        <f t="shared" si="10"/>
        <v>103.41583029197081</v>
      </c>
    </row>
    <row r="27" spans="1:24">
      <c r="A27" s="28">
        <f t="shared" si="0"/>
        <v>13</v>
      </c>
      <c r="B27" s="31">
        <f t="shared" si="1"/>
        <v>2.375</v>
      </c>
      <c r="C27" s="29">
        <f t="shared" si="2"/>
        <v>0</v>
      </c>
      <c r="D27" s="27">
        <f t="shared" si="5"/>
        <v>103.41583029197079</v>
      </c>
      <c r="E27" s="27">
        <f t="shared" si="6"/>
        <v>9.7332546157148983</v>
      </c>
      <c r="F27" s="29"/>
      <c r="G27" s="27">
        <f t="shared" si="7"/>
        <v>9.7332546157148983</v>
      </c>
      <c r="H27" s="29">
        <f t="shared" si="3"/>
        <v>9.7332546157148983</v>
      </c>
      <c r="I27" s="30">
        <f t="shared" si="8"/>
        <v>1.926385442514475E-5</v>
      </c>
      <c r="J27" s="37">
        <f t="shared" si="11"/>
        <v>4.04767576509512E-4</v>
      </c>
      <c r="K27" s="71">
        <f t="shared" si="9"/>
        <v>1</v>
      </c>
      <c r="L27" s="28">
        <f t="shared" si="4"/>
        <v>3.2444182052382993</v>
      </c>
      <c r="M27" s="28">
        <f t="shared" si="12"/>
        <v>1.9921875E-3</v>
      </c>
      <c r="N27" s="28">
        <f t="shared" si="10"/>
        <v>103.41583029197079</v>
      </c>
    </row>
    <row r="28" spans="1:24">
      <c r="A28" s="28">
        <f t="shared" si="0"/>
        <v>13</v>
      </c>
      <c r="B28" s="31">
        <f t="shared" si="1"/>
        <v>2.5</v>
      </c>
      <c r="C28" s="29">
        <f t="shared" si="2"/>
        <v>0</v>
      </c>
      <c r="D28" s="27">
        <f t="shared" si="5"/>
        <v>103.41583029197079</v>
      </c>
      <c r="E28" s="27">
        <f t="shared" si="6"/>
        <v>9.8491266944734086</v>
      </c>
      <c r="F28" s="29"/>
      <c r="G28" s="27">
        <f t="shared" si="7"/>
        <v>9.8491266944734086</v>
      </c>
      <c r="H28" s="29">
        <f t="shared" si="3"/>
        <v>9.8491266944734086</v>
      </c>
      <c r="I28" s="30">
        <f t="shared" si="8"/>
        <v>1.9037220843672459E-5</v>
      </c>
      <c r="J28" s="37">
        <f t="shared" si="11"/>
        <v>4.2380479735318447E-4</v>
      </c>
      <c r="K28" s="71">
        <f t="shared" si="9"/>
        <v>1</v>
      </c>
      <c r="L28" s="28">
        <f t="shared" si="4"/>
        <v>3.2830422314911361</v>
      </c>
      <c r="M28" s="28">
        <f t="shared" si="12"/>
        <v>1.96875E-3</v>
      </c>
      <c r="N28" s="28">
        <f t="shared" si="10"/>
        <v>103.41583029197079</v>
      </c>
    </row>
    <row r="29" spans="1:24">
      <c r="A29" s="28">
        <f t="shared" si="0"/>
        <v>13</v>
      </c>
      <c r="B29" s="31">
        <f t="shared" si="1"/>
        <v>2.625</v>
      </c>
      <c r="C29" s="29">
        <f t="shared" si="2"/>
        <v>0</v>
      </c>
      <c r="D29" s="27">
        <f t="shared" si="5"/>
        <v>103.41583029197079</v>
      </c>
      <c r="E29" s="27">
        <f t="shared" si="6"/>
        <v>9.9677908715152572</v>
      </c>
      <c r="F29" s="29"/>
      <c r="G29" s="27">
        <f t="shared" si="7"/>
        <v>9.9677908715152572</v>
      </c>
      <c r="H29" s="29">
        <f t="shared" si="3"/>
        <v>9.9677908715152572</v>
      </c>
      <c r="I29" s="30">
        <f t="shared" si="8"/>
        <v>1.8810587262200167E-5</v>
      </c>
      <c r="J29" s="37">
        <f t="shared" si="11"/>
        <v>4.4261538461538462E-4</v>
      </c>
      <c r="K29" s="71">
        <f t="shared" si="9"/>
        <v>1</v>
      </c>
      <c r="L29" s="28">
        <f t="shared" si="4"/>
        <v>3.322596957171752</v>
      </c>
      <c r="M29" s="28">
        <f t="shared" si="12"/>
        <v>1.9453125E-3</v>
      </c>
      <c r="N29" s="28">
        <f t="shared" si="10"/>
        <v>103.41583029197079</v>
      </c>
    </row>
    <row r="30" spans="1:24">
      <c r="A30" s="28">
        <f t="shared" si="0"/>
        <v>13</v>
      </c>
      <c r="B30" s="31">
        <f t="shared" si="1"/>
        <v>2.75</v>
      </c>
      <c r="C30" s="29">
        <f t="shared" si="2"/>
        <v>0</v>
      </c>
      <c r="D30" s="27">
        <f t="shared" si="5"/>
        <v>103.41583029197079</v>
      </c>
      <c r="E30" s="27">
        <f t="shared" si="6"/>
        <v>10.089349296777637</v>
      </c>
      <c r="F30" s="29"/>
      <c r="G30" s="27">
        <f t="shared" si="7"/>
        <v>10.089349296777637</v>
      </c>
      <c r="H30" s="29">
        <f t="shared" si="3"/>
        <v>10.089349296777637</v>
      </c>
      <c r="I30" s="30">
        <f t="shared" si="8"/>
        <v>1.8583953680727879E-5</v>
      </c>
      <c r="J30" s="37">
        <f t="shared" si="11"/>
        <v>4.611993382961125E-4</v>
      </c>
      <c r="K30" s="71">
        <f t="shared" si="9"/>
        <v>1</v>
      </c>
      <c r="L30" s="28">
        <f t="shared" si="4"/>
        <v>3.3631164322592126</v>
      </c>
      <c r="M30" s="28">
        <f t="shared" si="12"/>
        <v>1.921875E-3</v>
      </c>
      <c r="N30" s="28">
        <f t="shared" si="10"/>
        <v>103.41583029197078</v>
      </c>
    </row>
    <row r="31" spans="1:24">
      <c r="A31" s="28">
        <f t="shared" si="0"/>
        <v>13</v>
      </c>
      <c r="B31" s="31">
        <f t="shared" si="1"/>
        <v>2.875</v>
      </c>
      <c r="C31" s="29">
        <f t="shared" si="2"/>
        <v>0</v>
      </c>
      <c r="D31" s="27">
        <f t="shared" si="5"/>
        <v>103.41583029197079</v>
      </c>
      <c r="E31" s="27">
        <f t="shared" si="6"/>
        <v>10.213909164639091</v>
      </c>
      <c r="F31" s="29"/>
      <c r="G31" s="27">
        <f t="shared" si="7"/>
        <v>10.213909164639091</v>
      </c>
      <c r="H31" s="29">
        <f t="shared" si="3"/>
        <v>10.213909164639091</v>
      </c>
      <c r="I31" s="30">
        <f t="shared" si="8"/>
        <v>1.8357320099255584E-5</v>
      </c>
      <c r="J31" s="37">
        <f t="shared" si="11"/>
        <v>4.7955665839536808E-4</v>
      </c>
      <c r="K31" s="71">
        <f t="shared" si="9"/>
        <v>1</v>
      </c>
      <c r="L31" s="28">
        <f t="shared" si="4"/>
        <v>3.4046363882130302</v>
      </c>
      <c r="M31" s="28">
        <f t="shared" si="12"/>
        <v>1.8984375E-3</v>
      </c>
      <c r="N31" s="28">
        <f t="shared" si="10"/>
        <v>103.41583029197079</v>
      </c>
    </row>
    <row r="32" spans="1:24">
      <c r="A32" s="28">
        <f t="shared" si="0"/>
        <v>13</v>
      </c>
      <c r="B32" s="31">
        <f t="shared" si="1"/>
        <v>3</v>
      </c>
      <c r="C32" s="29">
        <f t="shared" si="2"/>
        <v>0</v>
      </c>
      <c r="D32" s="27">
        <f t="shared" si="5"/>
        <v>103.41583029197079</v>
      </c>
      <c r="E32" s="27">
        <f t="shared" si="6"/>
        <v>10.341583029197079</v>
      </c>
      <c r="F32" s="29"/>
      <c r="G32" s="27">
        <f t="shared" si="7"/>
        <v>10.341583029197079</v>
      </c>
      <c r="H32" s="29">
        <f t="shared" si="3"/>
        <v>10.341583029197079</v>
      </c>
      <c r="I32" s="30">
        <f t="shared" si="8"/>
        <v>1.8130686517783296E-5</v>
      </c>
      <c r="J32" s="37">
        <f t="shared" si="11"/>
        <v>4.9768734491315134E-4</v>
      </c>
      <c r="K32" s="71">
        <f t="shared" si="9"/>
        <v>1</v>
      </c>
      <c r="L32" s="28">
        <f t="shared" si="4"/>
        <v>3.4471943430656928</v>
      </c>
      <c r="M32" s="28">
        <f t="shared" si="12"/>
        <v>1.8749999999999999E-3</v>
      </c>
      <c r="N32" s="28">
        <f t="shared" si="10"/>
        <v>103.41583029197079</v>
      </c>
    </row>
    <row r="33" spans="1:14">
      <c r="A33" s="28">
        <f t="shared" si="0"/>
        <v>13</v>
      </c>
      <c r="B33" s="31">
        <f t="shared" si="1"/>
        <v>3.125</v>
      </c>
      <c r="C33" s="29">
        <f t="shared" si="2"/>
        <v>0</v>
      </c>
      <c r="D33" s="27">
        <f t="shared" si="5"/>
        <v>103.41583029197079</v>
      </c>
      <c r="E33" s="27">
        <f t="shared" si="6"/>
        <v>10.472489143490714</v>
      </c>
      <c r="F33" s="29"/>
      <c r="G33" s="27">
        <f t="shared" si="7"/>
        <v>10.472489143490714</v>
      </c>
      <c r="H33" s="29">
        <f t="shared" si="3"/>
        <v>10.472489143490714</v>
      </c>
      <c r="I33" s="30">
        <f t="shared" si="8"/>
        <v>1.7904052936311001E-5</v>
      </c>
      <c r="J33" s="37">
        <f t="shared" si="11"/>
        <v>5.1559139784946239E-4</v>
      </c>
      <c r="K33" s="71">
        <f t="shared" si="9"/>
        <v>1</v>
      </c>
      <c r="L33" s="28">
        <f t="shared" si="4"/>
        <v>3.4908297144969045</v>
      </c>
      <c r="M33" s="28">
        <f t="shared" si="12"/>
        <v>1.8515625000000001E-3</v>
      </c>
      <c r="N33" s="28">
        <f t="shared" si="10"/>
        <v>103.41583029197081</v>
      </c>
    </row>
    <row r="34" spans="1:14">
      <c r="A34" s="28">
        <f t="shared" si="0"/>
        <v>13</v>
      </c>
      <c r="B34" s="31">
        <f t="shared" si="1"/>
        <v>3.25</v>
      </c>
      <c r="C34" s="29">
        <f t="shared" si="2"/>
        <v>0</v>
      </c>
      <c r="D34" s="27">
        <f t="shared" si="5"/>
        <v>103.41583029197079</v>
      </c>
      <c r="E34" s="27">
        <f t="shared" si="6"/>
        <v>10.606751824817517</v>
      </c>
      <c r="F34" s="29"/>
      <c r="G34" s="27">
        <f t="shared" si="7"/>
        <v>10.606751824817517</v>
      </c>
      <c r="H34" s="29">
        <f t="shared" si="3"/>
        <v>10.606751824817517</v>
      </c>
      <c r="I34" s="30">
        <f t="shared" si="8"/>
        <v>1.7677419354838713E-5</v>
      </c>
      <c r="J34" s="37">
        <f t="shared" si="11"/>
        <v>5.3326881720430113E-4</v>
      </c>
      <c r="K34" s="71">
        <f t="shared" si="9"/>
        <v>1</v>
      </c>
      <c r="L34" s="28">
        <f t="shared" si="4"/>
        <v>3.5355839416058386</v>
      </c>
      <c r="M34" s="28">
        <f t="shared" si="12"/>
        <v>1.8281250000000001E-3</v>
      </c>
      <c r="N34" s="28">
        <f t="shared" si="10"/>
        <v>103.41583029197079</v>
      </c>
    </row>
    <row r="35" spans="1:14">
      <c r="A35" s="28">
        <f t="shared" si="0"/>
        <v>13</v>
      </c>
      <c r="B35" s="31">
        <f t="shared" si="1"/>
        <v>3.3750000000000004</v>
      </c>
      <c r="C35" s="29">
        <f t="shared" si="2"/>
        <v>0</v>
      </c>
      <c r="D35" s="27">
        <f t="shared" si="5"/>
        <v>103.41583029197079</v>
      </c>
      <c r="E35" s="27">
        <f t="shared" si="6"/>
        <v>10.744501848516446</v>
      </c>
      <c r="F35" s="29"/>
      <c r="G35" s="27">
        <f t="shared" si="7"/>
        <v>10.744501848516446</v>
      </c>
      <c r="H35" s="29">
        <f t="shared" si="3"/>
        <v>10.744501848516446</v>
      </c>
      <c r="I35" s="30">
        <f t="shared" si="8"/>
        <v>1.7450785773366483E-5</v>
      </c>
      <c r="J35" s="37">
        <f t="shared" si="11"/>
        <v>5.5071960297766766E-4</v>
      </c>
      <c r="K35" s="71">
        <f t="shared" si="9"/>
        <v>1</v>
      </c>
      <c r="L35" s="28">
        <f t="shared" si="4"/>
        <v>3.5815006161721485</v>
      </c>
      <c r="M35" s="28">
        <f t="shared" si="12"/>
        <v>1.8046875000000066E-3</v>
      </c>
      <c r="N35" s="28">
        <f t="shared" si="10"/>
        <v>103.41583029197079</v>
      </c>
    </row>
    <row r="36" spans="1:14">
      <c r="A36" s="28">
        <f t="shared" si="0"/>
        <v>13</v>
      </c>
      <c r="B36" s="31">
        <f t="shared" si="1"/>
        <v>3.5</v>
      </c>
      <c r="C36" s="29">
        <f t="shared" si="2"/>
        <v>0</v>
      </c>
      <c r="D36" s="27">
        <f t="shared" si="5"/>
        <v>103.41583029197079</v>
      </c>
      <c r="E36" s="27">
        <f t="shared" si="6"/>
        <v>10.885876872839031</v>
      </c>
      <c r="F36" s="29"/>
      <c r="G36" s="27">
        <f t="shared" si="7"/>
        <v>10.885876872839031</v>
      </c>
      <c r="H36" s="29">
        <f t="shared" si="3"/>
        <v>10.885876872839031</v>
      </c>
      <c r="I36" s="30">
        <f t="shared" si="8"/>
        <v>1.7224152191894066E-5</v>
      </c>
      <c r="J36" s="37">
        <f t="shared" si="11"/>
        <v>5.6794375516956176E-4</v>
      </c>
      <c r="K36" s="71">
        <f t="shared" si="9"/>
        <v>1</v>
      </c>
      <c r="L36" s="28">
        <f t="shared" si="4"/>
        <v>3.6286256242796768</v>
      </c>
      <c r="M36" s="28">
        <f t="shared" si="12"/>
        <v>1.7812499999999936E-3</v>
      </c>
      <c r="N36" s="28">
        <f t="shared" si="10"/>
        <v>103.41583029197079</v>
      </c>
    </row>
    <row r="37" spans="1:14">
      <c r="A37" s="28">
        <f t="shared" si="0"/>
        <v>13</v>
      </c>
      <c r="B37" s="31">
        <f t="shared" si="1"/>
        <v>3.625</v>
      </c>
      <c r="C37" s="29">
        <f t="shared" si="2"/>
        <v>0</v>
      </c>
      <c r="D37" s="27">
        <f t="shared" si="5"/>
        <v>103.41583029197079</v>
      </c>
      <c r="E37" s="27">
        <f t="shared" si="6"/>
        <v>11.031021897810218</v>
      </c>
      <c r="F37" s="29"/>
      <c r="G37" s="27">
        <f t="shared" si="7"/>
        <v>11.031021897810218</v>
      </c>
      <c r="H37" s="29">
        <f t="shared" si="3"/>
        <v>11.031021897810218</v>
      </c>
      <c r="I37" s="30">
        <f t="shared" si="8"/>
        <v>1.6997518610421839E-5</v>
      </c>
      <c r="J37" s="37">
        <f t="shared" si="11"/>
        <v>5.8494127377998356E-4</v>
      </c>
      <c r="K37" s="71">
        <f t="shared" si="9"/>
        <v>1</v>
      </c>
      <c r="L37" s="28">
        <f t="shared" si="4"/>
        <v>3.6770072992700724</v>
      </c>
      <c r="M37" s="28">
        <f t="shared" si="12"/>
        <v>1.7578125000000003E-3</v>
      </c>
      <c r="N37" s="28">
        <f t="shared" si="10"/>
        <v>103.41583029197079</v>
      </c>
    </row>
    <row r="38" spans="1:14">
      <c r="A38" s="28">
        <f t="shared" si="0"/>
        <v>13</v>
      </c>
      <c r="B38" s="31">
        <f t="shared" si="1"/>
        <v>3.7499999999999996</v>
      </c>
      <c r="C38" s="29">
        <f t="shared" si="2"/>
        <v>0</v>
      </c>
      <c r="D38" s="27">
        <f t="shared" si="5"/>
        <v>103.41583029197079</v>
      </c>
      <c r="E38" s="27">
        <f t="shared" si="6"/>
        <v>11.180089761294139</v>
      </c>
      <c r="F38" s="29"/>
      <c r="G38" s="27">
        <f t="shared" si="7"/>
        <v>11.180089761294139</v>
      </c>
      <c r="H38" s="29">
        <f t="shared" si="3"/>
        <v>11.180089761294139</v>
      </c>
      <c r="I38" s="30">
        <f t="shared" si="8"/>
        <v>1.6770885028949487E-5</v>
      </c>
      <c r="J38" s="37">
        <f t="shared" si="11"/>
        <v>6.0171215880893303E-4</v>
      </c>
      <c r="K38" s="71">
        <f t="shared" si="9"/>
        <v>1</v>
      </c>
      <c r="L38" s="28">
        <f t="shared" si="4"/>
        <v>3.7266965870980462</v>
      </c>
      <c r="M38" s="28">
        <f t="shared" si="12"/>
        <v>1.7343749999999937E-3</v>
      </c>
      <c r="N38" s="28">
        <f t="shared" si="10"/>
        <v>103.41583029197079</v>
      </c>
    </row>
    <row r="39" spans="1:14">
      <c r="A39" s="28">
        <f t="shared" si="0"/>
        <v>13</v>
      </c>
      <c r="B39" s="31">
        <f t="shared" si="1"/>
        <v>3.875</v>
      </c>
      <c r="C39" s="29">
        <f t="shared" si="2"/>
        <v>0</v>
      </c>
      <c r="D39" s="27">
        <f t="shared" si="5"/>
        <v>103.41583029197079</v>
      </c>
      <c r="E39" s="27">
        <f t="shared" si="6"/>
        <v>11.333241675832415</v>
      </c>
      <c r="F39" s="29"/>
      <c r="G39" s="27">
        <f t="shared" si="7"/>
        <v>11.333241675832415</v>
      </c>
      <c r="H39" s="29">
        <f t="shared" si="3"/>
        <v>11.333241675832415</v>
      </c>
      <c r="I39" s="30">
        <f t="shared" si="8"/>
        <v>1.6544251447477317E-5</v>
      </c>
      <c r="J39" s="37">
        <f t="shared" si="11"/>
        <v>6.182564102564103E-4</v>
      </c>
      <c r="K39" s="71">
        <f t="shared" si="9"/>
        <v>1</v>
      </c>
      <c r="L39" s="28">
        <f t="shared" si="4"/>
        <v>3.7777472252774715</v>
      </c>
      <c r="M39" s="28">
        <f t="shared" si="12"/>
        <v>1.7109375000000063E-3</v>
      </c>
      <c r="N39" s="28">
        <f t="shared" si="10"/>
        <v>103.41583029197079</v>
      </c>
    </row>
    <row r="40" spans="1:14">
      <c r="A40" s="28">
        <f t="shared" ref="A40:A71" si="13">VINMAX</f>
        <v>13</v>
      </c>
      <c r="B40" s="31">
        <f t="shared" ref="B40:B71" si="14">VINMAX*((ROW()-8)/104)</f>
        <v>4</v>
      </c>
      <c r="C40" s="29">
        <f t="shared" ref="C40:C71" si="15">IF(B40&gt;=$H$2,IF($D$2="CC", $G$2, B40/$G$2), 0)</f>
        <v>0</v>
      </c>
      <c r="D40" s="27">
        <f t="shared" ref="D40:D71" si="16">$B$2-B40*$J$2/($I$2*0.001)</f>
        <v>103.41583029197079</v>
      </c>
      <c r="E40" s="27">
        <f t="shared" si="6"/>
        <v>11.490647810218977</v>
      </c>
      <c r="F40" s="29"/>
      <c r="G40" s="27">
        <f t="shared" si="7"/>
        <v>11.490647810218977</v>
      </c>
      <c r="H40" s="29">
        <f t="shared" ref="H40:H71" si="17">G40-C40</f>
        <v>11.490647810218977</v>
      </c>
      <c r="I40" s="30">
        <f t="shared" si="8"/>
        <v>1.6317617866004965E-5</v>
      </c>
      <c r="J40" s="37">
        <f t="shared" si="11"/>
        <v>6.3457402812241526E-4</v>
      </c>
      <c r="K40" s="71">
        <f t="shared" si="9"/>
        <v>1</v>
      </c>
      <c r="L40" s="28">
        <f t="shared" ref="L40:L71" si="18">1/COUTMAX*(E40/2-C40)*1000</f>
        <v>3.8302159367396591</v>
      </c>
      <c r="M40" s="28">
        <f t="shared" si="12"/>
        <v>1.6875E-3</v>
      </c>
      <c r="N40" s="28">
        <f t="shared" si="10"/>
        <v>103.41583029197079</v>
      </c>
    </row>
    <row r="41" spans="1:14">
      <c r="A41" s="28">
        <f t="shared" si="13"/>
        <v>13</v>
      </c>
      <c r="B41" s="31">
        <f t="shared" si="14"/>
        <v>4.125</v>
      </c>
      <c r="C41" s="29">
        <f t="shared" si="15"/>
        <v>0</v>
      </c>
      <c r="D41" s="27">
        <f t="shared" si="16"/>
        <v>103.41583029197079</v>
      </c>
      <c r="E41" s="27">
        <f t="shared" si="6"/>
        <v>11.652487920222061</v>
      </c>
      <c r="F41" s="29"/>
      <c r="G41" s="27">
        <f t="shared" si="7"/>
        <v>11.652487920222061</v>
      </c>
      <c r="H41" s="29">
        <f t="shared" si="17"/>
        <v>11.652487920222061</v>
      </c>
      <c r="I41" s="30">
        <f t="shared" ref="I41:I72" si="19">(COUTMAX/1000000)*(B41-B40)/H41</f>
        <v>1.6090984284532674E-5</v>
      </c>
      <c r="J41" s="37">
        <f t="shared" si="11"/>
        <v>6.506650124069479E-4</v>
      </c>
      <c r="K41" s="71">
        <f t="shared" si="9"/>
        <v>1</v>
      </c>
      <c r="L41" s="28">
        <f t="shared" si="18"/>
        <v>3.8841626400740203</v>
      </c>
      <c r="M41" s="28">
        <f t="shared" si="12"/>
        <v>1.6640625E-3</v>
      </c>
      <c r="N41" s="28">
        <f t="shared" si="10"/>
        <v>103.41583029197079</v>
      </c>
    </row>
    <row r="42" spans="1:14">
      <c r="A42" s="28">
        <f t="shared" si="13"/>
        <v>13</v>
      </c>
      <c r="B42" s="31">
        <f t="shared" si="14"/>
        <v>4.25</v>
      </c>
      <c r="C42" s="29">
        <f t="shared" si="15"/>
        <v>0</v>
      </c>
      <c r="D42" s="27">
        <f t="shared" si="16"/>
        <v>103.41583029197079</v>
      </c>
      <c r="E42" s="27">
        <f t="shared" si="6"/>
        <v>11.81895203336809</v>
      </c>
      <c r="F42" s="29"/>
      <c r="G42" s="27">
        <f t="shared" si="7"/>
        <v>11.81895203336809</v>
      </c>
      <c r="H42" s="29">
        <f t="shared" si="17"/>
        <v>11.81895203336809</v>
      </c>
      <c r="I42" s="30">
        <f t="shared" si="19"/>
        <v>1.5864350703060382E-5</v>
      </c>
      <c r="J42" s="37">
        <f t="shared" si="11"/>
        <v>6.6652936311000833E-4</v>
      </c>
      <c r="K42" s="71">
        <f t="shared" si="9"/>
        <v>1</v>
      </c>
      <c r="L42" s="28">
        <f t="shared" si="18"/>
        <v>3.9396506777893632</v>
      </c>
      <c r="M42" s="28">
        <f t="shared" si="12"/>
        <v>1.6406249999999999E-3</v>
      </c>
      <c r="N42" s="28">
        <f t="shared" si="10"/>
        <v>103.41583029197079</v>
      </c>
    </row>
    <row r="43" spans="1:14">
      <c r="A43" s="28">
        <f t="shared" si="13"/>
        <v>13</v>
      </c>
      <c r="B43" s="31">
        <f t="shared" si="14"/>
        <v>4.375</v>
      </c>
      <c r="C43" s="29">
        <f t="shared" si="15"/>
        <v>0</v>
      </c>
      <c r="D43" s="27">
        <f t="shared" si="16"/>
        <v>103.41583029197079</v>
      </c>
      <c r="E43" s="27">
        <f t="shared" si="6"/>
        <v>11.990241193271975</v>
      </c>
      <c r="F43" s="29"/>
      <c r="G43" s="27">
        <f t="shared" si="7"/>
        <v>11.990241193271975</v>
      </c>
      <c r="H43" s="29">
        <f t="shared" si="17"/>
        <v>11.990241193271975</v>
      </c>
      <c r="I43" s="30">
        <f t="shared" si="19"/>
        <v>1.5637717121588091E-5</v>
      </c>
      <c r="J43" s="37">
        <f t="shared" si="11"/>
        <v>6.8216708023159645E-4</v>
      </c>
      <c r="K43" s="71">
        <f t="shared" si="9"/>
        <v>1</v>
      </c>
      <c r="L43" s="28">
        <f t="shared" si="18"/>
        <v>3.9967470644239915</v>
      </c>
      <c r="M43" s="28">
        <f t="shared" si="12"/>
        <v>1.6171874999999997E-3</v>
      </c>
      <c r="N43" s="28">
        <f t="shared" si="10"/>
        <v>103.41583029197079</v>
      </c>
    </row>
    <row r="44" spans="1:14">
      <c r="A44" s="28">
        <f t="shared" si="13"/>
        <v>13</v>
      </c>
      <c r="B44" s="31">
        <f t="shared" si="14"/>
        <v>4.5</v>
      </c>
      <c r="C44" s="29">
        <f t="shared" si="15"/>
        <v>0</v>
      </c>
      <c r="D44" s="27">
        <f t="shared" si="16"/>
        <v>103.41583029197079</v>
      </c>
      <c r="E44" s="27">
        <f t="shared" si="6"/>
        <v>12.166568269643623</v>
      </c>
      <c r="F44" s="29"/>
      <c r="G44" s="27">
        <f t="shared" si="7"/>
        <v>12.166568269643623</v>
      </c>
      <c r="H44" s="29">
        <f t="shared" si="17"/>
        <v>12.166568269643623</v>
      </c>
      <c r="I44" s="30">
        <f t="shared" si="19"/>
        <v>1.5411083540115799E-5</v>
      </c>
      <c r="J44" s="37">
        <f t="shared" si="11"/>
        <v>6.9757816377171225E-4</v>
      </c>
      <c r="K44" s="71">
        <f t="shared" si="9"/>
        <v>1</v>
      </c>
      <c r="L44" s="28">
        <f t="shared" si="18"/>
        <v>4.0555227565478749</v>
      </c>
      <c r="M44" s="28">
        <f t="shared" si="12"/>
        <v>1.5937500000000001E-3</v>
      </c>
      <c r="N44" s="28">
        <f t="shared" si="10"/>
        <v>103.41583029197079</v>
      </c>
    </row>
    <row r="45" spans="1:14">
      <c r="A45" s="28">
        <f t="shared" si="13"/>
        <v>13</v>
      </c>
      <c r="B45" s="31">
        <f t="shared" si="14"/>
        <v>4.625</v>
      </c>
      <c r="C45" s="29">
        <f t="shared" si="15"/>
        <v>0</v>
      </c>
      <c r="D45" s="27">
        <f t="shared" si="16"/>
        <v>103.41583029197079</v>
      </c>
      <c r="E45" s="27">
        <f t="shared" si="6"/>
        <v>12.348158840832333</v>
      </c>
      <c r="F45" s="29"/>
      <c r="G45" s="27">
        <f t="shared" si="7"/>
        <v>12.348158840832333</v>
      </c>
      <c r="H45" s="29">
        <f t="shared" si="17"/>
        <v>12.348158840832333</v>
      </c>
      <c r="I45" s="30">
        <f t="shared" si="19"/>
        <v>1.518444995864351E-5</v>
      </c>
      <c r="J45" s="37">
        <f t="shared" si="11"/>
        <v>7.1276261373035574E-4</v>
      </c>
      <c r="K45" s="71">
        <f t="shared" si="9"/>
        <v>1</v>
      </c>
      <c r="L45" s="28">
        <f t="shared" si="18"/>
        <v>4.1160529469441114</v>
      </c>
      <c r="M45" s="28">
        <f t="shared" si="12"/>
        <v>1.5703125000000001E-3</v>
      </c>
      <c r="N45" s="28">
        <f t="shared" si="10"/>
        <v>103.41583029197079</v>
      </c>
    </row>
    <row r="46" spans="1:14">
      <c r="A46" s="28">
        <f t="shared" si="13"/>
        <v>13</v>
      </c>
      <c r="B46" s="31">
        <f t="shared" si="14"/>
        <v>4.75</v>
      </c>
      <c r="C46" s="29">
        <f t="shared" si="15"/>
        <v>0</v>
      </c>
      <c r="D46" s="27">
        <f t="shared" si="16"/>
        <v>103.41583029197079</v>
      </c>
      <c r="E46" s="27">
        <f t="shared" si="6"/>
        <v>12.535252156602521</v>
      </c>
      <c r="F46" s="29"/>
      <c r="G46" s="27">
        <f t="shared" si="7"/>
        <v>12.535252156602521</v>
      </c>
      <c r="H46" s="29">
        <f t="shared" si="17"/>
        <v>12.535252156602521</v>
      </c>
      <c r="I46" s="30">
        <f t="shared" si="19"/>
        <v>1.4957816377171216E-5</v>
      </c>
      <c r="J46" s="37">
        <f t="shared" si="11"/>
        <v>7.2772043010752691E-4</v>
      </c>
      <c r="K46" s="71">
        <f t="shared" si="9"/>
        <v>1</v>
      </c>
      <c r="L46" s="28">
        <f t="shared" si="18"/>
        <v>4.1784173855341731</v>
      </c>
      <c r="M46" s="28">
        <f t="shared" si="12"/>
        <v>1.5468750000000001E-3</v>
      </c>
      <c r="N46" s="28">
        <f t="shared" si="10"/>
        <v>103.41583029197079</v>
      </c>
    </row>
    <row r="47" spans="1:14">
      <c r="A47" s="28">
        <f t="shared" si="13"/>
        <v>13</v>
      </c>
      <c r="B47" s="31">
        <f t="shared" si="14"/>
        <v>4.875</v>
      </c>
      <c r="C47" s="29">
        <f t="shared" si="15"/>
        <v>0</v>
      </c>
      <c r="D47" s="27">
        <f t="shared" si="16"/>
        <v>103.41583029197079</v>
      </c>
      <c r="E47" s="27">
        <f t="shared" si="6"/>
        <v>12.728102189781021</v>
      </c>
      <c r="F47" s="29"/>
      <c r="G47" s="27">
        <f t="shared" si="7"/>
        <v>12.728102189781021</v>
      </c>
      <c r="H47" s="29">
        <f t="shared" si="17"/>
        <v>12.728102189781021</v>
      </c>
      <c r="I47" s="30">
        <f t="shared" si="19"/>
        <v>1.4731182795698927E-5</v>
      </c>
      <c r="J47" s="37">
        <f t="shared" si="11"/>
        <v>7.4245161290322588E-4</v>
      </c>
      <c r="K47" s="71">
        <f t="shared" si="9"/>
        <v>1</v>
      </c>
      <c r="L47" s="28">
        <f t="shared" si="18"/>
        <v>4.242700729927007</v>
      </c>
      <c r="M47" s="28">
        <f t="shared" si="12"/>
        <v>1.5234375000000001E-3</v>
      </c>
      <c r="N47" s="28">
        <f t="shared" si="10"/>
        <v>103.41583029197079</v>
      </c>
    </row>
    <row r="48" spans="1:14">
      <c r="A48" s="28">
        <f t="shared" si="13"/>
        <v>13</v>
      </c>
      <c r="B48" s="31">
        <f t="shared" si="14"/>
        <v>5</v>
      </c>
      <c r="C48" s="29">
        <f t="shared" si="15"/>
        <v>0</v>
      </c>
      <c r="D48" s="27">
        <f t="shared" si="16"/>
        <v>103.41583029197079</v>
      </c>
      <c r="E48" s="27">
        <f t="shared" si="6"/>
        <v>12.926978786496349</v>
      </c>
      <c r="F48" s="29"/>
      <c r="G48" s="27">
        <f t="shared" si="7"/>
        <v>12.926978786496349</v>
      </c>
      <c r="H48" s="29">
        <f t="shared" si="17"/>
        <v>12.926978786496349</v>
      </c>
      <c r="I48" s="30">
        <f t="shared" si="19"/>
        <v>1.4504549214226635E-5</v>
      </c>
      <c r="J48" s="37">
        <f t="shared" si="11"/>
        <v>7.5695616211745253E-4</v>
      </c>
      <c r="K48" s="71">
        <f t="shared" si="9"/>
        <v>1</v>
      </c>
      <c r="L48" s="28">
        <f t="shared" si="18"/>
        <v>4.308992928832116</v>
      </c>
      <c r="M48" s="28">
        <f t="shared" si="12"/>
        <v>1.5E-3</v>
      </c>
      <c r="N48" s="28">
        <f t="shared" si="10"/>
        <v>103.41583029197079</v>
      </c>
    </row>
    <row r="49" spans="1:14">
      <c r="A49" s="28">
        <f t="shared" si="13"/>
        <v>13</v>
      </c>
      <c r="B49" s="31">
        <f t="shared" si="14"/>
        <v>5.125</v>
      </c>
      <c r="C49" s="29">
        <f t="shared" si="15"/>
        <v>0</v>
      </c>
      <c r="D49" s="27">
        <f t="shared" si="16"/>
        <v>103.41583029197079</v>
      </c>
      <c r="E49" s="27">
        <f t="shared" si="6"/>
        <v>13.132168925964544</v>
      </c>
      <c r="F49" s="29"/>
      <c r="G49" s="27">
        <f t="shared" si="7"/>
        <v>13.132168925964544</v>
      </c>
      <c r="H49" s="29">
        <f t="shared" si="17"/>
        <v>13.132168925964544</v>
      </c>
      <c r="I49" s="30">
        <f t="shared" si="19"/>
        <v>1.4277915632754346E-5</v>
      </c>
      <c r="J49" s="37">
        <f t="shared" si="11"/>
        <v>7.7123407775020686E-4</v>
      </c>
      <c r="K49" s="71">
        <f t="shared" si="9"/>
        <v>1</v>
      </c>
      <c r="L49" s="28">
        <f t="shared" si="18"/>
        <v>4.3773896419881808</v>
      </c>
      <c r="M49" s="28">
        <f t="shared" si="12"/>
        <v>1.4765625E-3</v>
      </c>
      <c r="N49" s="28">
        <f t="shared" si="10"/>
        <v>103.41583029197079</v>
      </c>
    </row>
    <row r="50" spans="1:14">
      <c r="A50" s="28">
        <f t="shared" si="13"/>
        <v>13</v>
      </c>
      <c r="B50" s="31">
        <f t="shared" si="14"/>
        <v>5.25</v>
      </c>
      <c r="C50" s="29">
        <f t="shared" si="15"/>
        <v>0</v>
      </c>
      <c r="D50" s="27">
        <f t="shared" si="16"/>
        <v>103.41583029197079</v>
      </c>
      <c r="E50" s="27">
        <f t="shared" si="6"/>
        <v>13.34397810218978</v>
      </c>
      <c r="F50" s="29"/>
      <c r="G50" s="27">
        <f t="shared" si="7"/>
        <v>13.34397810218978</v>
      </c>
      <c r="H50" s="29">
        <f t="shared" si="17"/>
        <v>13.34397810218978</v>
      </c>
      <c r="I50" s="30">
        <f t="shared" si="19"/>
        <v>1.4051282051282052E-5</v>
      </c>
      <c r="J50" s="37">
        <f t="shared" si="11"/>
        <v>7.8528535980148888E-4</v>
      </c>
      <c r="K50" s="71">
        <f t="shared" si="9"/>
        <v>1</v>
      </c>
      <c r="L50" s="28">
        <f t="shared" si="18"/>
        <v>4.4479927007299267</v>
      </c>
      <c r="M50" s="28">
        <f t="shared" si="12"/>
        <v>1.453125E-3</v>
      </c>
      <c r="N50" s="28">
        <f t="shared" si="10"/>
        <v>103.41583029197079</v>
      </c>
    </row>
    <row r="51" spans="1:14">
      <c r="A51" s="28">
        <f t="shared" si="13"/>
        <v>13</v>
      </c>
      <c r="B51" s="31">
        <f t="shared" si="14"/>
        <v>5.375</v>
      </c>
      <c r="C51" s="29">
        <f t="shared" si="15"/>
        <v>0</v>
      </c>
      <c r="D51" s="27">
        <f t="shared" si="16"/>
        <v>103.41583029197079</v>
      </c>
      <c r="E51" s="27">
        <f t="shared" si="6"/>
        <v>13.56273184156994</v>
      </c>
      <c r="F51" s="29"/>
      <c r="G51" s="27">
        <f t="shared" si="7"/>
        <v>13.56273184156994</v>
      </c>
      <c r="H51" s="29">
        <f t="shared" si="17"/>
        <v>13.56273184156994</v>
      </c>
      <c r="I51" s="30">
        <f t="shared" si="19"/>
        <v>1.3824648469809761E-5</v>
      </c>
      <c r="J51" s="37">
        <f t="shared" si="11"/>
        <v>7.991100082712987E-4</v>
      </c>
      <c r="K51" s="71">
        <f t="shared" si="9"/>
        <v>1</v>
      </c>
      <c r="L51" s="28">
        <f t="shared" si="18"/>
        <v>4.5209106138566462</v>
      </c>
      <c r="M51" s="28">
        <f t="shared" si="12"/>
        <v>1.4296875E-3</v>
      </c>
      <c r="N51" s="28">
        <f t="shared" si="10"/>
        <v>103.41583029197079</v>
      </c>
    </row>
    <row r="52" spans="1:14">
      <c r="A52" s="28">
        <f t="shared" si="13"/>
        <v>13</v>
      </c>
      <c r="B52" s="31">
        <f t="shared" si="14"/>
        <v>5.5</v>
      </c>
      <c r="C52" s="29">
        <f t="shared" si="15"/>
        <v>0</v>
      </c>
      <c r="D52" s="27">
        <f t="shared" si="16"/>
        <v>103.41583029197079</v>
      </c>
      <c r="E52" s="27">
        <f t="shared" si="6"/>
        <v>13.788777372262773</v>
      </c>
      <c r="F52" s="29"/>
      <c r="G52" s="27">
        <f t="shared" si="7"/>
        <v>13.788777372262773</v>
      </c>
      <c r="H52" s="29">
        <f t="shared" si="17"/>
        <v>13.788777372262773</v>
      </c>
      <c r="I52" s="30">
        <f t="shared" si="19"/>
        <v>1.359801488833747E-5</v>
      </c>
      <c r="J52" s="37">
        <f t="shared" si="11"/>
        <v>8.1270802315963619E-4</v>
      </c>
      <c r="K52" s="71">
        <f t="shared" si="9"/>
        <v>1</v>
      </c>
      <c r="L52" s="28">
        <f t="shared" si="18"/>
        <v>4.5962591240875907</v>
      </c>
      <c r="M52" s="28">
        <f t="shared" si="12"/>
        <v>1.4062499999999999E-3</v>
      </c>
      <c r="N52" s="28">
        <f t="shared" si="10"/>
        <v>103.41583029197079</v>
      </c>
    </row>
    <row r="53" spans="1:14">
      <c r="A53" s="28">
        <f t="shared" si="13"/>
        <v>13</v>
      </c>
      <c r="B53" s="31">
        <f t="shared" si="14"/>
        <v>5.625</v>
      </c>
      <c r="C53" s="29">
        <f t="shared" si="15"/>
        <v>0</v>
      </c>
      <c r="D53" s="27">
        <f t="shared" si="16"/>
        <v>103.41583029197079</v>
      </c>
      <c r="E53" s="27">
        <f t="shared" si="6"/>
        <v>14.022485463318073</v>
      </c>
      <c r="F53" s="29"/>
      <c r="G53" s="27">
        <f t="shared" si="7"/>
        <v>14.022485463318073</v>
      </c>
      <c r="H53" s="29">
        <f t="shared" si="17"/>
        <v>14.022485463318073</v>
      </c>
      <c r="I53" s="30">
        <f t="shared" si="19"/>
        <v>1.337138130686518E-5</v>
      </c>
      <c r="J53" s="37">
        <f t="shared" si="11"/>
        <v>8.2607940446650138E-4</v>
      </c>
      <c r="K53" s="71">
        <f t="shared" si="9"/>
        <v>1</v>
      </c>
      <c r="L53" s="28">
        <f t="shared" si="18"/>
        <v>4.6741618211060239</v>
      </c>
      <c r="M53" s="28">
        <f t="shared" si="12"/>
        <v>1.3828124999999999E-3</v>
      </c>
      <c r="N53" s="28">
        <f t="shared" si="10"/>
        <v>103.41583029197079</v>
      </c>
    </row>
    <row r="54" spans="1:14">
      <c r="A54" s="28">
        <f t="shared" si="13"/>
        <v>13</v>
      </c>
      <c r="B54" s="31">
        <f t="shared" si="14"/>
        <v>5.75</v>
      </c>
      <c r="C54" s="29">
        <f t="shared" si="15"/>
        <v>0</v>
      </c>
      <c r="D54" s="27">
        <f t="shared" si="16"/>
        <v>103.41583029197079</v>
      </c>
      <c r="E54" s="27">
        <f t="shared" si="6"/>
        <v>14.264252454064938</v>
      </c>
      <c r="F54" s="29"/>
      <c r="G54" s="27">
        <f t="shared" si="7"/>
        <v>14.264252454064938</v>
      </c>
      <c r="H54" s="29">
        <f t="shared" si="17"/>
        <v>14.264252454064938</v>
      </c>
      <c r="I54" s="30">
        <f t="shared" si="19"/>
        <v>1.3144747725392887E-5</v>
      </c>
      <c r="J54" s="37">
        <f t="shared" si="11"/>
        <v>8.3922415219189425E-4</v>
      </c>
      <c r="K54" s="71">
        <f t="shared" si="9"/>
        <v>1</v>
      </c>
      <c r="L54" s="28">
        <f t="shared" si="18"/>
        <v>4.7547508180216456</v>
      </c>
      <c r="M54" s="28">
        <f t="shared" si="12"/>
        <v>1.3593750000000001E-3</v>
      </c>
      <c r="N54" s="28">
        <f t="shared" si="10"/>
        <v>103.41583029197079</v>
      </c>
    </row>
    <row r="55" spans="1:14">
      <c r="A55" s="28">
        <f t="shared" si="13"/>
        <v>13</v>
      </c>
      <c r="B55" s="31">
        <f t="shared" si="14"/>
        <v>5.875</v>
      </c>
      <c r="C55" s="29">
        <f t="shared" si="15"/>
        <v>0</v>
      </c>
      <c r="D55" s="27">
        <f t="shared" si="16"/>
        <v>103.41583029197079</v>
      </c>
      <c r="E55" s="27">
        <f t="shared" si="6"/>
        <v>14.514502497118707</v>
      </c>
      <c r="F55" s="29"/>
      <c r="G55" s="27">
        <f t="shared" si="7"/>
        <v>14.514502497118707</v>
      </c>
      <c r="H55" s="29">
        <f t="shared" si="17"/>
        <v>14.514502497118707</v>
      </c>
      <c r="I55" s="30">
        <f t="shared" si="19"/>
        <v>1.2918114143920597E-5</v>
      </c>
      <c r="J55" s="37">
        <f t="shared" si="11"/>
        <v>8.521422663358148E-4</v>
      </c>
      <c r="K55" s="71">
        <f t="shared" si="9"/>
        <v>1</v>
      </c>
      <c r="L55" s="28">
        <f t="shared" si="18"/>
        <v>4.8381674990395691</v>
      </c>
      <c r="M55" s="28">
        <f t="shared" si="12"/>
        <v>1.3359375000000001E-3</v>
      </c>
      <c r="N55" s="28">
        <f t="shared" si="10"/>
        <v>103.41583029197079</v>
      </c>
    </row>
    <row r="56" spans="1:14">
      <c r="A56" s="28">
        <f t="shared" si="13"/>
        <v>13</v>
      </c>
      <c r="B56" s="31">
        <f t="shared" si="14"/>
        <v>6</v>
      </c>
      <c r="C56" s="29">
        <f t="shared" si="15"/>
        <v>0</v>
      </c>
      <c r="D56" s="27">
        <f t="shared" si="16"/>
        <v>103.41583029197079</v>
      </c>
      <c r="E56" s="27">
        <f t="shared" si="6"/>
        <v>14.773690041710113</v>
      </c>
      <c r="F56" s="29"/>
      <c r="G56" s="27">
        <f t="shared" si="7"/>
        <v>14.773690041710113</v>
      </c>
      <c r="H56" s="29">
        <f t="shared" si="17"/>
        <v>14.773690041710113</v>
      </c>
      <c r="I56" s="30">
        <f t="shared" si="19"/>
        <v>1.2691480562448306E-5</v>
      </c>
      <c r="J56" s="37">
        <f t="shared" si="11"/>
        <v>8.6483374689826315E-4</v>
      </c>
      <c r="K56" s="71">
        <f t="shared" si="9"/>
        <v>1</v>
      </c>
      <c r="L56" s="28">
        <f t="shared" si="18"/>
        <v>4.9245633472367043</v>
      </c>
      <c r="M56" s="28">
        <f t="shared" si="12"/>
        <v>1.3125000000000001E-3</v>
      </c>
      <c r="N56" s="28">
        <f t="shared" si="10"/>
        <v>103.41583029197079</v>
      </c>
    </row>
    <row r="57" spans="1:14">
      <c r="A57" s="28">
        <f t="shared" si="13"/>
        <v>13</v>
      </c>
      <c r="B57" s="31">
        <f t="shared" si="14"/>
        <v>6.125</v>
      </c>
      <c r="C57" s="29">
        <f t="shared" si="15"/>
        <v>0</v>
      </c>
      <c r="D57" s="27">
        <f t="shared" si="16"/>
        <v>103.41583029197079</v>
      </c>
      <c r="E57" s="27">
        <f t="shared" si="6"/>
        <v>15.042302587923023</v>
      </c>
      <c r="F57" s="29"/>
      <c r="G57" s="27">
        <f t="shared" si="7"/>
        <v>15.042302587923023</v>
      </c>
      <c r="H57" s="29">
        <f t="shared" si="17"/>
        <v>15.042302587923023</v>
      </c>
      <c r="I57" s="30">
        <f t="shared" si="19"/>
        <v>1.2464846980976016E-5</v>
      </c>
      <c r="J57" s="37">
        <f t="shared" si="11"/>
        <v>8.7729859387923918E-4</v>
      </c>
      <c r="K57" s="71">
        <f t="shared" si="9"/>
        <v>1</v>
      </c>
      <c r="L57" s="28">
        <f t="shared" si="18"/>
        <v>5.0141008626410075</v>
      </c>
      <c r="M57" s="28">
        <f t="shared" si="12"/>
        <v>1.2890625000000001E-3</v>
      </c>
      <c r="N57" s="28">
        <f t="shared" si="10"/>
        <v>103.41583029197079</v>
      </c>
    </row>
    <row r="58" spans="1:14">
      <c r="A58" s="28">
        <f t="shared" si="13"/>
        <v>13</v>
      </c>
      <c r="B58" s="31">
        <f t="shared" si="14"/>
        <v>6.25</v>
      </c>
      <c r="C58" s="29">
        <f t="shared" si="15"/>
        <v>0</v>
      </c>
      <c r="D58" s="27">
        <f t="shared" si="16"/>
        <v>103.41583029197079</v>
      </c>
      <c r="E58" s="27">
        <f t="shared" si="6"/>
        <v>15.320863746958636</v>
      </c>
      <c r="F58" s="29"/>
      <c r="G58" s="27">
        <f t="shared" si="7"/>
        <v>15.320863746958636</v>
      </c>
      <c r="H58" s="29">
        <f t="shared" si="17"/>
        <v>15.320863746958636</v>
      </c>
      <c r="I58" s="30">
        <f t="shared" si="19"/>
        <v>1.2238213399503723E-5</v>
      </c>
      <c r="J58" s="37">
        <f t="shared" si="11"/>
        <v>8.8953680727874289E-4</v>
      </c>
      <c r="K58" s="71">
        <f t="shared" si="9"/>
        <v>1</v>
      </c>
      <c r="L58" s="28">
        <f t="shared" si="18"/>
        <v>5.1069545823195455</v>
      </c>
      <c r="M58" s="28">
        <f t="shared" si="12"/>
        <v>1.265625E-3</v>
      </c>
      <c r="N58" s="28">
        <f t="shared" si="10"/>
        <v>103.41583029197079</v>
      </c>
    </row>
    <row r="59" spans="1:14">
      <c r="A59" s="28">
        <f t="shared" si="13"/>
        <v>13</v>
      </c>
      <c r="B59" s="31">
        <f t="shared" si="14"/>
        <v>6.375</v>
      </c>
      <c r="C59" s="29">
        <f t="shared" si="15"/>
        <v>0</v>
      </c>
      <c r="D59" s="27">
        <f t="shared" si="16"/>
        <v>103.41583029197079</v>
      </c>
      <c r="E59" s="27">
        <f t="shared" si="6"/>
        <v>15.609936647844648</v>
      </c>
      <c r="F59" s="29"/>
      <c r="G59" s="27">
        <f t="shared" si="7"/>
        <v>15.609936647844648</v>
      </c>
      <c r="H59" s="29">
        <f t="shared" si="17"/>
        <v>15.609936647844648</v>
      </c>
      <c r="I59" s="30">
        <f t="shared" si="19"/>
        <v>1.2011579818031431E-5</v>
      </c>
      <c r="J59" s="37">
        <f t="shared" si="11"/>
        <v>9.0154838709677429E-4</v>
      </c>
      <c r="K59" s="71">
        <f t="shared" si="9"/>
        <v>1</v>
      </c>
      <c r="L59" s="28">
        <f t="shared" si="18"/>
        <v>5.2033122159482161</v>
      </c>
      <c r="M59" s="28">
        <f>I59*G59*(A59-B59)</f>
        <v>1.2421875E-3</v>
      </c>
      <c r="N59" s="28">
        <f t="shared" si="10"/>
        <v>103.41583029197079</v>
      </c>
    </row>
    <row r="60" spans="1:14">
      <c r="A60" s="28">
        <f t="shared" si="13"/>
        <v>13</v>
      </c>
      <c r="B60" s="31">
        <f t="shared" si="14"/>
        <v>6.5</v>
      </c>
      <c r="C60" s="29">
        <f t="shared" si="15"/>
        <v>0</v>
      </c>
      <c r="D60" s="27">
        <f t="shared" si="16"/>
        <v>103.41583029197079</v>
      </c>
      <c r="E60" s="27">
        <f t="shared" si="6"/>
        <v>15.910127737226276</v>
      </c>
      <c r="F60" s="29"/>
      <c r="G60" s="27">
        <f t="shared" si="7"/>
        <v>15.910127737226276</v>
      </c>
      <c r="H60" s="29">
        <f t="shared" si="17"/>
        <v>15.910127737226276</v>
      </c>
      <c r="I60" s="30">
        <f t="shared" si="19"/>
        <v>1.1784946236559142E-5</v>
      </c>
      <c r="J60" s="37">
        <f t="shared" si="11"/>
        <v>9.1333333333333349E-4</v>
      </c>
      <c r="K60" s="71">
        <f t="shared" si="9"/>
        <v>1</v>
      </c>
      <c r="L60" s="28">
        <f t="shared" si="18"/>
        <v>5.3033759124087592</v>
      </c>
      <c r="M60" s="28">
        <f t="shared" si="12"/>
        <v>1.21875E-3</v>
      </c>
      <c r="N60" s="28">
        <f t="shared" si="10"/>
        <v>103.41583029197079</v>
      </c>
    </row>
    <row r="61" spans="1:14">
      <c r="A61" s="28">
        <f t="shared" si="13"/>
        <v>13</v>
      </c>
      <c r="B61" s="31">
        <f t="shared" si="14"/>
        <v>6.625</v>
      </c>
      <c r="C61" s="29">
        <f t="shared" si="15"/>
        <v>0</v>
      </c>
      <c r="D61" s="27">
        <f t="shared" si="16"/>
        <v>103.41583029197079</v>
      </c>
      <c r="E61" s="27">
        <f t="shared" si="6"/>
        <v>16.222091026191496</v>
      </c>
      <c r="F61" s="29"/>
      <c r="G61" s="27">
        <f t="shared" si="7"/>
        <v>16.222091026191496</v>
      </c>
      <c r="H61" s="29">
        <f t="shared" si="17"/>
        <v>16.222091026191496</v>
      </c>
      <c r="I61" s="30">
        <f t="shared" si="19"/>
        <v>1.155831265508685E-5</v>
      </c>
      <c r="J61" s="37">
        <f t="shared" si="11"/>
        <v>9.2489164598842037E-4</v>
      </c>
      <c r="K61" s="71">
        <f t="shared" si="9"/>
        <v>1</v>
      </c>
      <c r="L61" s="28">
        <f t="shared" si="18"/>
        <v>5.407363675397165</v>
      </c>
      <c r="M61" s="28">
        <f t="shared" si="12"/>
        <v>1.1953125E-3</v>
      </c>
      <c r="N61" s="28">
        <f t="shared" si="10"/>
        <v>103.41583029197079</v>
      </c>
    </row>
    <row r="62" spans="1:14">
      <c r="A62" s="28">
        <f t="shared" si="13"/>
        <v>13</v>
      </c>
      <c r="B62" s="31">
        <f t="shared" si="14"/>
        <v>6.7500000000000009</v>
      </c>
      <c r="C62" s="29">
        <f t="shared" si="15"/>
        <v>0</v>
      </c>
      <c r="D62" s="27">
        <f t="shared" si="16"/>
        <v>103.41583029197079</v>
      </c>
      <c r="E62" s="27">
        <f t="shared" si="6"/>
        <v>16.54653284671533</v>
      </c>
      <c r="F62" s="29"/>
      <c r="G62" s="27">
        <f t="shared" si="7"/>
        <v>16.54653284671533</v>
      </c>
      <c r="H62" s="29">
        <f t="shared" si="17"/>
        <v>16.54653284671533</v>
      </c>
      <c r="I62" s="30">
        <f t="shared" si="19"/>
        <v>1.1331679073614637E-5</v>
      </c>
      <c r="J62" s="37">
        <f t="shared" si="11"/>
        <v>9.3622332506203504E-4</v>
      </c>
      <c r="K62" s="71">
        <f t="shared" si="9"/>
        <v>1</v>
      </c>
      <c r="L62" s="28">
        <f t="shared" si="18"/>
        <v>5.5155109489051091</v>
      </c>
      <c r="M62" s="28">
        <f t="shared" si="12"/>
        <v>1.1718750000000082E-3</v>
      </c>
      <c r="N62" s="28">
        <f t="shared" si="10"/>
        <v>103.41583029197079</v>
      </c>
    </row>
    <row r="63" spans="1:14">
      <c r="A63" s="28">
        <f t="shared" si="13"/>
        <v>13</v>
      </c>
      <c r="B63" s="31">
        <f t="shared" si="14"/>
        <v>6.875</v>
      </c>
      <c r="C63" s="29">
        <f t="shared" si="15"/>
        <v>0</v>
      </c>
      <c r="D63" s="27">
        <f t="shared" si="16"/>
        <v>103.41583029197079</v>
      </c>
      <c r="E63" s="27">
        <f t="shared" si="6"/>
        <v>16.884217190525845</v>
      </c>
      <c r="F63" s="29"/>
      <c r="G63" s="27">
        <f t="shared" si="7"/>
        <v>16.884217190525845</v>
      </c>
      <c r="H63" s="29">
        <f t="shared" si="17"/>
        <v>16.884217190525845</v>
      </c>
      <c r="I63" s="30">
        <f t="shared" si="19"/>
        <v>1.1105045492142188E-5</v>
      </c>
      <c r="J63" s="37">
        <f t="shared" si="11"/>
        <v>9.4732837055417718E-4</v>
      </c>
      <c r="K63" s="71">
        <f t="shared" si="9"/>
        <v>1</v>
      </c>
      <c r="L63" s="28">
        <f t="shared" si="18"/>
        <v>5.628072396841949</v>
      </c>
      <c r="M63" s="28">
        <f t="shared" si="12"/>
        <v>1.1484374999999919E-3</v>
      </c>
      <c r="N63" s="28">
        <f t="shared" si="10"/>
        <v>103.41583029197081</v>
      </c>
    </row>
    <row r="64" spans="1:14">
      <c r="A64" s="28">
        <f t="shared" si="13"/>
        <v>13</v>
      </c>
      <c r="B64" s="31">
        <f t="shared" si="14"/>
        <v>7</v>
      </c>
      <c r="C64" s="29">
        <f t="shared" si="15"/>
        <v>6</v>
      </c>
      <c r="D64" s="27">
        <f t="shared" si="16"/>
        <v>103.41583029197079</v>
      </c>
      <c r="E64" s="27">
        <f t="shared" si="6"/>
        <v>17.235971715328464</v>
      </c>
      <c r="F64" s="29"/>
      <c r="G64" s="27">
        <f t="shared" si="7"/>
        <v>17.235971715328464</v>
      </c>
      <c r="H64" s="29">
        <f t="shared" si="17"/>
        <v>11.235971715328464</v>
      </c>
      <c r="I64" s="30">
        <f t="shared" si="19"/>
        <v>1.6687475258077292E-5</v>
      </c>
      <c r="J64" s="37">
        <f t="shared" si="11"/>
        <v>9.6401584581225447E-4</v>
      </c>
      <c r="K64" s="71">
        <f t="shared" si="9"/>
        <v>0.65189081885856071</v>
      </c>
      <c r="L64" s="28">
        <f t="shared" si="18"/>
        <v>1.745323905109488</v>
      </c>
      <c r="M64" s="28">
        <f t="shared" si="12"/>
        <v>1.7257491092907828E-3</v>
      </c>
      <c r="N64" s="28">
        <f t="shared" si="10"/>
        <v>103.41583029197079</v>
      </c>
    </row>
    <row r="65" spans="1:14">
      <c r="A65" s="28">
        <f t="shared" si="13"/>
        <v>13</v>
      </c>
      <c r="B65" s="31">
        <f t="shared" si="14"/>
        <v>7.1250000000000009</v>
      </c>
      <c r="C65" s="29">
        <f t="shared" si="15"/>
        <v>6</v>
      </c>
      <c r="D65" s="27">
        <f t="shared" si="16"/>
        <v>103.41583029197079</v>
      </c>
      <c r="E65" s="27">
        <f t="shared" si="6"/>
        <v>17.602694517782265</v>
      </c>
      <c r="F65" s="29"/>
      <c r="G65" s="27">
        <f t="shared" si="7"/>
        <v>17.602694517782265</v>
      </c>
      <c r="H65" s="29">
        <f t="shared" si="17"/>
        <v>11.602694517782265</v>
      </c>
      <c r="I65" s="30">
        <f t="shared" si="19"/>
        <v>1.6160039352293489E-5</v>
      </c>
      <c r="J65" s="37">
        <f t="shared" si="11"/>
        <v>9.8017588516454801E-4</v>
      </c>
      <c r="K65" s="71">
        <f t="shared" si="9"/>
        <v>0.65914309346567412</v>
      </c>
      <c r="L65" s="28">
        <f t="shared" si="18"/>
        <v>1.8675648392607549</v>
      </c>
      <c r="M65" s="28">
        <f t="shared" si="12"/>
        <v>1.6712038871683531E-3</v>
      </c>
      <c r="N65" s="28">
        <f t="shared" si="10"/>
        <v>103.41583029197079</v>
      </c>
    </row>
    <row r="66" spans="1:14">
      <c r="A66" s="28">
        <f t="shared" si="13"/>
        <v>13</v>
      </c>
      <c r="B66" s="31">
        <f t="shared" si="14"/>
        <v>7.25</v>
      </c>
      <c r="C66" s="29">
        <f t="shared" si="15"/>
        <v>6</v>
      </c>
      <c r="D66" s="27">
        <f t="shared" si="16"/>
        <v>103.41583029197079</v>
      </c>
      <c r="E66" s="27">
        <f t="shared" si="6"/>
        <v>17.985361789907962</v>
      </c>
      <c r="F66" s="29"/>
      <c r="G66" s="27">
        <f t="shared" si="7"/>
        <v>17.985361789907962</v>
      </c>
      <c r="H66" s="29">
        <f t="shared" si="17"/>
        <v>11.985361789907962</v>
      </c>
      <c r="I66" s="30">
        <f t="shared" si="19"/>
        <v>1.5644083448351085E-5</v>
      </c>
      <c r="J66" s="37">
        <f t="shared" si="11"/>
        <v>9.9581996861289909E-4</v>
      </c>
      <c r="K66" s="71">
        <f t="shared" si="9"/>
        <v>0.66639536807278732</v>
      </c>
      <c r="L66" s="28">
        <f t="shared" si="18"/>
        <v>1.9951205966359875</v>
      </c>
      <c r="M66" s="28">
        <f t="shared" si="12"/>
        <v>1.6178458789681048E-3</v>
      </c>
      <c r="N66" s="28">
        <f t="shared" si="10"/>
        <v>103.41583029197078</v>
      </c>
    </row>
    <row r="67" spans="1:14">
      <c r="A67" s="28">
        <f t="shared" si="13"/>
        <v>13</v>
      </c>
      <c r="B67" s="31">
        <f t="shared" si="14"/>
        <v>7.375</v>
      </c>
      <c r="C67" s="29">
        <f t="shared" si="15"/>
        <v>6</v>
      </c>
      <c r="D67" s="27">
        <f t="shared" si="16"/>
        <v>103.41583029197079</v>
      </c>
      <c r="E67" s="27">
        <f t="shared" si="6"/>
        <v>18.385036496350363</v>
      </c>
      <c r="F67" s="29"/>
      <c r="G67" s="27">
        <f t="shared" si="7"/>
        <v>18.385036496350363</v>
      </c>
      <c r="H67" s="29">
        <f t="shared" si="17"/>
        <v>12.385036496350363</v>
      </c>
      <c r="I67" s="30">
        <f t="shared" si="19"/>
        <v>1.5139236776189777E-5</v>
      </c>
      <c r="J67" s="37">
        <f t="shared" si="11"/>
        <v>1.0109592053890888E-3</v>
      </c>
      <c r="K67" s="71">
        <f t="shared" si="9"/>
        <v>0.67364764267990074</v>
      </c>
      <c r="L67" s="28">
        <f t="shared" si="18"/>
        <v>2.1283454987834545</v>
      </c>
      <c r="M67" s="28">
        <f t="shared" si="12"/>
        <v>1.5656367411964051E-3</v>
      </c>
      <c r="N67" s="28">
        <f t="shared" si="10"/>
        <v>103.41583029197079</v>
      </c>
    </row>
    <row r="68" spans="1:14">
      <c r="A68" s="28">
        <f t="shared" si="13"/>
        <v>13</v>
      </c>
      <c r="B68" s="31">
        <f t="shared" si="14"/>
        <v>7.4999999999999991</v>
      </c>
      <c r="C68" s="29">
        <f t="shared" si="15"/>
        <v>6</v>
      </c>
      <c r="D68" s="27">
        <f t="shared" si="16"/>
        <v>103.41583029197079</v>
      </c>
      <c r="E68" s="27">
        <f t="shared" si="6"/>
        <v>18.802878234903776</v>
      </c>
      <c r="F68" s="29"/>
      <c r="G68" s="27">
        <f t="shared" si="7"/>
        <v>18.802878234903776</v>
      </c>
      <c r="H68" s="29">
        <f t="shared" si="17"/>
        <v>12.802878234903776</v>
      </c>
      <c r="I68" s="30">
        <f t="shared" si="19"/>
        <v>1.4645144362056637E-5</v>
      </c>
      <c r="J68" s="37">
        <f t="shared" si="11"/>
        <v>1.0256043497511454E-3</v>
      </c>
      <c r="K68" s="71">
        <f t="shared" si="9"/>
        <v>0.68089991728701393</v>
      </c>
      <c r="L68" s="28">
        <f t="shared" si="18"/>
        <v>2.2676260783012587</v>
      </c>
      <c r="M68" s="28">
        <f t="shared" si="12"/>
        <v>1.5145397639478619E-3</v>
      </c>
      <c r="N68" s="28">
        <f t="shared" si="10"/>
        <v>103.41583029197079</v>
      </c>
    </row>
    <row r="69" spans="1:14">
      <c r="A69" s="28">
        <f t="shared" si="13"/>
        <v>13</v>
      </c>
      <c r="B69" s="31">
        <f t="shared" si="14"/>
        <v>7.625</v>
      </c>
      <c r="C69" s="29">
        <f t="shared" si="15"/>
        <v>6</v>
      </c>
      <c r="D69" s="27">
        <f t="shared" si="16"/>
        <v>103.41583029197079</v>
      </c>
      <c r="E69" s="27">
        <f t="shared" si="6"/>
        <v>19.2401544729248</v>
      </c>
      <c r="F69" s="29"/>
      <c r="G69" s="27">
        <f t="shared" si="7"/>
        <v>19.2401544729248</v>
      </c>
      <c r="H69" s="29">
        <f t="shared" si="17"/>
        <v>13.2401544729248</v>
      </c>
      <c r="I69" s="30">
        <f t="shared" si="19"/>
        <v>1.4161466196140374E-5</v>
      </c>
      <c r="J69" s="37">
        <f t="shared" si="11"/>
        <v>1.0397658159472859E-3</v>
      </c>
      <c r="K69" s="71">
        <f t="shared" si="9"/>
        <v>0.68815219189412735</v>
      </c>
      <c r="L69" s="28">
        <f t="shared" si="18"/>
        <v>2.4133848243082667</v>
      </c>
      <c r="M69" s="28">
        <f t="shared" si="12"/>
        <v>1.4645197848255343E-3</v>
      </c>
      <c r="N69" s="28">
        <f t="shared" si="10"/>
        <v>103.41583029197081</v>
      </c>
    </row>
    <row r="70" spans="1:14">
      <c r="A70" s="28">
        <f t="shared" si="13"/>
        <v>13</v>
      </c>
      <c r="B70" s="31">
        <f t="shared" si="14"/>
        <v>7.75</v>
      </c>
      <c r="C70" s="29">
        <f t="shared" si="15"/>
        <v>6</v>
      </c>
      <c r="D70" s="27">
        <f t="shared" si="16"/>
        <v>103.41583029197079</v>
      </c>
      <c r="E70" s="27">
        <f t="shared" si="6"/>
        <v>19.698253388946817</v>
      </c>
      <c r="F70" s="29"/>
      <c r="G70" s="27">
        <f t="shared" si="7"/>
        <v>19.698253388946817</v>
      </c>
      <c r="H70" s="29">
        <f t="shared" si="17"/>
        <v>13.698253388946817</v>
      </c>
      <c r="I70" s="30">
        <f t="shared" si="19"/>
        <v>1.3687876452285122E-5</v>
      </c>
      <c r="J70" s="37">
        <f t="shared" si="11"/>
        <v>1.053453692399571E-3</v>
      </c>
      <c r="K70" s="71">
        <f t="shared" si="9"/>
        <v>0.69540446650124066</v>
      </c>
      <c r="L70" s="28">
        <f t="shared" si="18"/>
        <v>2.5660844629822726</v>
      </c>
      <c r="M70" s="28">
        <f t="shared" si="12"/>
        <v>1.4155431082469815E-3</v>
      </c>
      <c r="N70" s="28">
        <f t="shared" si="10"/>
        <v>103.41583029197079</v>
      </c>
    </row>
    <row r="71" spans="1:14">
      <c r="A71" s="28">
        <f t="shared" si="13"/>
        <v>13</v>
      </c>
      <c r="B71" s="31">
        <f t="shared" si="14"/>
        <v>7.8749999999999991</v>
      </c>
      <c r="C71" s="29">
        <f t="shared" si="15"/>
        <v>6</v>
      </c>
      <c r="D71" s="27">
        <f t="shared" si="16"/>
        <v>103.41583029197079</v>
      </c>
      <c r="E71" s="27">
        <f t="shared" si="6"/>
        <v>19.855839416058391</v>
      </c>
      <c r="F71" s="29"/>
      <c r="G71" s="27">
        <f t="shared" si="7"/>
        <v>19.855839416058391</v>
      </c>
      <c r="H71" s="29">
        <f t="shared" si="17"/>
        <v>13.855839416058391</v>
      </c>
      <c r="I71" s="30">
        <f t="shared" si="19"/>
        <v>1.3532200711181259E-5</v>
      </c>
      <c r="J71" s="37">
        <f t="shared" si="11"/>
        <v>1.0669858931107523E-3</v>
      </c>
      <c r="K71" s="71">
        <f t="shared" si="9"/>
        <v>0.69782189137027839</v>
      </c>
      <c r="L71" s="28">
        <f t="shared" si="18"/>
        <v>2.6186131386861304</v>
      </c>
      <c r="M71" s="28">
        <f t="shared" si="12"/>
        <v>1.3770526718688172E-3</v>
      </c>
      <c r="N71" s="28">
        <f t="shared" si="10"/>
        <v>101.76117700729927</v>
      </c>
    </row>
    <row r="72" spans="1:14">
      <c r="A72" s="28">
        <f t="shared" ref="A72:A103" si="20">VINMAX</f>
        <v>13</v>
      </c>
      <c r="B72" s="31">
        <f t="shared" ref="B72:B103" si="21">VINMAX*((ROW()-8)/104)</f>
        <v>8</v>
      </c>
      <c r="C72" s="29">
        <f t="shared" ref="C72:C103" si="22">IF(B72&gt;=$H$2,IF($D$2="CC", $G$2, B72/$G$2), 0)</f>
        <v>6</v>
      </c>
      <c r="D72" s="27">
        <f t="shared" ref="D72:D103" si="23">$B$2-B72*$J$2/($I$2*0.001)</f>
        <v>103.41583029197079</v>
      </c>
      <c r="E72" s="27">
        <f t="shared" si="6"/>
        <v>19.855839416058391</v>
      </c>
      <c r="F72" s="29"/>
      <c r="G72" s="27">
        <f t="shared" si="7"/>
        <v>19.855839416058391</v>
      </c>
      <c r="H72" s="29">
        <f t="shared" ref="H72:H103" si="24">G72-C72</f>
        <v>13.855839416058391</v>
      </c>
      <c r="I72" s="30">
        <f t="shared" si="19"/>
        <v>1.353220071118145E-5</v>
      </c>
      <c r="J72" s="37">
        <f t="shared" si="11"/>
        <v>1.0805180938219339E-3</v>
      </c>
      <c r="K72" s="71">
        <f t="shared" si="9"/>
        <v>0.69782189137027839</v>
      </c>
      <c r="L72" s="28">
        <f t="shared" ref="L72:L103" si="25">1/COUTMAX*(E72/2-C72)*1000</f>
        <v>2.6186131386861304</v>
      </c>
      <c r="M72" s="28">
        <f t="shared" si="12"/>
        <v>1.3434660213354501E-3</v>
      </c>
      <c r="N72" s="28">
        <f t="shared" si="10"/>
        <v>99.279197080291951</v>
      </c>
    </row>
    <row r="73" spans="1:14">
      <c r="A73" s="28">
        <f t="shared" si="20"/>
        <v>13</v>
      </c>
      <c r="B73" s="31">
        <f t="shared" si="21"/>
        <v>8.125</v>
      </c>
      <c r="C73" s="29">
        <f t="shared" si="22"/>
        <v>6</v>
      </c>
      <c r="D73" s="27">
        <f t="shared" si="23"/>
        <v>103.41583029197079</v>
      </c>
      <c r="E73" s="27">
        <f t="shared" ref="E73:E108" si="26">MIN(D73/(A73-B73),$C$2)</f>
        <v>19.855839416058391</v>
      </c>
      <c r="F73" s="29"/>
      <c r="G73" s="27">
        <f t="shared" ref="G73:G112" si="27">E73</f>
        <v>19.855839416058391</v>
      </c>
      <c r="H73" s="29">
        <f t="shared" si="24"/>
        <v>13.855839416058391</v>
      </c>
      <c r="I73" s="30">
        <f t="shared" ref="I73:I104" si="28">(COUTMAX/1000000)*(B73-B72)/H73</f>
        <v>1.3532200711181355E-5</v>
      </c>
      <c r="J73" s="37">
        <f t="shared" si="11"/>
        <v>1.0940502945331152E-3</v>
      </c>
      <c r="K73" s="71">
        <f t="shared" ref="K73:K108" si="29">H73/G73</f>
        <v>0.69782189137027839</v>
      </c>
      <c r="L73" s="28">
        <f t="shared" si="25"/>
        <v>2.6186131386861304</v>
      </c>
      <c r="M73" s="28">
        <f t="shared" ref="M73:M108" si="30">I73*G73*(A73-B73)</f>
        <v>1.3098793708020545E-3</v>
      </c>
      <c r="N73" s="28">
        <f t="shared" ref="N73:N112" si="31">G73*(A73-B73)</f>
        <v>96.797217153284649</v>
      </c>
    </row>
    <row r="74" spans="1:14">
      <c r="A74" s="28">
        <f t="shared" si="20"/>
        <v>13</v>
      </c>
      <c r="B74" s="31">
        <f t="shared" si="21"/>
        <v>8.25</v>
      </c>
      <c r="C74" s="29">
        <f t="shared" si="22"/>
        <v>6</v>
      </c>
      <c r="D74" s="27">
        <f t="shared" si="23"/>
        <v>103.41583029197079</v>
      </c>
      <c r="E74" s="27">
        <f t="shared" si="26"/>
        <v>19.855839416058391</v>
      </c>
      <c r="F74" s="29"/>
      <c r="G74" s="27">
        <f t="shared" si="27"/>
        <v>19.855839416058391</v>
      </c>
      <c r="H74" s="29">
        <f t="shared" si="24"/>
        <v>13.855839416058391</v>
      </c>
      <c r="I74" s="30">
        <f t="shared" si="28"/>
        <v>1.3532200711181355E-5</v>
      </c>
      <c r="J74" s="37">
        <f t="shared" ref="J74:J108" si="32">J73+I74</f>
        <v>1.1075824952442965E-3</v>
      </c>
      <c r="K74" s="71">
        <f t="shared" si="29"/>
        <v>0.69782189137027839</v>
      </c>
      <c r="L74" s="28">
        <f t="shared" si="25"/>
        <v>2.6186131386861304</v>
      </c>
      <c r="M74" s="28">
        <f t="shared" si="30"/>
        <v>1.2762927202686685E-3</v>
      </c>
      <c r="N74" s="28">
        <f t="shared" si="31"/>
        <v>94.315237226277361</v>
      </c>
    </row>
    <row r="75" spans="1:14">
      <c r="A75" s="28">
        <f t="shared" si="20"/>
        <v>13</v>
      </c>
      <c r="B75" s="31">
        <f t="shared" si="21"/>
        <v>8.375</v>
      </c>
      <c r="C75" s="29">
        <f t="shared" si="22"/>
        <v>6</v>
      </c>
      <c r="D75" s="27">
        <f t="shared" si="23"/>
        <v>103.41583029197079</v>
      </c>
      <c r="E75" s="27">
        <f t="shared" si="26"/>
        <v>19.855839416058391</v>
      </c>
      <c r="F75" s="29"/>
      <c r="G75" s="27">
        <f t="shared" si="27"/>
        <v>19.855839416058391</v>
      </c>
      <c r="H75" s="29">
        <f t="shared" si="24"/>
        <v>13.855839416058391</v>
      </c>
      <c r="I75" s="30">
        <f t="shared" si="28"/>
        <v>1.3532200711181355E-5</v>
      </c>
      <c r="J75" s="37">
        <f t="shared" si="32"/>
        <v>1.1211146959554778E-3</v>
      </c>
      <c r="K75" s="71">
        <f t="shared" si="29"/>
        <v>0.69782189137027839</v>
      </c>
      <c r="L75" s="28">
        <f t="shared" si="25"/>
        <v>2.6186131386861304</v>
      </c>
      <c r="M75" s="28">
        <f t="shared" si="30"/>
        <v>1.2427060697352825E-3</v>
      </c>
      <c r="N75" s="28">
        <f t="shared" si="31"/>
        <v>91.833257299270059</v>
      </c>
    </row>
    <row r="76" spans="1:14">
      <c r="A76" s="28">
        <f t="shared" si="20"/>
        <v>13</v>
      </c>
      <c r="B76" s="31">
        <f t="shared" si="21"/>
        <v>8.5</v>
      </c>
      <c r="C76" s="29">
        <f t="shared" si="22"/>
        <v>6</v>
      </c>
      <c r="D76" s="27">
        <f t="shared" si="23"/>
        <v>103.41583029197079</v>
      </c>
      <c r="E76" s="27">
        <f t="shared" si="26"/>
        <v>19.855839416058391</v>
      </c>
      <c r="F76" s="29"/>
      <c r="G76" s="27">
        <f t="shared" si="27"/>
        <v>19.855839416058391</v>
      </c>
      <c r="H76" s="29">
        <f t="shared" si="24"/>
        <v>13.855839416058391</v>
      </c>
      <c r="I76" s="30">
        <f t="shared" si="28"/>
        <v>1.3532200711181355E-5</v>
      </c>
      <c r="J76" s="37">
        <f t="shared" si="32"/>
        <v>1.1346468966666591E-3</v>
      </c>
      <c r="K76" s="71">
        <f t="shared" si="29"/>
        <v>0.69782189137027839</v>
      </c>
      <c r="L76" s="28">
        <f t="shared" si="25"/>
        <v>2.6186131386861304</v>
      </c>
      <c r="M76" s="28">
        <f t="shared" si="30"/>
        <v>1.2091194192018965E-3</v>
      </c>
      <c r="N76" s="28">
        <f t="shared" si="31"/>
        <v>89.351277372262757</v>
      </c>
    </row>
    <row r="77" spans="1:14">
      <c r="A77" s="28">
        <f t="shared" si="20"/>
        <v>13</v>
      </c>
      <c r="B77" s="31">
        <f t="shared" si="21"/>
        <v>8.625</v>
      </c>
      <c r="C77" s="29">
        <f t="shared" si="22"/>
        <v>6</v>
      </c>
      <c r="D77" s="27">
        <f t="shared" si="23"/>
        <v>103.41583029197079</v>
      </c>
      <c r="E77" s="27">
        <f t="shared" si="26"/>
        <v>19.855839416058391</v>
      </c>
      <c r="F77" s="29"/>
      <c r="G77" s="27">
        <f t="shared" si="27"/>
        <v>19.855839416058391</v>
      </c>
      <c r="H77" s="29">
        <f t="shared" si="24"/>
        <v>13.855839416058391</v>
      </c>
      <c r="I77" s="30">
        <f t="shared" si="28"/>
        <v>1.3532200711181355E-5</v>
      </c>
      <c r="J77" s="37">
        <f t="shared" si="32"/>
        <v>1.1481790973778404E-3</v>
      </c>
      <c r="K77" s="71">
        <f t="shared" si="29"/>
        <v>0.69782189137027839</v>
      </c>
      <c r="L77" s="28">
        <f t="shared" si="25"/>
        <v>2.6186131386861304</v>
      </c>
      <c r="M77" s="28">
        <f t="shared" si="30"/>
        <v>1.1755327686685105E-3</v>
      </c>
      <c r="N77" s="28">
        <f t="shared" si="31"/>
        <v>86.869297445255455</v>
      </c>
    </row>
    <row r="78" spans="1:14">
      <c r="A78" s="28">
        <f t="shared" si="20"/>
        <v>13</v>
      </c>
      <c r="B78" s="31">
        <f t="shared" si="21"/>
        <v>8.75</v>
      </c>
      <c r="C78" s="29">
        <f t="shared" si="22"/>
        <v>6</v>
      </c>
      <c r="D78" s="27">
        <f t="shared" si="23"/>
        <v>103.41583029197079</v>
      </c>
      <c r="E78" s="27">
        <f t="shared" si="26"/>
        <v>19.855839416058391</v>
      </c>
      <c r="F78" s="29"/>
      <c r="G78" s="27">
        <f t="shared" si="27"/>
        <v>19.855839416058391</v>
      </c>
      <c r="H78" s="29">
        <f t="shared" si="24"/>
        <v>13.855839416058391</v>
      </c>
      <c r="I78" s="30">
        <f t="shared" si="28"/>
        <v>1.3532200711181355E-5</v>
      </c>
      <c r="J78" s="37">
        <f t="shared" si="32"/>
        <v>1.1617112980890217E-3</v>
      </c>
      <c r="K78" s="71">
        <f t="shared" si="29"/>
        <v>0.69782189137027839</v>
      </c>
      <c r="L78" s="28">
        <f t="shared" si="25"/>
        <v>2.6186131386861304</v>
      </c>
      <c r="M78" s="28">
        <f t="shared" si="30"/>
        <v>1.1419461181351245E-3</v>
      </c>
      <c r="N78" s="28">
        <f t="shared" si="31"/>
        <v>84.387317518248167</v>
      </c>
    </row>
    <row r="79" spans="1:14">
      <c r="A79" s="28">
        <f t="shared" si="20"/>
        <v>13</v>
      </c>
      <c r="B79" s="31">
        <f t="shared" si="21"/>
        <v>8.875</v>
      </c>
      <c r="C79" s="29">
        <f t="shared" si="22"/>
        <v>6</v>
      </c>
      <c r="D79" s="27">
        <f t="shared" si="23"/>
        <v>103.41583029197079</v>
      </c>
      <c r="E79" s="27">
        <f t="shared" si="26"/>
        <v>19.855839416058391</v>
      </c>
      <c r="F79" s="29"/>
      <c r="G79" s="27">
        <f t="shared" si="27"/>
        <v>19.855839416058391</v>
      </c>
      <c r="H79" s="29">
        <f t="shared" si="24"/>
        <v>13.855839416058391</v>
      </c>
      <c r="I79" s="30">
        <f t="shared" si="28"/>
        <v>1.3532200711181355E-5</v>
      </c>
      <c r="J79" s="37">
        <f t="shared" si="32"/>
        <v>1.175243498800203E-3</v>
      </c>
      <c r="K79" s="71">
        <f t="shared" si="29"/>
        <v>0.69782189137027839</v>
      </c>
      <c r="L79" s="28">
        <f t="shared" si="25"/>
        <v>2.6186131386861304</v>
      </c>
      <c r="M79" s="28">
        <f t="shared" si="30"/>
        <v>1.1083594676017385E-3</v>
      </c>
      <c r="N79" s="28">
        <f t="shared" si="31"/>
        <v>81.905337591240865</v>
      </c>
    </row>
    <row r="80" spans="1:14">
      <c r="A80" s="28">
        <f t="shared" si="20"/>
        <v>13</v>
      </c>
      <c r="B80" s="31">
        <f t="shared" si="21"/>
        <v>9</v>
      </c>
      <c r="C80" s="29">
        <f t="shared" si="22"/>
        <v>6</v>
      </c>
      <c r="D80" s="27">
        <f t="shared" si="23"/>
        <v>103.41583029197079</v>
      </c>
      <c r="E80" s="27">
        <f t="shared" si="26"/>
        <v>19.855839416058391</v>
      </c>
      <c r="F80" s="29"/>
      <c r="G80" s="27">
        <f t="shared" si="27"/>
        <v>19.855839416058391</v>
      </c>
      <c r="H80" s="29">
        <f t="shared" si="24"/>
        <v>13.855839416058391</v>
      </c>
      <c r="I80" s="30">
        <f t="shared" si="28"/>
        <v>1.3532200711181355E-5</v>
      </c>
      <c r="J80" s="37">
        <f t="shared" si="32"/>
        <v>1.1887756995113844E-3</v>
      </c>
      <c r="K80" s="71">
        <f t="shared" si="29"/>
        <v>0.69782189137027839</v>
      </c>
      <c r="L80" s="28">
        <f t="shared" si="25"/>
        <v>2.6186131386861304</v>
      </c>
      <c r="M80" s="28">
        <f t="shared" si="30"/>
        <v>1.0747728170683525E-3</v>
      </c>
      <c r="N80" s="28">
        <f t="shared" si="31"/>
        <v>79.423357664233563</v>
      </c>
    </row>
    <row r="81" spans="1:14">
      <c r="A81" s="28">
        <f t="shared" si="20"/>
        <v>13</v>
      </c>
      <c r="B81" s="31">
        <f t="shared" si="21"/>
        <v>9.125</v>
      </c>
      <c r="C81" s="29">
        <f t="shared" si="22"/>
        <v>6</v>
      </c>
      <c r="D81" s="27">
        <f t="shared" si="23"/>
        <v>103.41583029197079</v>
      </c>
      <c r="E81" s="27">
        <f t="shared" si="26"/>
        <v>19.855839416058391</v>
      </c>
      <c r="F81" s="29"/>
      <c r="G81" s="27">
        <f t="shared" si="27"/>
        <v>19.855839416058391</v>
      </c>
      <c r="H81" s="29">
        <f t="shared" si="24"/>
        <v>13.855839416058391</v>
      </c>
      <c r="I81" s="30">
        <f t="shared" si="28"/>
        <v>1.3532200711181355E-5</v>
      </c>
      <c r="J81" s="37">
        <f t="shared" si="32"/>
        <v>1.2023079002225657E-3</v>
      </c>
      <c r="K81" s="71">
        <f t="shared" si="29"/>
        <v>0.69782189137027839</v>
      </c>
      <c r="L81" s="28">
        <f t="shared" si="25"/>
        <v>2.6186131386861304</v>
      </c>
      <c r="M81" s="28">
        <f t="shared" si="30"/>
        <v>1.0411861665349665E-3</v>
      </c>
      <c r="N81" s="28">
        <f t="shared" si="31"/>
        <v>76.941377737226262</v>
      </c>
    </row>
    <row r="82" spans="1:14">
      <c r="A82" s="28">
        <f t="shared" si="20"/>
        <v>13</v>
      </c>
      <c r="B82" s="31">
        <f t="shared" si="21"/>
        <v>9.25</v>
      </c>
      <c r="C82" s="29">
        <f t="shared" si="22"/>
        <v>6</v>
      </c>
      <c r="D82" s="27">
        <f t="shared" si="23"/>
        <v>103.41583029197079</v>
      </c>
      <c r="E82" s="27">
        <f t="shared" si="26"/>
        <v>19.855839416058391</v>
      </c>
      <c r="F82" s="29"/>
      <c r="G82" s="27">
        <f t="shared" si="27"/>
        <v>19.855839416058391</v>
      </c>
      <c r="H82" s="29">
        <f t="shared" si="24"/>
        <v>13.855839416058391</v>
      </c>
      <c r="I82" s="30">
        <f t="shared" si="28"/>
        <v>1.3532200711181355E-5</v>
      </c>
      <c r="J82" s="37">
        <f t="shared" si="32"/>
        <v>1.215840100933747E-3</v>
      </c>
      <c r="K82" s="71">
        <f t="shared" si="29"/>
        <v>0.69782189137027839</v>
      </c>
      <c r="L82" s="28">
        <f t="shared" si="25"/>
        <v>2.6186131386861304</v>
      </c>
      <c r="M82" s="28">
        <f t="shared" si="30"/>
        <v>1.0075995160015805E-3</v>
      </c>
      <c r="N82" s="28">
        <f t="shared" si="31"/>
        <v>74.45939781021896</v>
      </c>
    </row>
    <row r="83" spans="1:14">
      <c r="A83" s="28">
        <f t="shared" si="20"/>
        <v>13</v>
      </c>
      <c r="B83" s="31">
        <f t="shared" si="21"/>
        <v>9.375</v>
      </c>
      <c r="C83" s="29">
        <f t="shared" si="22"/>
        <v>6</v>
      </c>
      <c r="D83" s="27">
        <f t="shared" si="23"/>
        <v>103.41583029197079</v>
      </c>
      <c r="E83" s="27">
        <f t="shared" si="26"/>
        <v>19.855839416058391</v>
      </c>
      <c r="F83" s="29"/>
      <c r="G83" s="27">
        <f t="shared" si="27"/>
        <v>19.855839416058391</v>
      </c>
      <c r="H83" s="29">
        <f t="shared" si="24"/>
        <v>13.855839416058391</v>
      </c>
      <c r="I83" s="30">
        <f t="shared" si="28"/>
        <v>1.3532200711181355E-5</v>
      </c>
      <c r="J83" s="37">
        <f t="shared" si="32"/>
        <v>1.2293723016449283E-3</v>
      </c>
      <c r="K83" s="71">
        <f t="shared" si="29"/>
        <v>0.69782189137027839</v>
      </c>
      <c r="L83" s="28">
        <f t="shared" si="25"/>
        <v>2.6186131386861304</v>
      </c>
      <c r="M83" s="28">
        <f t="shared" si="30"/>
        <v>9.7401286546819452E-4</v>
      </c>
      <c r="N83" s="28">
        <f t="shared" si="31"/>
        <v>71.977417883211672</v>
      </c>
    </row>
    <row r="84" spans="1:14">
      <c r="A84" s="28">
        <f t="shared" si="20"/>
        <v>13</v>
      </c>
      <c r="B84" s="31">
        <f t="shared" si="21"/>
        <v>9.5</v>
      </c>
      <c r="C84" s="29">
        <f t="shared" si="22"/>
        <v>6</v>
      </c>
      <c r="D84" s="27">
        <f t="shared" si="23"/>
        <v>103.41583029197079</v>
      </c>
      <c r="E84" s="27">
        <f t="shared" si="26"/>
        <v>19.855839416058391</v>
      </c>
      <c r="F84" s="29"/>
      <c r="G84" s="27">
        <f t="shared" si="27"/>
        <v>19.855839416058391</v>
      </c>
      <c r="H84" s="29">
        <f t="shared" si="24"/>
        <v>13.855839416058391</v>
      </c>
      <c r="I84" s="30">
        <f t="shared" si="28"/>
        <v>1.3532200711181355E-5</v>
      </c>
      <c r="J84" s="37">
        <f t="shared" si="32"/>
        <v>1.2429045023561096E-3</v>
      </c>
      <c r="K84" s="71">
        <f t="shared" si="29"/>
        <v>0.69782189137027839</v>
      </c>
      <c r="L84" s="28">
        <f t="shared" si="25"/>
        <v>2.6186131386861304</v>
      </c>
      <c r="M84" s="28">
        <f t="shared" si="30"/>
        <v>9.4042621493480852E-4</v>
      </c>
      <c r="N84" s="28">
        <f t="shared" si="31"/>
        <v>69.49543795620437</v>
      </c>
    </row>
    <row r="85" spans="1:14">
      <c r="A85" s="28">
        <f t="shared" si="20"/>
        <v>13</v>
      </c>
      <c r="B85" s="31">
        <f t="shared" si="21"/>
        <v>9.625</v>
      </c>
      <c r="C85" s="29">
        <f t="shared" si="22"/>
        <v>6</v>
      </c>
      <c r="D85" s="27">
        <f t="shared" si="23"/>
        <v>103.41583029197079</v>
      </c>
      <c r="E85" s="27">
        <f t="shared" si="26"/>
        <v>19.855839416058391</v>
      </c>
      <c r="F85" s="29"/>
      <c r="G85" s="27">
        <f t="shared" si="27"/>
        <v>19.855839416058391</v>
      </c>
      <c r="H85" s="29">
        <f t="shared" si="24"/>
        <v>13.855839416058391</v>
      </c>
      <c r="I85" s="30">
        <f t="shared" si="28"/>
        <v>1.3532200711181355E-5</v>
      </c>
      <c r="J85" s="37">
        <f t="shared" si="32"/>
        <v>1.2564367030672909E-3</v>
      </c>
      <c r="K85" s="71">
        <f t="shared" si="29"/>
        <v>0.69782189137027839</v>
      </c>
      <c r="L85" s="28">
        <f t="shared" si="25"/>
        <v>2.6186131386861304</v>
      </c>
      <c r="M85" s="28">
        <f t="shared" si="30"/>
        <v>9.068395644014224E-4</v>
      </c>
      <c r="N85" s="28">
        <f t="shared" si="31"/>
        <v>67.013458029197068</v>
      </c>
    </row>
    <row r="86" spans="1:14">
      <c r="A86" s="28">
        <f t="shared" si="20"/>
        <v>13</v>
      </c>
      <c r="B86" s="31">
        <f t="shared" si="21"/>
        <v>9.75</v>
      </c>
      <c r="C86" s="29">
        <f t="shared" si="22"/>
        <v>6</v>
      </c>
      <c r="D86" s="27">
        <f t="shared" si="23"/>
        <v>103.41583029197079</v>
      </c>
      <c r="E86" s="27">
        <f t="shared" si="26"/>
        <v>19.855839416058391</v>
      </c>
      <c r="F86" s="29"/>
      <c r="G86" s="27">
        <f t="shared" si="27"/>
        <v>19.855839416058391</v>
      </c>
      <c r="H86" s="29">
        <f t="shared" si="24"/>
        <v>13.855839416058391</v>
      </c>
      <c r="I86" s="30">
        <f t="shared" si="28"/>
        <v>1.3532200711181355E-5</v>
      </c>
      <c r="J86" s="37">
        <f t="shared" si="32"/>
        <v>1.2699689037784722E-3</v>
      </c>
      <c r="K86" s="71">
        <f t="shared" si="29"/>
        <v>0.69782189137027839</v>
      </c>
      <c r="L86" s="28">
        <f t="shared" si="25"/>
        <v>2.6186131386861304</v>
      </c>
      <c r="M86" s="28">
        <f t="shared" si="30"/>
        <v>8.732529138680364E-4</v>
      </c>
      <c r="N86" s="28">
        <f t="shared" si="31"/>
        <v>64.531478102189766</v>
      </c>
    </row>
    <row r="87" spans="1:14">
      <c r="A87" s="28">
        <f t="shared" si="20"/>
        <v>13</v>
      </c>
      <c r="B87" s="31">
        <f t="shared" si="21"/>
        <v>9.875</v>
      </c>
      <c r="C87" s="29">
        <f t="shared" si="22"/>
        <v>6</v>
      </c>
      <c r="D87" s="27">
        <f t="shared" si="23"/>
        <v>103.41583029197079</v>
      </c>
      <c r="E87" s="27">
        <f t="shared" si="26"/>
        <v>19.855839416058391</v>
      </c>
      <c r="F87" s="29"/>
      <c r="G87" s="27">
        <f t="shared" si="27"/>
        <v>19.855839416058391</v>
      </c>
      <c r="H87" s="29">
        <f t="shared" si="24"/>
        <v>13.855839416058391</v>
      </c>
      <c r="I87" s="30">
        <f t="shared" si="28"/>
        <v>1.3532200711181355E-5</v>
      </c>
      <c r="J87" s="37">
        <f t="shared" si="32"/>
        <v>1.2835011044896535E-3</v>
      </c>
      <c r="K87" s="71">
        <f t="shared" si="29"/>
        <v>0.69782189137027839</v>
      </c>
      <c r="L87" s="28">
        <f t="shared" si="25"/>
        <v>2.6186131386861304</v>
      </c>
      <c r="M87" s="28">
        <f t="shared" si="30"/>
        <v>8.396662633346504E-4</v>
      </c>
      <c r="N87" s="28">
        <f t="shared" si="31"/>
        <v>62.049498175182471</v>
      </c>
    </row>
    <row r="88" spans="1:14">
      <c r="A88" s="28">
        <f t="shared" si="20"/>
        <v>13</v>
      </c>
      <c r="B88" s="31">
        <f t="shared" si="21"/>
        <v>10</v>
      </c>
      <c r="C88" s="29">
        <f t="shared" si="22"/>
        <v>6</v>
      </c>
      <c r="D88" s="27">
        <f t="shared" si="23"/>
        <v>103.41583029197079</v>
      </c>
      <c r="E88" s="27">
        <f t="shared" si="26"/>
        <v>19.855839416058391</v>
      </c>
      <c r="F88" s="29"/>
      <c r="G88" s="27">
        <f t="shared" si="27"/>
        <v>19.855839416058391</v>
      </c>
      <c r="H88" s="29">
        <f t="shared" si="24"/>
        <v>13.855839416058391</v>
      </c>
      <c r="I88" s="30">
        <f t="shared" si="28"/>
        <v>1.3532200711181355E-5</v>
      </c>
      <c r="J88" s="37">
        <f t="shared" si="32"/>
        <v>1.2970333052008348E-3</v>
      </c>
      <c r="K88" s="71">
        <f t="shared" si="29"/>
        <v>0.69782189137027839</v>
      </c>
      <c r="L88" s="28">
        <f t="shared" si="25"/>
        <v>2.6186131386861304</v>
      </c>
      <c r="M88" s="28">
        <f t="shared" si="30"/>
        <v>8.060796128012644E-4</v>
      </c>
      <c r="N88" s="28">
        <f t="shared" si="31"/>
        <v>59.567518248175176</v>
      </c>
    </row>
    <row r="89" spans="1:14">
      <c r="A89" s="28">
        <f t="shared" si="20"/>
        <v>13</v>
      </c>
      <c r="B89" s="31">
        <f t="shared" si="21"/>
        <v>10.125</v>
      </c>
      <c r="C89" s="29">
        <f t="shared" si="22"/>
        <v>6</v>
      </c>
      <c r="D89" s="27">
        <f t="shared" si="23"/>
        <v>103.41583029197079</v>
      </c>
      <c r="E89" s="27">
        <f t="shared" si="26"/>
        <v>19.855839416058391</v>
      </c>
      <c r="F89" s="29"/>
      <c r="G89" s="27">
        <f t="shared" si="27"/>
        <v>19.855839416058391</v>
      </c>
      <c r="H89" s="29">
        <f t="shared" si="24"/>
        <v>13.855839416058391</v>
      </c>
      <c r="I89" s="30">
        <f t="shared" si="28"/>
        <v>1.3532200711181355E-5</v>
      </c>
      <c r="J89" s="37">
        <f t="shared" si="32"/>
        <v>1.3105655059120161E-3</v>
      </c>
      <c r="K89" s="71">
        <f t="shared" si="29"/>
        <v>0.69782189137027839</v>
      </c>
      <c r="L89" s="28">
        <f t="shared" si="25"/>
        <v>2.6186131386861304</v>
      </c>
      <c r="M89" s="28">
        <f t="shared" si="30"/>
        <v>7.7249296226787839E-4</v>
      </c>
      <c r="N89" s="28">
        <f t="shared" si="31"/>
        <v>57.085538321167874</v>
      </c>
    </row>
    <row r="90" spans="1:14">
      <c r="A90" s="28">
        <f t="shared" si="20"/>
        <v>13</v>
      </c>
      <c r="B90" s="31">
        <f t="shared" si="21"/>
        <v>10.25</v>
      </c>
      <c r="C90" s="29">
        <f t="shared" si="22"/>
        <v>6</v>
      </c>
      <c r="D90" s="27">
        <f t="shared" si="23"/>
        <v>103.41583029197079</v>
      </c>
      <c r="E90" s="27">
        <f t="shared" si="26"/>
        <v>19.855839416058391</v>
      </c>
      <c r="F90" s="29"/>
      <c r="G90" s="27">
        <f t="shared" si="27"/>
        <v>19.855839416058391</v>
      </c>
      <c r="H90" s="29">
        <f t="shared" si="24"/>
        <v>13.855839416058391</v>
      </c>
      <c r="I90" s="30">
        <f t="shared" si="28"/>
        <v>1.3532200711181355E-5</v>
      </c>
      <c r="J90" s="37">
        <f t="shared" si="32"/>
        <v>1.3240977066231974E-3</v>
      </c>
      <c r="K90" s="71">
        <f t="shared" si="29"/>
        <v>0.69782189137027839</v>
      </c>
      <c r="L90" s="28">
        <f t="shared" si="25"/>
        <v>2.6186131386861304</v>
      </c>
      <c r="M90" s="28">
        <f t="shared" si="30"/>
        <v>7.3890631173449239E-4</v>
      </c>
      <c r="N90" s="28">
        <f t="shared" si="31"/>
        <v>54.603558394160572</v>
      </c>
    </row>
    <row r="91" spans="1:14">
      <c r="A91" s="28">
        <f t="shared" si="20"/>
        <v>13</v>
      </c>
      <c r="B91" s="31">
        <f t="shared" si="21"/>
        <v>10.375</v>
      </c>
      <c r="C91" s="29">
        <f t="shared" si="22"/>
        <v>6</v>
      </c>
      <c r="D91" s="27">
        <f t="shared" si="23"/>
        <v>103.41583029197079</v>
      </c>
      <c r="E91" s="27">
        <f t="shared" si="26"/>
        <v>19.855839416058391</v>
      </c>
      <c r="F91" s="29"/>
      <c r="G91" s="27">
        <f t="shared" si="27"/>
        <v>19.855839416058391</v>
      </c>
      <c r="H91" s="29">
        <f t="shared" si="24"/>
        <v>13.855839416058391</v>
      </c>
      <c r="I91" s="30">
        <f t="shared" si="28"/>
        <v>1.3532200711181355E-5</v>
      </c>
      <c r="J91" s="37">
        <f t="shared" si="32"/>
        <v>1.3376299073343788E-3</v>
      </c>
      <c r="K91" s="71">
        <f t="shared" si="29"/>
        <v>0.69782189137027839</v>
      </c>
      <c r="L91" s="28">
        <f t="shared" si="25"/>
        <v>2.6186131386861304</v>
      </c>
      <c r="M91" s="28">
        <f t="shared" si="30"/>
        <v>7.0531966120110639E-4</v>
      </c>
      <c r="N91" s="28">
        <f t="shared" si="31"/>
        <v>52.121578467153277</v>
      </c>
    </row>
    <row r="92" spans="1:14">
      <c r="A92" s="28">
        <f t="shared" si="20"/>
        <v>13</v>
      </c>
      <c r="B92" s="31">
        <f t="shared" si="21"/>
        <v>10.5</v>
      </c>
      <c r="C92" s="29">
        <f t="shared" si="22"/>
        <v>6</v>
      </c>
      <c r="D92" s="27">
        <f t="shared" si="23"/>
        <v>103.41583029197079</v>
      </c>
      <c r="E92" s="27">
        <f t="shared" si="26"/>
        <v>19.855839416058391</v>
      </c>
      <c r="F92" s="29"/>
      <c r="G92" s="27">
        <f t="shared" si="27"/>
        <v>19.855839416058391</v>
      </c>
      <c r="H92" s="29">
        <f t="shared" si="24"/>
        <v>13.855839416058391</v>
      </c>
      <c r="I92" s="30">
        <f t="shared" si="28"/>
        <v>1.3532200711181355E-5</v>
      </c>
      <c r="J92" s="37">
        <f t="shared" si="32"/>
        <v>1.3511621080455601E-3</v>
      </c>
      <c r="K92" s="71">
        <f t="shared" si="29"/>
        <v>0.69782189137027839</v>
      </c>
      <c r="L92" s="28">
        <f t="shared" si="25"/>
        <v>2.6186131386861304</v>
      </c>
      <c r="M92" s="28">
        <f t="shared" si="30"/>
        <v>6.7173301066772028E-4</v>
      </c>
      <c r="N92" s="28">
        <f t="shared" si="31"/>
        <v>49.639598540145975</v>
      </c>
    </row>
    <row r="93" spans="1:14">
      <c r="A93" s="28">
        <f t="shared" si="20"/>
        <v>13</v>
      </c>
      <c r="B93" s="31">
        <f t="shared" si="21"/>
        <v>10.625</v>
      </c>
      <c r="C93" s="29">
        <f t="shared" si="22"/>
        <v>6</v>
      </c>
      <c r="D93" s="27">
        <f t="shared" si="23"/>
        <v>103.41583029197079</v>
      </c>
      <c r="E93" s="27">
        <f t="shared" si="26"/>
        <v>19.855839416058391</v>
      </c>
      <c r="F93" s="29"/>
      <c r="G93" s="27">
        <f t="shared" si="27"/>
        <v>19.855839416058391</v>
      </c>
      <c r="H93" s="29">
        <f t="shared" si="24"/>
        <v>13.855839416058391</v>
      </c>
      <c r="I93" s="30">
        <f t="shared" si="28"/>
        <v>1.3532200711181355E-5</v>
      </c>
      <c r="J93" s="37">
        <f t="shared" si="32"/>
        <v>1.3646943087567414E-3</v>
      </c>
      <c r="K93" s="71">
        <f t="shared" si="29"/>
        <v>0.69782189137027839</v>
      </c>
      <c r="L93" s="28">
        <f t="shared" si="25"/>
        <v>2.6186131386861304</v>
      </c>
      <c r="M93" s="28">
        <f t="shared" si="30"/>
        <v>6.3814636013433427E-4</v>
      </c>
      <c r="N93" s="28">
        <f t="shared" si="31"/>
        <v>47.157618613138681</v>
      </c>
    </row>
    <row r="94" spans="1:14">
      <c r="A94" s="28">
        <f t="shared" si="20"/>
        <v>13</v>
      </c>
      <c r="B94" s="31">
        <f t="shared" si="21"/>
        <v>10.75</v>
      </c>
      <c r="C94" s="29">
        <f t="shared" si="22"/>
        <v>6</v>
      </c>
      <c r="D94" s="27">
        <f t="shared" si="23"/>
        <v>103.41583029197079</v>
      </c>
      <c r="E94" s="27">
        <f t="shared" si="26"/>
        <v>19.855839416058391</v>
      </c>
      <c r="F94" s="29"/>
      <c r="G94" s="27">
        <f t="shared" si="27"/>
        <v>19.855839416058391</v>
      </c>
      <c r="H94" s="29">
        <f t="shared" si="24"/>
        <v>13.855839416058391</v>
      </c>
      <c r="I94" s="30">
        <f t="shared" si="28"/>
        <v>1.3532200711181355E-5</v>
      </c>
      <c r="J94" s="37">
        <f t="shared" si="32"/>
        <v>1.3782265094679227E-3</v>
      </c>
      <c r="K94" s="71">
        <f t="shared" si="29"/>
        <v>0.69782189137027839</v>
      </c>
      <c r="L94" s="28">
        <f t="shared" si="25"/>
        <v>2.6186131386861304</v>
      </c>
      <c r="M94" s="28">
        <f t="shared" si="30"/>
        <v>6.0455970960094827E-4</v>
      </c>
      <c r="N94" s="28">
        <f t="shared" si="31"/>
        <v>44.675638686131379</v>
      </c>
    </row>
    <row r="95" spans="1:14">
      <c r="A95" s="28">
        <f t="shared" si="20"/>
        <v>13</v>
      </c>
      <c r="B95" s="31">
        <f t="shared" si="21"/>
        <v>10.875</v>
      </c>
      <c r="C95" s="29">
        <f t="shared" si="22"/>
        <v>6</v>
      </c>
      <c r="D95" s="27">
        <f t="shared" si="23"/>
        <v>103.41583029197079</v>
      </c>
      <c r="E95" s="27">
        <f t="shared" si="26"/>
        <v>19.855839416058391</v>
      </c>
      <c r="F95" s="29"/>
      <c r="G95" s="27">
        <f t="shared" si="27"/>
        <v>19.855839416058391</v>
      </c>
      <c r="H95" s="29">
        <f t="shared" si="24"/>
        <v>13.855839416058391</v>
      </c>
      <c r="I95" s="30">
        <f t="shared" si="28"/>
        <v>1.3532200711181355E-5</v>
      </c>
      <c r="J95" s="37">
        <f t="shared" si="32"/>
        <v>1.391758710179104E-3</v>
      </c>
      <c r="K95" s="71">
        <f t="shared" si="29"/>
        <v>0.69782189137027839</v>
      </c>
      <c r="L95" s="28">
        <f t="shared" si="25"/>
        <v>2.6186131386861304</v>
      </c>
      <c r="M95" s="28">
        <f t="shared" si="30"/>
        <v>5.7097305906756227E-4</v>
      </c>
      <c r="N95" s="28">
        <f t="shared" si="31"/>
        <v>42.193658759124084</v>
      </c>
    </row>
    <row r="96" spans="1:14">
      <c r="A96" s="28">
        <f t="shared" si="20"/>
        <v>13</v>
      </c>
      <c r="B96" s="31">
        <f t="shared" si="21"/>
        <v>11</v>
      </c>
      <c r="C96" s="29">
        <f t="shared" si="22"/>
        <v>6</v>
      </c>
      <c r="D96" s="27">
        <f t="shared" si="23"/>
        <v>103.41583029197079</v>
      </c>
      <c r="E96" s="27">
        <f t="shared" si="26"/>
        <v>19.855839416058391</v>
      </c>
      <c r="F96" s="29"/>
      <c r="G96" s="27">
        <f t="shared" si="27"/>
        <v>19.855839416058391</v>
      </c>
      <c r="H96" s="29">
        <f t="shared" si="24"/>
        <v>13.855839416058391</v>
      </c>
      <c r="I96" s="30">
        <f t="shared" si="28"/>
        <v>1.3532200711181355E-5</v>
      </c>
      <c r="J96" s="37">
        <f t="shared" si="32"/>
        <v>1.4052909108902853E-3</v>
      </c>
      <c r="K96" s="71">
        <f t="shared" si="29"/>
        <v>0.69782189137027839</v>
      </c>
      <c r="L96" s="28">
        <f t="shared" si="25"/>
        <v>2.6186131386861304</v>
      </c>
      <c r="M96" s="28">
        <f t="shared" si="30"/>
        <v>5.3738640853417626E-4</v>
      </c>
      <c r="N96" s="28">
        <f t="shared" si="31"/>
        <v>39.711678832116782</v>
      </c>
    </row>
    <row r="97" spans="1:14">
      <c r="A97" s="28">
        <f t="shared" si="20"/>
        <v>13</v>
      </c>
      <c r="B97" s="31">
        <f t="shared" si="21"/>
        <v>11.125</v>
      </c>
      <c r="C97" s="29">
        <f t="shared" si="22"/>
        <v>6</v>
      </c>
      <c r="D97" s="27">
        <f t="shared" si="23"/>
        <v>103.41583029197079</v>
      </c>
      <c r="E97" s="27">
        <f t="shared" si="26"/>
        <v>19.855839416058391</v>
      </c>
      <c r="F97" s="29"/>
      <c r="G97" s="27">
        <f t="shared" si="27"/>
        <v>19.855839416058391</v>
      </c>
      <c r="H97" s="29">
        <f t="shared" si="24"/>
        <v>13.855839416058391</v>
      </c>
      <c r="I97" s="30">
        <f t="shared" si="28"/>
        <v>1.3532200711181355E-5</v>
      </c>
      <c r="J97" s="37">
        <f t="shared" si="32"/>
        <v>1.4188231116014666E-3</v>
      </c>
      <c r="K97" s="71">
        <f t="shared" si="29"/>
        <v>0.69782189137027839</v>
      </c>
      <c r="L97" s="28">
        <f t="shared" si="25"/>
        <v>2.6186131386861304</v>
      </c>
      <c r="M97" s="28">
        <f t="shared" si="30"/>
        <v>5.0379975800079026E-4</v>
      </c>
      <c r="N97" s="28">
        <f t="shared" si="31"/>
        <v>37.22969890510948</v>
      </c>
    </row>
    <row r="98" spans="1:14">
      <c r="A98" s="28">
        <f t="shared" si="20"/>
        <v>13</v>
      </c>
      <c r="B98" s="31">
        <f t="shared" si="21"/>
        <v>11.25</v>
      </c>
      <c r="C98" s="29">
        <f t="shared" si="22"/>
        <v>6</v>
      </c>
      <c r="D98" s="27">
        <f t="shared" si="23"/>
        <v>103.41583029197079</v>
      </c>
      <c r="E98" s="27">
        <f t="shared" si="26"/>
        <v>19.855839416058391</v>
      </c>
      <c r="F98" s="29"/>
      <c r="G98" s="27">
        <f t="shared" si="27"/>
        <v>19.855839416058391</v>
      </c>
      <c r="H98" s="29">
        <f t="shared" si="24"/>
        <v>13.855839416058391</v>
      </c>
      <c r="I98" s="30">
        <f t="shared" si="28"/>
        <v>1.3532200711181355E-5</v>
      </c>
      <c r="J98" s="37">
        <f t="shared" si="32"/>
        <v>1.4323553123126479E-3</v>
      </c>
      <c r="K98" s="71">
        <f t="shared" si="29"/>
        <v>0.69782189137027839</v>
      </c>
      <c r="L98" s="28">
        <f t="shared" si="25"/>
        <v>2.6186131386861304</v>
      </c>
      <c r="M98" s="28">
        <f t="shared" si="30"/>
        <v>4.7021310746740426E-4</v>
      </c>
      <c r="N98" s="28">
        <f t="shared" si="31"/>
        <v>34.747718978102185</v>
      </c>
    </row>
    <row r="99" spans="1:14">
      <c r="A99" s="28">
        <f t="shared" si="20"/>
        <v>13</v>
      </c>
      <c r="B99" s="31">
        <f t="shared" si="21"/>
        <v>11.375</v>
      </c>
      <c r="C99" s="29">
        <f t="shared" si="22"/>
        <v>6</v>
      </c>
      <c r="D99" s="27">
        <f t="shared" si="23"/>
        <v>103.41583029197079</v>
      </c>
      <c r="E99" s="27">
        <f t="shared" si="26"/>
        <v>19.855839416058391</v>
      </c>
      <c r="F99" s="29"/>
      <c r="G99" s="27">
        <f t="shared" si="27"/>
        <v>19.855839416058391</v>
      </c>
      <c r="H99" s="29">
        <f t="shared" si="24"/>
        <v>13.855839416058391</v>
      </c>
      <c r="I99" s="30">
        <f t="shared" si="28"/>
        <v>1.3532200711181355E-5</v>
      </c>
      <c r="J99" s="37">
        <f t="shared" si="32"/>
        <v>1.4458875130238292E-3</v>
      </c>
      <c r="K99" s="71">
        <f t="shared" si="29"/>
        <v>0.69782189137027839</v>
      </c>
      <c r="L99" s="28">
        <f t="shared" si="25"/>
        <v>2.6186131386861304</v>
      </c>
      <c r="M99" s="28">
        <f t="shared" si="30"/>
        <v>4.366264569340182E-4</v>
      </c>
      <c r="N99" s="28">
        <f t="shared" si="31"/>
        <v>32.265739051094883</v>
      </c>
    </row>
    <row r="100" spans="1:14">
      <c r="A100" s="28">
        <f t="shared" si="20"/>
        <v>13</v>
      </c>
      <c r="B100" s="31">
        <f t="shared" si="21"/>
        <v>11.5</v>
      </c>
      <c r="C100" s="29">
        <f t="shared" si="22"/>
        <v>6</v>
      </c>
      <c r="D100" s="27">
        <f t="shared" si="23"/>
        <v>103.41583029197079</v>
      </c>
      <c r="E100" s="27">
        <f t="shared" si="26"/>
        <v>19.855839416058391</v>
      </c>
      <c r="F100" s="29"/>
      <c r="G100" s="27">
        <f t="shared" si="27"/>
        <v>19.855839416058391</v>
      </c>
      <c r="H100" s="29">
        <f t="shared" si="24"/>
        <v>13.855839416058391</v>
      </c>
      <c r="I100" s="30">
        <f t="shared" si="28"/>
        <v>1.3532200711181355E-5</v>
      </c>
      <c r="J100" s="37">
        <f t="shared" si="32"/>
        <v>1.4594197137350105E-3</v>
      </c>
      <c r="K100" s="71">
        <f t="shared" si="29"/>
        <v>0.69782189137027839</v>
      </c>
      <c r="L100" s="28">
        <f t="shared" si="25"/>
        <v>2.6186131386861304</v>
      </c>
      <c r="M100" s="28">
        <f t="shared" si="30"/>
        <v>4.030398064006322E-4</v>
      </c>
      <c r="N100" s="28">
        <f t="shared" si="31"/>
        <v>29.783759124087588</v>
      </c>
    </row>
    <row r="101" spans="1:14">
      <c r="A101" s="28">
        <f t="shared" si="20"/>
        <v>13</v>
      </c>
      <c r="B101" s="31">
        <f t="shared" si="21"/>
        <v>11.625</v>
      </c>
      <c r="C101" s="29">
        <f t="shared" si="22"/>
        <v>6</v>
      </c>
      <c r="D101" s="27">
        <f t="shared" si="23"/>
        <v>103.41583029197079</v>
      </c>
      <c r="E101" s="27">
        <f t="shared" si="26"/>
        <v>19.855839416058391</v>
      </c>
      <c r="F101" s="29"/>
      <c r="G101" s="27">
        <f t="shared" si="27"/>
        <v>19.855839416058391</v>
      </c>
      <c r="H101" s="29">
        <f t="shared" si="24"/>
        <v>13.855839416058391</v>
      </c>
      <c r="I101" s="30">
        <f t="shared" si="28"/>
        <v>1.3532200711181355E-5</v>
      </c>
      <c r="J101" s="37">
        <f t="shared" si="32"/>
        <v>1.4729519144461919E-3</v>
      </c>
      <c r="K101" s="71">
        <f t="shared" si="29"/>
        <v>0.69782189137027839</v>
      </c>
      <c r="L101" s="28">
        <f t="shared" si="25"/>
        <v>2.6186131386861304</v>
      </c>
      <c r="M101" s="28">
        <f t="shared" si="30"/>
        <v>3.6945315586724619E-4</v>
      </c>
      <c r="N101" s="28">
        <f t="shared" si="31"/>
        <v>27.301779197080286</v>
      </c>
    </row>
    <row r="102" spans="1:14">
      <c r="A102" s="28">
        <f t="shared" si="20"/>
        <v>13</v>
      </c>
      <c r="B102" s="31">
        <f t="shared" si="21"/>
        <v>11.75</v>
      </c>
      <c r="C102" s="29">
        <f t="shared" si="22"/>
        <v>6</v>
      </c>
      <c r="D102" s="27">
        <f t="shared" si="23"/>
        <v>103.41583029197079</v>
      </c>
      <c r="E102" s="27">
        <f t="shared" si="26"/>
        <v>19.855839416058391</v>
      </c>
      <c r="F102" s="29"/>
      <c r="G102" s="27">
        <f t="shared" si="27"/>
        <v>19.855839416058391</v>
      </c>
      <c r="H102" s="29">
        <f t="shared" si="24"/>
        <v>13.855839416058391</v>
      </c>
      <c r="I102" s="30">
        <f t="shared" si="28"/>
        <v>1.3532200711181355E-5</v>
      </c>
      <c r="J102" s="37">
        <f t="shared" si="32"/>
        <v>1.4864841151573732E-3</v>
      </c>
      <c r="K102" s="71">
        <f t="shared" si="29"/>
        <v>0.69782189137027839</v>
      </c>
      <c r="L102" s="28">
        <f t="shared" si="25"/>
        <v>2.6186131386861304</v>
      </c>
      <c r="M102" s="28">
        <f t="shared" si="30"/>
        <v>3.3586650533386014E-4</v>
      </c>
      <c r="N102" s="28">
        <f t="shared" si="31"/>
        <v>24.819799270072988</v>
      </c>
    </row>
    <row r="103" spans="1:14">
      <c r="A103" s="28">
        <f t="shared" si="20"/>
        <v>13</v>
      </c>
      <c r="B103" s="31">
        <f t="shared" si="21"/>
        <v>11.875</v>
      </c>
      <c r="C103" s="29">
        <f t="shared" si="22"/>
        <v>6</v>
      </c>
      <c r="D103" s="27">
        <f t="shared" si="23"/>
        <v>103.41583029197079</v>
      </c>
      <c r="E103" s="27">
        <f t="shared" si="26"/>
        <v>19.855839416058391</v>
      </c>
      <c r="F103" s="29"/>
      <c r="G103" s="27">
        <f t="shared" si="27"/>
        <v>19.855839416058391</v>
      </c>
      <c r="H103" s="29">
        <f t="shared" si="24"/>
        <v>13.855839416058391</v>
      </c>
      <c r="I103" s="30">
        <f t="shared" si="28"/>
        <v>1.3532200711181355E-5</v>
      </c>
      <c r="J103" s="37">
        <f t="shared" si="32"/>
        <v>1.5000163158685545E-3</v>
      </c>
      <c r="K103" s="71">
        <f t="shared" si="29"/>
        <v>0.69782189137027839</v>
      </c>
      <c r="L103" s="28">
        <f t="shared" si="25"/>
        <v>2.6186131386861304</v>
      </c>
      <c r="M103" s="28">
        <f t="shared" si="30"/>
        <v>3.0227985480047413E-4</v>
      </c>
      <c r="N103" s="28">
        <f t="shared" si="31"/>
        <v>22.337819343065689</v>
      </c>
    </row>
    <row r="104" spans="1:14">
      <c r="A104" s="28">
        <f t="shared" ref="A104:A112" si="33">VINMAX</f>
        <v>13</v>
      </c>
      <c r="B104" s="31">
        <f t="shared" ref="B104:B112" si="34">VINMAX*((ROW()-8)/104)</f>
        <v>12</v>
      </c>
      <c r="C104" s="29">
        <f t="shared" ref="C104:C112" si="35">IF(B104&gt;=$H$2,IF($D$2="CC", $G$2, B104/$G$2), 0)</f>
        <v>6</v>
      </c>
      <c r="D104" s="27">
        <f t="shared" ref="D104:D112" si="36">$B$2-B104*$J$2/($I$2*0.001)</f>
        <v>103.41583029197079</v>
      </c>
      <c r="E104" s="27">
        <f t="shared" si="26"/>
        <v>19.855839416058391</v>
      </c>
      <c r="F104" s="29"/>
      <c r="G104" s="27">
        <f t="shared" si="27"/>
        <v>19.855839416058391</v>
      </c>
      <c r="H104" s="29">
        <f t="shared" ref="H104:H112" si="37">G104-C104</f>
        <v>13.855839416058391</v>
      </c>
      <c r="I104" s="30">
        <f t="shared" si="28"/>
        <v>1.3532200711181355E-5</v>
      </c>
      <c r="J104" s="37">
        <f t="shared" si="32"/>
        <v>1.5135485165797358E-3</v>
      </c>
      <c r="K104" s="71">
        <f t="shared" si="29"/>
        <v>0.69782189137027839</v>
      </c>
      <c r="L104" s="28">
        <f t="shared" ref="L104:L112" si="38">1/COUTMAX*(E104/2-C104)*1000</f>
        <v>2.6186131386861304</v>
      </c>
      <c r="M104" s="28">
        <f t="shared" si="30"/>
        <v>2.6869320426708813E-4</v>
      </c>
      <c r="N104" s="28">
        <f t="shared" si="31"/>
        <v>19.855839416058391</v>
      </c>
    </row>
    <row r="105" spans="1:14">
      <c r="A105" s="28">
        <f t="shared" si="33"/>
        <v>13</v>
      </c>
      <c r="B105" s="31">
        <f t="shared" si="34"/>
        <v>12.125</v>
      </c>
      <c r="C105" s="29">
        <f t="shared" si="35"/>
        <v>6</v>
      </c>
      <c r="D105" s="27">
        <f t="shared" si="36"/>
        <v>103.41583029197079</v>
      </c>
      <c r="E105" s="27">
        <f t="shared" si="26"/>
        <v>19.855839416058391</v>
      </c>
      <c r="F105" s="29"/>
      <c r="G105" s="27">
        <f t="shared" si="27"/>
        <v>19.855839416058391</v>
      </c>
      <c r="H105" s="29">
        <f t="shared" si="37"/>
        <v>13.855839416058391</v>
      </c>
      <c r="I105" s="30">
        <f t="shared" ref="I105:I112" si="39">(COUTMAX/1000000)*(B105-B104)/H105</f>
        <v>1.3532200711181355E-5</v>
      </c>
      <c r="J105" s="37">
        <f t="shared" si="32"/>
        <v>1.5270807172909171E-3</v>
      </c>
      <c r="K105" s="71">
        <f t="shared" si="29"/>
        <v>0.69782189137027839</v>
      </c>
      <c r="L105" s="28">
        <f t="shared" si="38"/>
        <v>2.6186131386861304</v>
      </c>
      <c r="M105" s="28">
        <f t="shared" si="30"/>
        <v>2.3510655373370213E-4</v>
      </c>
      <c r="N105" s="28">
        <f t="shared" si="31"/>
        <v>17.373859489051092</v>
      </c>
    </row>
    <row r="106" spans="1:14">
      <c r="A106" s="28">
        <f t="shared" si="33"/>
        <v>13</v>
      </c>
      <c r="B106" s="31">
        <f t="shared" si="34"/>
        <v>12.25</v>
      </c>
      <c r="C106" s="29">
        <f t="shared" si="35"/>
        <v>6</v>
      </c>
      <c r="D106" s="27">
        <f t="shared" si="36"/>
        <v>103.41583029197079</v>
      </c>
      <c r="E106" s="27">
        <f t="shared" si="26"/>
        <v>19.855839416058391</v>
      </c>
      <c r="F106" s="29"/>
      <c r="G106" s="27">
        <f t="shared" si="27"/>
        <v>19.855839416058391</v>
      </c>
      <c r="H106" s="29">
        <f t="shared" si="37"/>
        <v>13.855839416058391</v>
      </c>
      <c r="I106" s="30">
        <f t="shared" si="39"/>
        <v>1.3532200711181355E-5</v>
      </c>
      <c r="J106" s="37">
        <f t="shared" si="32"/>
        <v>1.5406129180020984E-3</v>
      </c>
      <c r="K106" s="71">
        <f t="shared" si="29"/>
        <v>0.69782189137027839</v>
      </c>
      <c r="L106" s="28">
        <f t="shared" si="38"/>
        <v>2.6186131386861304</v>
      </c>
      <c r="M106" s="28">
        <f t="shared" si="30"/>
        <v>2.015199032003161E-4</v>
      </c>
      <c r="N106" s="28">
        <f t="shared" si="31"/>
        <v>14.891879562043794</v>
      </c>
    </row>
    <row r="107" spans="1:14">
      <c r="A107" s="28">
        <f t="shared" si="33"/>
        <v>13</v>
      </c>
      <c r="B107" s="31">
        <f t="shared" si="34"/>
        <v>12.375</v>
      </c>
      <c r="C107" s="29">
        <f t="shared" si="35"/>
        <v>6</v>
      </c>
      <c r="D107" s="27">
        <f t="shared" si="36"/>
        <v>103.41583029197079</v>
      </c>
      <c r="E107" s="27">
        <f t="shared" si="26"/>
        <v>19.855839416058391</v>
      </c>
      <c r="F107" s="29"/>
      <c r="G107" s="27">
        <f t="shared" si="27"/>
        <v>19.855839416058391</v>
      </c>
      <c r="H107" s="29">
        <f t="shared" si="37"/>
        <v>13.855839416058391</v>
      </c>
      <c r="I107" s="30">
        <f t="shared" si="39"/>
        <v>1.3532200711181355E-5</v>
      </c>
      <c r="J107" s="37">
        <f t="shared" si="32"/>
        <v>1.5541451187132797E-3</v>
      </c>
      <c r="K107" s="71">
        <f t="shared" si="29"/>
        <v>0.69782189137027839</v>
      </c>
      <c r="L107" s="28">
        <f t="shared" si="38"/>
        <v>2.6186131386861304</v>
      </c>
      <c r="M107" s="28">
        <f t="shared" si="30"/>
        <v>1.6793325266693007E-4</v>
      </c>
      <c r="N107" s="28">
        <f t="shared" si="31"/>
        <v>12.409899635036494</v>
      </c>
    </row>
    <row r="108" spans="1:14">
      <c r="A108" s="28">
        <f t="shared" si="33"/>
        <v>13</v>
      </c>
      <c r="B108" s="31">
        <f t="shared" si="34"/>
        <v>12.5</v>
      </c>
      <c r="C108" s="29">
        <f t="shared" si="35"/>
        <v>6</v>
      </c>
      <c r="D108" s="27">
        <f t="shared" si="36"/>
        <v>103.41583029197079</v>
      </c>
      <c r="E108" s="27">
        <f t="shared" si="26"/>
        <v>19.855839416058391</v>
      </c>
      <c r="F108" s="29"/>
      <c r="G108" s="27">
        <f t="shared" si="27"/>
        <v>19.855839416058391</v>
      </c>
      <c r="H108" s="29">
        <f t="shared" si="37"/>
        <v>13.855839416058391</v>
      </c>
      <c r="I108" s="30">
        <f t="shared" si="39"/>
        <v>1.3532200711181355E-5</v>
      </c>
      <c r="J108" s="37">
        <f t="shared" si="32"/>
        <v>1.567677319424461E-3</v>
      </c>
      <c r="K108" s="71">
        <f t="shared" si="29"/>
        <v>0.69782189137027839</v>
      </c>
      <c r="L108" s="28">
        <f t="shared" si="38"/>
        <v>2.6186131386861304</v>
      </c>
      <c r="M108" s="28">
        <f t="shared" si="30"/>
        <v>1.3434660213354407E-4</v>
      </c>
      <c r="N108" s="28">
        <f t="shared" si="31"/>
        <v>9.9279197080291954</v>
      </c>
    </row>
    <row r="109" spans="1:14">
      <c r="A109" s="28">
        <f t="shared" si="33"/>
        <v>13</v>
      </c>
      <c r="B109" s="31">
        <f t="shared" si="34"/>
        <v>12.625</v>
      </c>
      <c r="C109" s="29">
        <f t="shared" si="35"/>
        <v>6</v>
      </c>
      <c r="D109" s="27">
        <f t="shared" si="36"/>
        <v>103.41583029197079</v>
      </c>
      <c r="E109" s="27">
        <f>$C$2</f>
        <v>19.855839416058391</v>
      </c>
      <c r="F109" s="29"/>
      <c r="G109" s="27">
        <f t="shared" si="27"/>
        <v>19.855839416058391</v>
      </c>
      <c r="H109" s="29">
        <f t="shared" si="37"/>
        <v>13.855839416058391</v>
      </c>
      <c r="I109" s="30">
        <f t="shared" si="39"/>
        <v>1.3532200711181355E-5</v>
      </c>
      <c r="J109" s="37">
        <f>J108+I109</f>
        <v>1.5812095201356423E-3</v>
      </c>
      <c r="K109" s="71">
        <f>H109/G109</f>
        <v>0.69782189137027839</v>
      </c>
      <c r="L109" s="28">
        <f t="shared" si="38"/>
        <v>2.6186131386861304</v>
      </c>
      <c r="M109" s="28">
        <f>I109*G109*(A109-B109)</f>
        <v>1.0075995160015805E-4</v>
      </c>
      <c r="N109" s="28">
        <f t="shared" si="31"/>
        <v>7.445939781021897</v>
      </c>
    </row>
    <row r="110" spans="1:14">
      <c r="A110" s="28">
        <f t="shared" si="33"/>
        <v>13</v>
      </c>
      <c r="B110" s="31">
        <f t="shared" si="34"/>
        <v>12.75</v>
      </c>
      <c r="C110" s="29">
        <f t="shared" si="35"/>
        <v>6</v>
      </c>
      <c r="D110" s="27">
        <f t="shared" si="36"/>
        <v>103.41583029197079</v>
      </c>
      <c r="E110" s="27">
        <f>$C$2</f>
        <v>19.855839416058391</v>
      </c>
      <c r="F110" s="29"/>
      <c r="G110" s="27">
        <f t="shared" si="27"/>
        <v>19.855839416058391</v>
      </c>
      <c r="H110" s="29">
        <f t="shared" si="37"/>
        <v>13.855839416058391</v>
      </c>
      <c r="I110" s="30">
        <f t="shared" si="39"/>
        <v>1.3532200711181355E-5</v>
      </c>
      <c r="J110" s="37">
        <f>J109+I110</f>
        <v>1.5947417208468236E-3</v>
      </c>
      <c r="K110" s="71">
        <f>H110/G110</f>
        <v>0.69782189137027839</v>
      </c>
      <c r="L110" s="28">
        <f t="shared" si="38"/>
        <v>2.6186131386861304</v>
      </c>
      <c r="M110" s="28">
        <f>I110*G110*(A110-B110)</f>
        <v>6.7173301066772033E-5</v>
      </c>
      <c r="N110" s="28">
        <f t="shared" si="31"/>
        <v>4.9639598540145977</v>
      </c>
    </row>
    <row r="111" spans="1:14">
      <c r="A111" s="28">
        <f t="shared" si="33"/>
        <v>13</v>
      </c>
      <c r="B111" s="31">
        <f t="shared" si="34"/>
        <v>12.875</v>
      </c>
      <c r="C111" s="29">
        <f t="shared" si="35"/>
        <v>6</v>
      </c>
      <c r="D111" s="27">
        <f t="shared" si="36"/>
        <v>103.41583029197079</v>
      </c>
      <c r="E111" s="27">
        <f>$C$2</f>
        <v>19.855839416058391</v>
      </c>
      <c r="F111" s="29"/>
      <c r="G111" s="27">
        <f t="shared" si="27"/>
        <v>19.855839416058391</v>
      </c>
      <c r="H111" s="29">
        <f t="shared" si="37"/>
        <v>13.855839416058391</v>
      </c>
      <c r="I111" s="30">
        <f t="shared" si="39"/>
        <v>1.3532200711181355E-5</v>
      </c>
      <c r="J111" s="37">
        <f>J110+I111</f>
        <v>1.6082739215580049E-3</v>
      </c>
      <c r="K111" s="71">
        <f>H111/G111</f>
        <v>0.69782189137027839</v>
      </c>
      <c r="L111" s="28">
        <f t="shared" si="38"/>
        <v>2.6186131386861304</v>
      </c>
      <c r="M111" s="28">
        <f>I111*G111*(A111-B111)</f>
        <v>3.3586650533386016E-5</v>
      </c>
      <c r="N111" s="28">
        <f t="shared" si="31"/>
        <v>2.4819799270072989</v>
      </c>
    </row>
    <row r="112" spans="1:14">
      <c r="A112" s="28">
        <f t="shared" si="33"/>
        <v>13</v>
      </c>
      <c r="B112" s="31">
        <f t="shared" si="34"/>
        <v>13</v>
      </c>
      <c r="C112" s="29">
        <f t="shared" si="35"/>
        <v>6</v>
      </c>
      <c r="D112" s="27">
        <f t="shared" si="36"/>
        <v>103.41583029197079</v>
      </c>
      <c r="E112" s="27">
        <f>$C$2</f>
        <v>19.855839416058391</v>
      </c>
      <c r="F112" s="29"/>
      <c r="G112" s="27">
        <f t="shared" si="27"/>
        <v>19.855839416058391</v>
      </c>
      <c r="H112" s="29">
        <f t="shared" si="37"/>
        <v>13.855839416058391</v>
      </c>
      <c r="I112" s="30">
        <f t="shared" si="39"/>
        <v>1.3532200711181355E-5</v>
      </c>
      <c r="J112" s="37">
        <f>J111+I112</f>
        <v>1.6218061222691863E-3</v>
      </c>
      <c r="K112" s="71">
        <f>H112/G112</f>
        <v>0.69782189137027839</v>
      </c>
      <c r="L112" s="28">
        <f t="shared" si="38"/>
        <v>2.6186131386861304</v>
      </c>
      <c r="M112" s="28">
        <f>I112*G112*(A112-B112)</f>
        <v>0</v>
      </c>
      <c r="N112" s="28">
        <f t="shared" si="31"/>
        <v>0</v>
      </c>
    </row>
  </sheetData>
  <mergeCells count="1">
    <mergeCell ref="W10:X10"/>
  </mergeCells>
  <phoneticPr fontId="46"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69"/>
  <sheetViews>
    <sheetView zoomScale="85" zoomScaleNormal="85" workbookViewId="0">
      <selection activeCell="D27" sqref="D27"/>
    </sheetView>
  </sheetViews>
  <sheetFormatPr defaultRowHeight="13.2"/>
  <cols>
    <col min="1" max="1" width="19.6640625" customWidth="1"/>
    <col min="2" max="2" width="17.33203125" customWidth="1"/>
    <col min="3" max="3" width="10.44140625" customWidth="1"/>
    <col min="4" max="4" width="16" customWidth="1"/>
    <col min="5" max="7" width="17.6640625" customWidth="1"/>
    <col min="8" max="8" width="17.88671875" customWidth="1"/>
    <col min="9" max="9" width="12.88671875" customWidth="1"/>
    <col min="10" max="10" width="12.33203125" customWidth="1"/>
    <col min="11" max="11" width="17.44140625" customWidth="1"/>
    <col min="12" max="12" width="15.44140625" customWidth="1"/>
    <col min="13" max="13" width="10.33203125" customWidth="1"/>
    <col min="14" max="14" width="20" customWidth="1"/>
    <col min="19" max="19" width="12.88671875" customWidth="1"/>
    <col min="21" max="21" width="17.33203125" customWidth="1"/>
    <col min="23" max="23" width="13.33203125" customWidth="1"/>
    <col min="24" max="24" width="16.88671875" customWidth="1"/>
    <col min="26" max="26" width="13" customWidth="1"/>
    <col min="27" max="27" width="10.109375" customWidth="1"/>
  </cols>
  <sheetData>
    <row r="1" spans="1:28">
      <c r="C1" s="7"/>
      <c r="D1" s="7"/>
      <c r="E1" s="7"/>
      <c r="F1" s="7"/>
      <c r="G1" s="7"/>
      <c r="H1" s="7"/>
      <c r="I1" s="7"/>
      <c r="J1" s="7"/>
      <c r="K1" s="7"/>
      <c r="L1" s="7"/>
    </row>
    <row r="2" spans="1:28">
      <c r="A2" s="39"/>
      <c r="B2" s="91"/>
      <c r="C2" s="333" t="s">
        <v>108</v>
      </c>
      <c r="D2" s="334"/>
      <c r="E2" s="334"/>
      <c r="F2" s="51"/>
      <c r="G2" s="51"/>
      <c r="H2" s="7"/>
      <c r="I2" s="39"/>
      <c r="J2" s="331" t="s">
        <v>108</v>
      </c>
      <c r="K2" s="332"/>
      <c r="L2" s="332"/>
      <c r="M2" s="7"/>
      <c r="N2" s="7"/>
      <c r="O2" s="7"/>
      <c r="P2" s="7"/>
      <c r="Q2" s="7"/>
      <c r="R2" s="7"/>
      <c r="S2" s="7"/>
      <c r="T2" s="7"/>
      <c r="U2" s="40"/>
      <c r="V2" s="40"/>
      <c r="W2" s="40"/>
      <c r="X2" s="40"/>
      <c r="Y2" s="40"/>
      <c r="Z2" s="40"/>
      <c r="AA2" s="7"/>
      <c r="AB2" s="7"/>
    </row>
    <row r="3" spans="1:28">
      <c r="A3" s="39"/>
      <c r="B3" s="41" t="s">
        <v>145</v>
      </c>
      <c r="C3" s="41" t="s">
        <v>109</v>
      </c>
      <c r="D3" s="41" t="s">
        <v>110</v>
      </c>
      <c r="E3" s="41" t="s">
        <v>111</v>
      </c>
      <c r="F3" s="92" t="s">
        <v>194</v>
      </c>
      <c r="G3" s="47"/>
      <c r="H3" s="7"/>
      <c r="I3" s="39"/>
      <c r="J3" s="41" t="s">
        <v>109</v>
      </c>
      <c r="K3" s="41" t="s">
        <v>110</v>
      </c>
      <c r="L3" s="41" t="s">
        <v>111</v>
      </c>
      <c r="M3" s="7"/>
      <c r="N3" s="7"/>
      <c r="O3" s="42"/>
      <c r="P3" s="42"/>
      <c r="Q3" s="42"/>
      <c r="R3" s="42"/>
      <c r="S3" s="42"/>
      <c r="T3" s="7"/>
      <c r="U3" s="42"/>
      <c r="V3" s="42"/>
      <c r="W3" s="43"/>
      <c r="X3" s="43"/>
      <c r="Y3" s="43"/>
      <c r="Z3" s="43"/>
      <c r="AA3" s="7"/>
      <c r="AB3" s="7"/>
    </row>
    <row r="4" spans="1:28" ht="21.6" customHeight="1">
      <c r="A4" s="41" t="s">
        <v>112</v>
      </c>
      <c r="B4" s="39">
        <f>'Design Calculator'!$AN$46</f>
        <v>300</v>
      </c>
      <c r="C4" s="44">
        <f>'Design Calculator'!$AN$47</f>
        <v>60</v>
      </c>
      <c r="D4" s="44">
        <f>'Design Calculator'!$AN$48</f>
        <v>18</v>
      </c>
      <c r="E4" s="44">
        <f>'Design Calculator'!$AN$49</f>
        <v>6</v>
      </c>
      <c r="F4" s="44">
        <f>'Design Calculator'!F50</f>
        <v>3</v>
      </c>
      <c r="G4" s="53"/>
      <c r="H4" s="45"/>
      <c r="I4" s="41" t="s">
        <v>112</v>
      </c>
      <c r="J4" s="44">
        <f>'Design Calculator'!$AN$46</f>
        <v>300</v>
      </c>
      <c r="K4" s="44">
        <f>'Design Calculator'!$AN$48</f>
        <v>18</v>
      </c>
      <c r="L4" s="44">
        <f>'Design Calculator'!$AN$49</f>
        <v>6</v>
      </c>
      <c r="M4" s="40"/>
      <c r="N4" s="7"/>
      <c r="O4" s="42"/>
      <c r="P4" s="42"/>
      <c r="Q4" s="42"/>
      <c r="R4" s="43"/>
      <c r="S4" s="43"/>
      <c r="T4" s="7"/>
      <c r="U4" s="42"/>
      <c r="V4" s="42"/>
      <c r="W4" s="43"/>
      <c r="X4" s="43"/>
      <c r="Y4" s="43"/>
      <c r="Z4" s="43"/>
      <c r="AA4" s="7"/>
      <c r="AB4" s="7"/>
    </row>
    <row r="5" spans="1:28">
      <c r="A5" s="7"/>
      <c r="C5" s="42"/>
      <c r="D5" s="43"/>
      <c r="E5" s="43"/>
      <c r="F5" s="46"/>
      <c r="G5" s="46"/>
      <c r="H5" s="43"/>
      <c r="J5" s="42"/>
      <c r="K5" s="43"/>
      <c r="L5" s="43"/>
      <c r="M5" s="7"/>
      <c r="N5" s="7"/>
      <c r="O5" s="42"/>
      <c r="P5" s="42"/>
      <c r="Q5" s="42"/>
      <c r="R5" s="43"/>
      <c r="S5" s="43"/>
      <c r="T5" s="335"/>
      <c r="U5" s="335"/>
      <c r="V5" s="335"/>
      <c r="W5" s="43"/>
      <c r="X5" s="336"/>
      <c r="Y5" s="330"/>
      <c r="Z5" s="330"/>
      <c r="AA5" s="7"/>
      <c r="AB5" s="7"/>
    </row>
    <row r="6" spans="1:28">
      <c r="A6" s="7"/>
      <c r="C6" s="42"/>
      <c r="D6" s="43"/>
      <c r="E6" s="43"/>
      <c r="F6" s="46"/>
      <c r="G6" s="46"/>
      <c r="H6" s="43"/>
      <c r="J6" s="42"/>
      <c r="K6" s="43"/>
      <c r="L6" s="43"/>
      <c r="M6" s="7"/>
      <c r="N6" s="7"/>
      <c r="O6" s="42"/>
      <c r="P6" s="42"/>
      <c r="Q6" s="42"/>
      <c r="R6" s="43"/>
      <c r="S6" s="43"/>
      <c r="T6" s="7"/>
      <c r="U6" s="47"/>
      <c r="V6" s="7"/>
      <c r="W6" s="7"/>
      <c r="X6" s="7"/>
      <c r="Y6" s="7"/>
      <c r="Z6" s="7"/>
      <c r="AA6" s="7"/>
      <c r="AB6" s="7"/>
    </row>
    <row r="7" spans="1:28" ht="14.4">
      <c r="A7" s="7"/>
      <c r="B7" s="48" t="s">
        <v>192</v>
      </c>
      <c r="H7" s="43"/>
      <c r="I7" s="48" t="s">
        <v>113</v>
      </c>
      <c r="M7" s="7"/>
      <c r="N7" s="7"/>
      <c r="O7" s="7"/>
      <c r="P7" s="7"/>
      <c r="Q7" s="7"/>
      <c r="R7" s="7"/>
      <c r="S7" s="7"/>
      <c r="T7" s="47"/>
      <c r="U7" s="47"/>
      <c r="V7" s="47"/>
      <c r="W7" s="7"/>
      <c r="X7" s="7"/>
      <c r="Y7" s="7"/>
      <c r="Z7" s="49"/>
      <c r="AA7" s="42"/>
      <c r="AB7" s="7"/>
    </row>
    <row r="8" spans="1:28" ht="14.4">
      <c r="A8" s="7"/>
      <c r="B8" s="18" t="s">
        <v>114</v>
      </c>
      <c r="C8" s="3">
        <f>'Design Calculator'!$F$68</f>
        <v>2.8975609756097565</v>
      </c>
      <c r="D8" s="18" t="s">
        <v>8</v>
      </c>
      <c r="H8" s="43"/>
      <c r="I8" s="18" t="s">
        <v>114</v>
      </c>
      <c r="J8" s="3">
        <f>C8</f>
        <v>2.8975609756097565</v>
      </c>
      <c r="K8" s="18" t="s">
        <v>8</v>
      </c>
      <c r="M8" s="7"/>
      <c r="N8" s="7"/>
      <c r="O8" s="7"/>
      <c r="P8" s="7"/>
      <c r="Q8" s="7"/>
      <c r="R8" s="7"/>
      <c r="S8" s="7"/>
      <c r="T8" s="47"/>
      <c r="U8" s="7"/>
      <c r="V8" s="49"/>
      <c r="W8" s="7"/>
      <c r="X8" s="7"/>
      <c r="Y8" s="7"/>
      <c r="Z8" s="49"/>
      <c r="AA8" s="42"/>
      <c r="AB8" s="7"/>
    </row>
    <row r="9" spans="1:28" ht="14.4">
      <c r="A9" s="7"/>
      <c r="B9" s="18" t="s">
        <v>115</v>
      </c>
      <c r="C9">
        <f>VINMAX</f>
        <v>13</v>
      </c>
      <c r="D9" t="s">
        <v>49</v>
      </c>
      <c r="H9" s="43"/>
      <c r="I9" s="18" t="s">
        <v>115</v>
      </c>
      <c r="J9">
        <f>VINMAX</f>
        <v>13</v>
      </c>
      <c r="K9" t="s">
        <v>49</v>
      </c>
      <c r="M9" s="7"/>
      <c r="N9" s="7"/>
      <c r="O9" s="7"/>
      <c r="P9" s="7"/>
      <c r="Q9" s="7"/>
      <c r="R9" s="7"/>
      <c r="S9" s="7"/>
      <c r="T9" s="47"/>
      <c r="U9" s="7"/>
      <c r="V9" s="49"/>
      <c r="W9" s="7"/>
      <c r="X9" s="7"/>
      <c r="Y9" s="7"/>
      <c r="Z9" s="49"/>
      <c r="AA9" s="7"/>
      <c r="AB9" s="7"/>
    </row>
    <row r="10" spans="1:28" ht="14.4">
      <c r="A10" s="7"/>
      <c r="B10" s="18" t="s">
        <v>116</v>
      </c>
      <c r="C10">
        <f>IF(C8&lt;10, IF(C8&lt;1, 0.1, 1), IF(C8&lt;100, 10, 100))</f>
        <v>1</v>
      </c>
      <c r="D10" s="18" t="s">
        <v>8</v>
      </c>
      <c r="G10">
        <v>1</v>
      </c>
      <c r="H10" s="43">
        <v>10</v>
      </c>
      <c r="I10" s="18" t="s">
        <v>116</v>
      </c>
      <c r="J10">
        <f>IF(J8&lt;10, 1, 10)</f>
        <v>1</v>
      </c>
      <c r="K10" s="18" t="s">
        <v>8</v>
      </c>
      <c r="M10" s="7"/>
      <c r="N10" s="42"/>
      <c r="O10" s="7"/>
      <c r="P10" s="7"/>
      <c r="Q10" s="47"/>
      <c r="R10" s="7"/>
      <c r="S10" s="7"/>
      <c r="T10" s="47"/>
      <c r="U10" s="7"/>
      <c r="V10" s="49"/>
      <c r="W10" s="7"/>
      <c r="X10" s="7"/>
      <c r="Y10" s="7"/>
      <c r="Z10" s="49"/>
      <c r="AA10" s="7"/>
      <c r="AB10" s="7"/>
    </row>
    <row r="11" spans="1:28" ht="14.4">
      <c r="A11" s="7"/>
      <c r="B11" s="18" t="s">
        <v>117</v>
      </c>
      <c r="C11">
        <f>C10*10</f>
        <v>10</v>
      </c>
      <c r="D11" s="18" t="s">
        <v>8</v>
      </c>
      <c r="G11">
        <v>10</v>
      </c>
      <c r="H11" s="43">
        <v>100</v>
      </c>
      <c r="I11" s="18" t="s">
        <v>117</v>
      </c>
      <c r="J11">
        <f>IF(J8&lt; 10, 10, 100)</f>
        <v>10</v>
      </c>
      <c r="K11" s="18" t="s">
        <v>8</v>
      </c>
      <c r="M11" s="7"/>
      <c r="N11" s="7"/>
      <c r="O11" s="42"/>
      <c r="P11" s="7"/>
      <c r="Q11" s="7"/>
      <c r="R11" s="7"/>
      <c r="S11" s="7"/>
      <c r="T11" s="7"/>
      <c r="U11" s="7"/>
      <c r="V11" s="49"/>
      <c r="W11" s="7"/>
      <c r="X11" s="7"/>
      <c r="Y11" s="7"/>
      <c r="Z11" s="7"/>
      <c r="AA11" s="7"/>
      <c r="AB11" s="7"/>
    </row>
    <row r="12" spans="1:28">
      <c r="A12" s="7"/>
      <c r="B12" s="18" t="s">
        <v>118</v>
      </c>
      <c r="C12">
        <f>IF(C10=0.1, B4, IF(C10=1, C4, IF(C10=10, D4, E4)))</f>
        <v>60</v>
      </c>
      <c r="D12" s="18" t="s">
        <v>9</v>
      </c>
      <c r="G12" s="3">
        <f>C4</f>
        <v>60</v>
      </c>
      <c r="H12" s="43">
        <f>D4</f>
        <v>18</v>
      </c>
      <c r="I12" s="18" t="s">
        <v>118</v>
      </c>
      <c r="J12">
        <f>IF(J10=1, J4, K4)</f>
        <v>300</v>
      </c>
      <c r="K12" s="18" t="s">
        <v>9</v>
      </c>
      <c r="M12" s="7"/>
      <c r="N12" s="42"/>
      <c r="O12" s="7"/>
      <c r="P12" s="7"/>
      <c r="Q12" s="7"/>
      <c r="R12" s="7"/>
      <c r="S12" s="7"/>
      <c r="T12" s="7"/>
      <c r="U12" s="7"/>
      <c r="V12" s="7"/>
      <c r="W12" s="7"/>
      <c r="X12" s="7"/>
      <c r="Y12" s="7"/>
      <c r="Z12" s="7"/>
      <c r="AA12" s="7"/>
      <c r="AB12" s="7"/>
    </row>
    <row r="13" spans="1:28">
      <c r="A13" s="7"/>
      <c r="B13" s="18" t="s">
        <v>119</v>
      </c>
      <c r="C13">
        <f>IF(C11=1000, F4, IF(C11=1, C4, IF(C11=10, D4, E4)))</f>
        <v>18</v>
      </c>
      <c r="D13" s="18" t="s">
        <v>9</v>
      </c>
      <c r="G13" s="3">
        <f>D4</f>
        <v>18</v>
      </c>
      <c r="H13" s="43">
        <f>E4</f>
        <v>6</v>
      </c>
      <c r="I13" s="18" t="s">
        <v>119</v>
      </c>
      <c r="J13">
        <f>IF(J11=10, K4, L4)</f>
        <v>18</v>
      </c>
      <c r="K13" s="18" t="s">
        <v>9</v>
      </c>
      <c r="M13" s="7"/>
      <c r="N13" s="42"/>
      <c r="O13" s="7"/>
      <c r="P13" s="7"/>
      <c r="Q13" s="7"/>
      <c r="R13" s="7"/>
      <c r="S13" s="7"/>
      <c r="T13" s="7"/>
      <c r="U13" s="7"/>
      <c r="V13" s="7"/>
      <c r="W13" s="7"/>
      <c r="X13" s="7"/>
      <c r="Y13" s="7"/>
      <c r="Z13" s="7"/>
      <c r="AA13" s="7"/>
      <c r="AB13" s="7"/>
    </row>
    <row r="14" spans="1:28">
      <c r="A14" s="7"/>
      <c r="H14" s="43"/>
      <c r="M14" s="7"/>
      <c r="N14" s="7"/>
      <c r="O14" s="7"/>
      <c r="P14" s="7"/>
      <c r="Q14" s="7"/>
      <c r="R14" s="7"/>
      <c r="S14" s="7"/>
      <c r="T14" s="7"/>
      <c r="U14" s="7"/>
      <c r="V14" s="7"/>
      <c r="W14" s="7"/>
      <c r="X14" s="7"/>
      <c r="Y14" s="7"/>
      <c r="Z14" s="7"/>
      <c r="AA14" s="7"/>
      <c r="AB14" s="7"/>
    </row>
    <row r="15" spans="1:28">
      <c r="A15" s="7"/>
      <c r="B15" s="18" t="s">
        <v>128</v>
      </c>
      <c r="H15" s="43"/>
      <c r="M15" s="7"/>
      <c r="N15" s="7"/>
      <c r="O15" s="7"/>
      <c r="P15" s="7"/>
      <c r="Q15" s="7"/>
      <c r="R15" s="7"/>
      <c r="S15" s="7"/>
      <c r="T15" s="7"/>
      <c r="U15" s="7"/>
      <c r="V15" s="7"/>
      <c r="W15" s="7"/>
      <c r="X15" s="7"/>
      <c r="Y15" s="7"/>
      <c r="Z15" s="7"/>
      <c r="AA15" s="7"/>
      <c r="AB15" s="7"/>
    </row>
    <row r="16" spans="1:28" ht="14.4">
      <c r="A16" s="7"/>
      <c r="E16" s="18" t="s">
        <v>135</v>
      </c>
      <c r="F16" s="18"/>
      <c r="H16" s="43"/>
      <c r="L16" s="18" t="s">
        <v>120</v>
      </c>
      <c r="M16" s="7"/>
      <c r="N16" s="42"/>
      <c r="O16" s="7"/>
      <c r="P16" s="7"/>
      <c r="Q16" s="50"/>
      <c r="R16" s="7"/>
      <c r="S16" s="7"/>
      <c r="T16" s="7"/>
      <c r="U16" s="7"/>
      <c r="V16" s="7"/>
      <c r="W16" s="7"/>
      <c r="X16" s="7"/>
      <c r="Y16" s="7"/>
      <c r="Z16" s="7"/>
      <c r="AA16" s="7"/>
      <c r="AB16" s="7"/>
    </row>
    <row r="17" spans="1:28">
      <c r="A17" s="7"/>
      <c r="B17" s="18" t="s">
        <v>121</v>
      </c>
      <c r="C17">
        <f>C12/C10^C18</f>
        <v>60</v>
      </c>
      <c r="E17" s="18" t="s">
        <v>133</v>
      </c>
      <c r="F17" s="18"/>
      <c r="G17">
        <f>G12/G10^G18</f>
        <v>60</v>
      </c>
      <c r="H17">
        <f>H12/H10^H18</f>
        <v>54.000000000000014</v>
      </c>
      <c r="I17" s="18" t="s">
        <v>121</v>
      </c>
      <c r="J17">
        <f>J12/J10^J18</f>
        <v>300</v>
      </c>
      <c r="L17" s="18" t="s">
        <v>122</v>
      </c>
      <c r="M17" s="7"/>
      <c r="N17" s="7"/>
      <c r="O17" s="337"/>
      <c r="P17" s="337"/>
      <c r="Q17" s="337"/>
      <c r="R17" s="7"/>
      <c r="S17" s="7"/>
      <c r="T17" s="7"/>
      <c r="U17" s="7"/>
      <c r="V17" s="7"/>
      <c r="W17" s="7"/>
      <c r="X17" s="7"/>
      <c r="Y17" s="7"/>
      <c r="Z17" s="7"/>
      <c r="AA17" s="7"/>
      <c r="AB17" s="7"/>
    </row>
    <row r="18" spans="1:28">
      <c r="A18" s="7"/>
      <c r="B18" s="18" t="s">
        <v>123</v>
      </c>
      <c r="C18">
        <f>LOG(C12/C13)/LOG(C10/C11)</f>
        <v>-0.52287874528033762</v>
      </c>
      <c r="E18" s="18" t="s">
        <v>134</v>
      </c>
      <c r="F18" s="18"/>
      <c r="G18">
        <f>LOG(G12/G13)/LOG(G10/G11)</f>
        <v>-0.52287874528033762</v>
      </c>
      <c r="H18">
        <f>LOG(H12/H13)/LOG(H10/H11)</f>
        <v>-0.47712125471966244</v>
      </c>
      <c r="I18" s="18" t="s">
        <v>123</v>
      </c>
      <c r="J18">
        <f>LOG(J12/J13)/LOG(J10/J11)</f>
        <v>-1.2218487496163564</v>
      </c>
      <c r="L18" s="18" t="s">
        <v>124</v>
      </c>
      <c r="M18" s="7"/>
      <c r="N18" s="7"/>
      <c r="O18" s="7"/>
      <c r="P18" s="7"/>
      <c r="Q18" s="7"/>
      <c r="R18" s="7"/>
      <c r="S18" s="337"/>
      <c r="T18" s="337"/>
      <c r="U18" s="337"/>
      <c r="V18" s="337"/>
      <c r="W18" s="7"/>
      <c r="X18" s="7"/>
      <c r="Y18" s="7"/>
      <c r="Z18" s="7"/>
      <c r="AA18" s="7"/>
      <c r="AB18" s="7"/>
    </row>
    <row r="19" spans="1:28">
      <c r="A19" s="7"/>
      <c r="B19" s="18" t="s">
        <v>125</v>
      </c>
      <c r="C19">
        <f>C17*C8^C18</f>
        <v>34.400458626749511</v>
      </c>
      <c r="D19" s="18" t="s">
        <v>9</v>
      </c>
      <c r="I19" s="18" t="s">
        <v>125</v>
      </c>
      <c r="J19">
        <f>J17*J8^J18</f>
        <v>81.768742662971349</v>
      </c>
      <c r="K19" s="18" t="s">
        <v>9</v>
      </c>
      <c r="M19" s="7"/>
      <c r="N19" s="7"/>
      <c r="O19" s="7"/>
      <c r="P19" s="43"/>
      <c r="Q19" s="43"/>
      <c r="R19" s="7"/>
      <c r="S19" s="7"/>
      <c r="T19" s="7"/>
      <c r="U19" s="7"/>
      <c r="V19" s="7"/>
      <c r="W19" s="7"/>
      <c r="X19" s="7"/>
      <c r="Y19" s="7"/>
      <c r="Z19" s="7"/>
      <c r="AA19" s="7"/>
      <c r="AB19" s="7"/>
    </row>
    <row r="20" spans="1:28">
      <c r="A20" s="7"/>
      <c r="H20" s="43"/>
      <c r="M20" s="7"/>
      <c r="N20" s="47"/>
      <c r="O20" s="42"/>
      <c r="P20" s="7"/>
      <c r="Q20" s="7"/>
      <c r="R20" s="7"/>
      <c r="S20" s="47"/>
      <c r="T20" s="7"/>
      <c r="U20" s="7"/>
      <c r="V20" s="7"/>
      <c r="W20" s="7"/>
      <c r="X20" s="7"/>
      <c r="Y20" s="7"/>
      <c r="Z20" s="7"/>
      <c r="AA20" s="7"/>
      <c r="AB20" s="7"/>
    </row>
    <row r="21" spans="1:28">
      <c r="A21" s="7"/>
      <c r="B21" s="19" t="s">
        <v>130</v>
      </c>
      <c r="C21">
        <f xml:space="preserve"> C19*C9</f>
        <v>447.20596214774366</v>
      </c>
      <c r="D21" s="18"/>
      <c r="H21" s="43"/>
      <c r="I21" s="18" t="s">
        <v>126</v>
      </c>
      <c r="J21">
        <f>IF(J8&lt;1, J12, J19)*J9</f>
        <v>1062.9936546186275</v>
      </c>
      <c r="K21" s="18" t="s">
        <v>127</v>
      </c>
      <c r="M21" s="7"/>
      <c r="N21" s="7"/>
      <c r="O21" s="7"/>
      <c r="P21" s="7"/>
      <c r="Q21" s="7"/>
      <c r="R21" s="7"/>
      <c r="S21" s="7"/>
      <c r="T21" s="42"/>
      <c r="U21" s="7"/>
      <c r="V21" s="7"/>
      <c r="W21" s="7"/>
      <c r="X21" s="7"/>
      <c r="Y21" s="7"/>
      <c r="Z21" s="7"/>
      <c r="AA21" s="7"/>
      <c r="AB21" s="7"/>
    </row>
    <row r="22" spans="1:28">
      <c r="A22" s="7"/>
      <c r="H22" s="43"/>
      <c r="M22" s="7"/>
      <c r="N22" s="7"/>
      <c r="O22" s="7"/>
      <c r="P22" s="7"/>
      <c r="Q22" s="7"/>
      <c r="R22" s="7"/>
      <c r="S22" s="7"/>
      <c r="T22" s="7"/>
      <c r="U22" s="7"/>
      <c r="V22" s="7"/>
      <c r="W22" s="7"/>
      <c r="X22" s="7"/>
      <c r="Y22" s="7"/>
      <c r="Z22" s="7"/>
      <c r="AA22" s="7"/>
      <c r="AB22" s="7"/>
    </row>
    <row r="23" spans="1:28">
      <c r="A23" s="7"/>
      <c r="B23" s="18" t="s">
        <v>381</v>
      </c>
      <c r="C23">
        <f>IF('Design Calculator'!F20="'42 - ILO", TAMB,TJ)</f>
        <v>72.935999999999993</v>
      </c>
      <c r="H23" s="43"/>
      <c r="I23" s="18" t="s">
        <v>128</v>
      </c>
      <c r="M23" s="7"/>
      <c r="N23" s="7"/>
      <c r="O23" s="7"/>
      <c r="P23" s="7"/>
      <c r="Q23" s="7"/>
      <c r="R23" s="7"/>
      <c r="S23" s="7"/>
      <c r="T23" s="7"/>
      <c r="U23" s="7"/>
      <c r="V23" s="7"/>
      <c r="W23" s="7"/>
      <c r="X23" s="7"/>
      <c r="Y23" s="7"/>
      <c r="Z23" s="7"/>
      <c r="AA23" s="7"/>
      <c r="AB23" s="7"/>
    </row>
    <row r="24" spans="1:28">
      <c r="A24" s="7"/>
      <c r="B24" s="56" t="s">
        <v>136</v>
      </c>
      <c r="C24">
        <f>(TJMAX-C23)/(TJMAX-25)</f>
        <v>0.61651200000000006</v>
      </c>
      <c r="D24" s="43"/>
      <c r="E24" s="43"/>
      <c r="F24" s="46"/>
      <c r="G24" s="46"/>
      <c r="H24" s="43"/>
      <c r="I24" s="42"/>
      <c r="J24" s="42"/>
      <c r="K24" s="43"/>
      <c r="L24" s="43"/>
      <c r="M24" s="7"/>
      <c r="N24" s="7"/>
      <c r="O24" s="7"/>
      <c r="P24" s="7"/>
      <c r="Q24" s="7"/>
      <c r="R24" s="7"/>
      <c r="S24" s="7"/>
      <c r="T24" s="7"/>
      <c r="U24" s="42"/>
      <c r="V24" s="7"/>
      <c r="W24" s="7"/>
      <c r="X24" s="7"/>
      <c r="Y24" s="7"/>
      <c r="Z24" s="7"/>
      <c r="AA24" s="7"/>
      <c r="AB24" s="7"/>
    </row>
    <row r="25" spans="1:28" ht="14.4">
      <c r="A25" s="7"/>
      <c r="B25" s="54" t="s">
        <v>131</v>
      </c>
      <c r="C25">
        <f>IF((C21*C24)&lt;0,0.000000001,C21*C24)</f>
        <v>275.70784213562979</v>
      </c>
      <c r="D25" s="55" t="s">
        <v>50</v>
      </c>
      <c r="E25" s="43"/>
      <c r="F25" s="46"/>
      <c r="G25" s="46"/>
      <c r="H25" s="43"/>
      <c r="I25" s="42"/>
      <c r="J25">
        <f>J21*(TJMAX-TJ)/(TJMAX-25)</f>
        <v>655.34834399623935</v>
      </c>
      <c r="K25" s="43"/>
      <c r="L25" s="43"/>
      <c r="M25" s="7"/>
      <c r="N25" s="7"/>
      <c r="O25" s="329"/>
      <c r="P25" s="330"/>
      <c r="Q25" s="330"/>
      <c r="R25" s="7"/>
      <c r="S25" s="7"/>
      <c r="T25" s="7"/>
      <c r="U25" s="42"/>
      <c r="V25" s="7"/>
      <c r="W25" s="7"/>
      <c r="X25" s="7"/>
      <c r="Y25" s="7"/>
      <c r="Z25" s="7"/>
      <c r="AA25" s="7"/>
      <c r="AB25" s="7"/>
    </row>
    <row r="26" spans="1:28">
      <c r="A26" s="7"/>
      <c r="B26" s="42"/>
      <c r="C26" s="42"/>
      <c r="D26" s="43"/>
      <c r="E26" s="43"/>
      <c r="F26" s="46"/>
      <c r="G26" s="46"/>
      <c r="H26" s="43"/>
      <c r="I26" s="43"/>
      <c r="J26" s="43"/>
      <c r="K26" s="43"/>
      <c r="L26" s="43"/>
      <c r="M26" s="7"/>
      <c r="N26" s="52"/>
      <c r="O26" s="7"/>
      <c r="P26" s="7"/>
      <c r="Q26" s="7"/>
      <c r="R26" s="7"/>
      <c r="S26" s="7"/>
      <c r="T26" s="7"/>
      <c r="U26" s="7"/>
      <c r="V26" s="7"/>
      <c r="W26" s="7"/>
      <c r="X26" s="7"/>
      <c r="Y26" s="7"/>
      <c r="Z26" s="7"/>
      <c r="AA26" s="7"/>
      <c r="AB26" s="7"/>
    </row>
    <row r="27" spans="1:28">
      <c r="A27" s="7"/>
      <c r="B27" s="42"/>
      <c r="D27" s="43"/>
      <c r="E27" s="43"/>
      <c r="F27" s="46"/>
      <c r="G27" s="46"/>
      <c r="H27" s="43"/>
      <c r="I27" s="43"/>
      <c r="J27" s="43" t="e">
        <f>'Design Calculator'!#REF!-SOA!J25</f>
        <v>#REF!</v>
      </c>
      <c r="K27" s="43"/>
      <c r="L27" s="43"/>
      <c r="M27" s="7"/>
      <c r="N27" s="7"/>
      <c r="O27" s="53"/>
      <c r="P27" s="53"/>
      <c r="Q27" s="53"/>
      <c r="R27" s="7"/>
      <c r="S27" s="7"/>
      <c r="T27" s="7"/>
      <c r="U27" s="7"/>
      <c r="V27" s="7"/>
      <c r="W27" s="7"/>
      <c r="X27" s="7"/>
      <c r="Y27" s="7"/>
      <c r="Z27" s="7"/>
      <c r="AA27" s="7"/>
      <c r="AB27" s="7"/>
    </row>
    <row r="28" spans="1:28">
      <c r="A28" s="7"/>
      <c r="B28" s="42"/>
      <c r="D28" s="43"/>
      <c r="E28" s="43"/>
      <c r="F28" s="46"/>
      <c r="G28" s="46"/>
      <c r="H28" s="43"/>
      <c r="I28" s="43"/>
      <c r="J28" s="43"/>
      <c r="K28" s="43"/>
      <c r="L28" s="43"/>
      <c r="M28" s="7"/>
      <c r="N28" s="7"/>
      <c r="O28" s="53"/>
      <c r="P28" s="53"/>
      <c r="Q28" s="53"/>
      <c r="R28" s="7"/>
      <c r="S28" s="7"/>
      <c r="T28" s="7"/>
      <c r="U28" s="7"/>
      <c r="V28" s="7"/>
      <c r="W28" s="7"/>
      <c r="X28" s="7"/>
      <c r="Y28" s="7"/>
      <c r="Z28" s="7"/>
      <c r="AA28" s="7"/>
      <c r="AB28" s="7"/>
    </row>
    <row r="29" spans="1:28">
      <c r="A29" s="7"/>
      <c r="B29" s="42"/>
      <c r="D29" s="43">
        <f>100*5.4^-0.82</f>
        <v>25.086329192141811</v>
      </c>
      <c r="E29" s="43"/>
      <c r="F29" s="46"/>
      <c r="G29" s="46"/>
      <c r="H29" s="43"/>
      <c r="I29" s="43"/>
      <c r="J29" s="43"/>
      <c r="K29" s="43"/>
      <c r="L29" s="43"/>
      <c r="M29" s="7"/>
      <c r="N29" s="7"/>
      <c r="O29" s="53"/>
      <c r="P29" s="53"/>
      <c r="Q29" s="53"/>
      <c r="R29" s="7"/>
      <c r="S29" s="7"/>
      <c r="T29" s="7"/>
      <c r="U29" s="7"/>
      <c r="V29" s="7"/>
      <c r="W29" s="7"/>
      <c r="X29" s="7"/>
      <c r="Y29" s="7"/>
      <c r="Z29" s="7"/>
      <c r="AA29" s="7"/>
      <c r="AB29" s="7"/>
    </row>
    <row r="30" spans="1:28">
      <c r="A30" s="7"/>
      <c r="B30" s="81"/>
      <c r="C30" s="79"/>
      <c r="D30" s="43"/>
      <c r="E30" s="43"/>
      <c r="F30" s="7"/>
      <c r="G30" s="81"/>
      <c r="H30" s="79"/>
      <c r="I30" s="78"/>
      <c r="J30" s="43"/>
      <c r="K30" s="43"/>
      <c r="L30" s="43"/>
      <c r="M30" s="7"/>
      <c r="N30" s="7"/>
      <c r="O30" s="53"/>
      <c r="P30" s="53"/>
      <c r="Q30" s="53"/>
      <c r="R30" s="7"/>
      <c r="S30" s="7"/>
      <c r="T30" s="7"/>
      <c r="U30" s="7"/>
      <c r="V30" s="7"/>
      <c r="W30" s="7"/>
      <c r="X30" s="7"/>
      <c r="Y30" s="7"/>
      <c r="Z30" s="7"/>
      <c r="AA30" s="7"/>
      <c r="AB30" s="7"/>
    </row>
    <row r="31" spans="1:28">
      <c r="A31" s="7"/>
      <c r="B31" s="54"/>
      <c r="C31" s="56"/>
      <c r="D31" s="43">
        <f>25.1*(150-90.1)/(150-25)</f>
        <v>12.027920000000002</v>
      </c>
      <c r="E31" s="43"/>
      <c r="F31" s="7"/>
      <c r="G31" s="54"/>
      <c r="H31" s="56"/>
      <c r="I31" s="78"/>
      <c r="J31" s="43"/>
      <c r="K31" s="43"/>
      <c r="L31" s="43"/>
      <c r="M31" s="7"/>
      <c r="N31" s="7"/>
      <c r="O31" s="7"/>
      <c r="P31" s="7"/>
      <c r="Q31" s="7"/>
      <c r="R31" s="7"/>
      <c r="S31" s="7"/>
      <c r="T31" s="7"/>
      <c r="U31" s="7"/>
      <c r="V31" s="7"/>
      <c r="W31" s="7"/>
      <c r="X31" s="7"/>
      <c r="Y31" s="7"/>
      <c r="Z31" s="7"/>
      <c r="AA31" s="7"/>
      <c r="AB31" s="7"/>
    </row>
    <row r="32" spans="1:28">
      <c r="A32" s="7"/>
      <c r="B32" s="18"/>
      <c r="D32" s="43"/>
      <c r="E32" s="43"/>
      <c r="F32" s="7"/>
      <c r="G32" s="18"/>
      <c r="I32" s="78"/>
      <c r="J32" s="43"/>
      <c r="K32" s="43"/>
      <c r="L32" s="43"/>
      <c r="M32" s="7"/>
      <c r="N32" s="7"/>
      <c r="O32" s="7"/>
      <c r="P32" s="7"/>
      <c r="Q32" s="7"/>
      <c r="R32" s="7"/>
      <c r="S32" s="7"/>
      <c r="T32" s="7"/>
      <c r="U32" s="7"/>
      <c r="V32" s="7"/>
      <c r="W32" s="7"/>
      <c r="X32" s="7"/>
      <c r="Y32" s="7"/>
      <c r="Z32" s="7"/>
      <c r="AA32" s="7"/>
      <c r="AB32" s="7"/>
    </row>
    <row r="33" spans="1:28">
      <c r="A33" s="7"/>
      <c r="B33" s="18"/>
      <c r="D33" s="43"/>
      <c r="E33" s="43"/>
      <c r="F33" s="7"/>
      <c r="G33" s="18"/>
      <c r="I33" s="78"/>
      <c r="J33" s="43"/>
      <c r="K33" s="43"/>
      <c r="L33" s="43"/>
      <c r="M33" s="7"/>
      <c r="N33" s="7"/>
      <c r="O33" s="7"/>
      <c r="P33" s="7"/>
      <c r="Q33" s="7"/>
      <c r="R33" s="7"/>
      <c r="S33" s="7"/>
      <c r="T33" s="7"/>
      <c r="U33" s="7"/>
      <c r="V33" s="7"/>
      <c r="W33" s="7"/>
      <c r="X33" s="7"/>
      <c r="Y33" s="7"/>
      <c r="Z33" s="7"/>
      <c r="AA33" s="7"/>
      <c r="AB33" s="7"/>
    </row>
    <row r="34" spans="1:28">
      <c r="A34" s="7"/>
      <c r="B34" s="18"/>
      <c r="D34" s="43"/>
      <c r="E34" s="43"/>
      <c r="F34" s="100"/>
      <c r="H34" s="99"/>
      <c r="I34" s="99"/>
      <c r="J34" s="99"/>
      <c r="K34" s="43"/>
      <c r="L34" s="43"/>
      <c r="M34" s="7"/>
      <c r="N34" s="7"/>
      <c r="O34" s="7"/>
      <c r="P34" s="7"/>
      <c r="Q34" s="7"/>
      <c r="R34" s="7"/>
      <c r="S34" s="7"/>
      <c r="T34" s="7"/>
      <c r="U34" s="7"/>
      <c r="V34" s="7"/>
      <c r="W34" s="7"/>
      <c r="X34" s="7"/>
      <c r="Y34" s="7"/>
      <c r="Z34" s="7"/>
      <c r="AA34" s="7"/>
      <c r="AB34" s="7"/>
    </row>
    <row r="35" spans="1:28">
      <c r="A35" s="7"/>
      <c r="B35" s="18"/>
      <c r="D35" s="43"/>
      <c r="E35" s="43"/>
      <c r="F35" s="56" t="s">
        <v>233</v>
      </c>
      <c r="H35" s="99"/>
      <c r="I35" s="99"/>
      <c r="J35" s="99"/>
      <c r="K35" s="43"/>
      <c r="L35" s="43"/>
      <c r="M35" s="7"/>
      <c r="N35" s="7"/>
      <c r="O35" s="7"/>
      <c r="P35" s="7"/>
      <c r="Q35" s="7"/>
      <c r="R35" s="7"/>
      <c r="S35" s="7"/>
      <c r="T35" s="7"/>
      <c r="U35" s="7"/>
      <c r="V35" s="7"/>
      <c r="W35" s="7"/>
      <c r="X35" s="7"/>
      <c r="Y35" s="7"/>
      <c r="Z35" s="7"/>
      <c r="AA35" s="7"/>
      <c r="AB35" s="7"/>
    </row>
    <row r="36" spans="1:28">
      <c r="A36" s="7"/>
      <c r="B36" s="18"/>
      <c r="D36" s="43"/>
      <c r="E36" s="43"/>
      <c r="G36" s="48" t="s">
        <v>234</v>
      </c>
      <c r="H36" s="101" t="s">
        <v>235</v>
      </c>
      <c r="I36" s="101" t="s">
        <v>236</v>
      </c>
      <c r="J36" s="101" t="s">
        <v>237</v>
      </c>
      <c r="K36" s="43"/>
      <c r="L36" s="43"/>
      <c r="M36" s="7"/>
      <c r="N36" s="7"/>
      <c r="O36" s="7"/>
      <c r="P36" s="7"/>
      <c r="Q36" s="7"/>
      <c r="R36" s="7"/>
      <c r="S36" s="7"/>
      <c r="T36" s="7"/>
      <c r="U36" s="7"/>
      <c r="V36" s="7"/>
      <c r="W36" s="7"/>
      <c r="X36" s="7"/>
      <c r="Y36" s="7"/>
      <c r="Z36" s="7"/>
      <c r="AA36" s="7"/>
      <c r="AB36" s="7"/>
    </row>
    <row r="37" spans="1:28">
      <c r="A37" s="7"/>
      <c r="B37" s="18"/>
      <c r="D37" s="43"/>
      <c r="E37" s="43"/>
      <c r="F37" s="56" t="s">
        <v>238</v>
      </c>
      <c r="G37" s="97">
        <v>0.1</v>
      </c>
      <c r="H37" s="98">
        <v>1</v>
      </c>
      <c r="I37" s="99">
        <v>10</v>
      </c>
      <c r="J37" s="100">
        <v>100</v>
      </c>
      <c r="K37" s="43"/>
      <c r="L37" s="43"/>
      <c r="M37" s="7"/>
      <c r="N37" s="7"/>
      <c r="O37" s="7"/>
      <c r="P37" s="7"/>
      <c r="Q37" s="7"/>
      <c r="R37" s="7"/>
      <c r="S37" s="7"/>
      <c r="T37" s="7"/>
      <c r="U37" s="7"/>
      <c r="V37" s="7"/>
      <c r="W37" s="7"/>
      <c r="X37" s="7"/>
      <c r="Y37" s="7"/>
      <c r="Z37" s="7"/>
      <c r="AA37" s="7"/>
      <c r="AB37" s="7"/>
    </row>
    <row r="38" spans="1:28">
      <c r="A38" s="7"/>
      <c r="D38" s="43"/>
      <c r="E38" s="43"/>
      <c r="F38" s="97" t="s">
        <v>239</v>
      </c>
      <c r="G38" s="98">
        <v>1</v>
      </c>
      <c r="H38" s="98">
        <v>10</v>
      </c>
      <c r="I38" s="99">
        <v>100</v>
      </c>
      <c r="J38" s="100">
        <v>1000</v>
      </c>
      <c r="K38" s="43"/>
      <c r="L38" s="43"/>
      <c r="M38" s="7"/>
      <c r="N38" s="7"/>
      <c r="O38" s="7"/>
      <c r="P38" s="7"/>
      <c r="Q38" s="7"/>
      <c r="R38" s="7"/>
      <c r="S38" s="7"/>
      <c r="T38" s="7"/>
      <c r="U38" s="7"/>
      <c r="V38" s="7"/>
      <c r="W38" s="7"/>
      <c r="X38" s="7"/>
      <c r="Y38" s="7"/>
      <c r="Z38" s="7"/>
      <c r="AA38" s="7"/>
      <c r="AB38" s="7"/>
    </row>
    <row r="39" spans="1:28">
      <c r="A39" s="7"/>
      <c r="B39" s="18"/>
      <c r="D39" s="43"/>
      <c r="E39" s="43"/>
      <c r="F39" s="97" t="s">
        <v>121</v>
      </c>
      <c r="G39" s="98">
        <f>B4/(G37^G40)</f>
        <v>60</v>
      </c>
      <c r="H39" s="98">
        <f>C4/(H37^H40)</f>
        <v>60</v>
      </c>
      <c r="I39" s="98">
        <f>E4/(I37^I40)</f>
        <v>18.000000000000004</v>
      </c>
      <c r="J39" s="98">
        <f>E4/(J37^J40)</f>
        <v>24.000000000000007</v>
      </c>
      <c r="K39" s="43"/>
      <c r="L39" s="43"/>
      <c r="M39" s="7"/>
      <c r="N39" s="7"/>
      <c r="O39" s="7"/>
      <c r="P39" s="7"/>
      <c r="Q39" s="7"/>
      <c r="R39" s="7"/>
      <c r="S39" s="7"/>
      <c r="T39" s="7"/>
      <c r="U39" s="7"/>
      <c r="V39" s="7"/>
      <c r="W39" s="7"/>
      <c r="X39" s="7"/>
      <c r="Y39" s="7"/>
      <c r="Z39" s="7"/>
      <c r="AA39" s="7"/>
      <c r="AB39" s="7"/>
    </row>
    <row r="40" spans="1:28">
      <c r="A40" s="7"/>
      <c r="D40" s="43"/>
      <c r="E40" s="43"/>
      <c r="F40" s="97" t="s">
        <v>123</v>
      </c>
      <c r="G40" s="13">
        <f>LOG(B4/C4)/LOG(G37/G38)</f>
        <v>-0.69897000433601886</v>
      </c>
      <c r="H40" s="13">
        <f>LOG(C4/D4)/LOG(H37/H38)</f>
        <v>-0.52287874528033762</v>
      </c>
      <c r="I40" s="13">
        <f>LOG(D4/E4)/LOG(I37/I38)</f>
        <v>-0.47712125471966244</v>
      </c>
      <c r="J40" s="13">
        <f>LOG(E4/F4)/LOG(J37/J38)</f>
        <v>-0.3010299956639812</v>
      </c>
      <c r="K40" s="43"/>
      <c r="L40" s="43"/>
      <c r="M40" s="7"/>
      <c r="N40" s="7"/>
      <c r="O40" s="7"/>
      <c r="P40" s="7"/>
      <c r="Q40" s="7"/>
      <c r="R40" s="7"/>
      <c r="S40" s="7"/>
      <c r="T40" s="7"/>
      <c r="U40" s="7"/>
      <c r="V40" s="7"/>
      <c r="W40" s="7"/>
      <c r="X40" s="7"/>
      <c r="Y40" s="7"/>
      <c r="Z40" s="7"/>
      <c r="AA40" s="7"/>
      <c r="AB40" s="7"/>
    </row>
    <row r="41" spans="1:28">
      <c r="A41" s="7"/>
      <c r="B41" s="18"/>
      <c r="D41" s="43"/>
      <c r="E41" s="43"/>
      <c r="F41" s="7"/>
      <c r="G41" s="18"/>
      <c r="I41" s="78"/>
      <c r="J41" s="43"/>
      <c r="K41" s="43"/>
      <c r="L41" s="43"/>
      <c r="M41" s="7"/>
      <c r="N41" s="7"/>
      <c r="O41" s="7"/>
      <c r="P41" s="7"/>
      <c r="Q41" s="7"/>
      <c r="R41" s="7"/>
      <c r="S41" s="7"/>
      <c r="T41" s="7"/>
      <c r="U41" s="7"/>
      <c r="V41" s="7"/>
      <c r="W41" s="7"/>
      <c r="X41" s="7"/>
      <c r="Y41" s="7"/>
      <c r="Z41" s="7"/>
      <c r="AA41" s="7"/>
      <c r="AB41" s="7"/>
    </row>
    <row r="42" spans="1:28">
      <c r="A42" s="7"/>
      <c r="B42" s="18"/>
      <c r="D42" s="43"/>
      <c r="E42" s="43"/>
      <c r="F42" s="7"/>
      <c r="G42" s="18"/>
      <c r="I42" s="78"/>
      <c r="J42" s="43"/>
      <c r="K42" s="43"/>
      <c r="L42" s="43"/>
      <c r="M42" s="7"/>
      <c r="N42" s="7"/>
      <c r="O42" s="7"/>
      <c r="P42" s="7"/>
      <c r="Q42" s="7"/>
      <c r="R42" s="7"/>
      <c r="S42" s="7"/>
      <c r="T42" s="7"/>
      <c r="U42" s="7"/>
      <c r="V42" s="7"/>
      <c r="W42" s="7"/>
      <c r="X42" s="7"/>
      <c r="Y42" s="7"/>
      <c r="Z42" s="7"/>
      <c r="AA42" s="7"/>
      <c r="AB42" s="7"/>
    </row>
    <row r="43" spans="1:28">
      <c r="A43" s="7"/>
      <c r="B43" s="18"/>
      <c r="D43" s="43"/>
      <c r="E43" s="43"/>
      <c r="F43" s="7"/>
      <c r="G43" s="18"/>
      <c r="I43" s="78"/>
      <c r="J43" s="43"/>
      <c r="K43" s="43"/>
      <c r="L43" s="43"/>
      <c r="M43" s="7"/>
      <c r="N43" s="7"/>
      <c r="O43" s="7"/>
      <c r="P43" s="7"/>
      <c r="Q43" s="7"/>
      <c r="R43" s="7"/>
      <c r="S43" s="7"/>
      <c r="T43" s="7"/>
      <c r="U43" s="7"/>
      <c r="V43" s="7"/>
      <c r="W43" s="7"/>
      <c r="X43" s="7"/>
      <c r="Y43" s="7"/>
      <c r="Z43" s="7"/>
      <c r="AA43" s="7"/>
      <c r="AB43" s="7"/>
    </row>
    <row r="44" spans="1:28">
      <c r="A44" s="7"/>
      <c r="D44" s="43"/>
      <c r="E44" s="43"/>
      <c r="F44" s="7"/>
      <c r="I44" s="78"/>
      <c r="J44" s="43"/>
      <c r="K44" s="43"/>
      <c r="L44" s="43"/>
      <c r="M44" s="7"/>
      <c r="N44" s="7"/>
      <c r="O44" s="7"/>
      <c r="P44" s="7"/>
      <c r="Q44" s="7"/>
      <c r="R44" s="7"/>
      <c r="S44" s="7"/>
      <c r="T44" s="7"/>
      <c r="U44" s="7"/>
      <c r="V44" s="7"/>
      <c r="W44" s="7"/>
      <c r="X44" s="7"/>
      <c r="Y44" s="7"/>
      <c r="Z44" s="7"/>
      <c r="AA44" s="7"/>
      <c r="AB44" s="7"/>
    </row>
    <row r="45" spans="1:28">
      <c r="A45" s="7"/>
      <c r="B45" s="19"/>
      <c r="D45" s="43"/>
      <c r="E45" s="43"/>
      <c r="F45" s="7"/>
      <c r="G45" s="19"/>
      <c r="I45" s="78"/>
      <c r="J45" s="43"/>
      <c r="K45" s="43"/>
      <c r="L45" s="43"/>
      <c r="M45" s="7"/>
      <c r="N45" s="7"/>
      <c r="O45" s="7"/>
      <c r="P45" s="7"/>
      <c r="Q45" s="7"/>
      <c r="R45" s="7"/>
      <c r="S45" s="7"/>
      <c r="T45" s="7"/>
      <c r="U45" s="7"/>
      <c r="V45" s="7"/>
      <c r="W45" s="7"/>
      <c r="X45" s="7"/>
      <c r="Y45" s="7"/>
      <c r="Z45" s="7"/>
      <c r="AA45" s="7"/>
      <c r="AB45" s="7"/>
    </row>
    <row r="46" spans="1:28">
      <c r="A46" s="7"/>
      <c r="D46" s="43"/>
      <c r="E46" s="43"/>
      <c r="F46" s="7"/>
      <c r="I46" s="78"/>
      <c r="J46" s="43"/>
      <c r="K46" s="43"/>
      <c r="L46" s="43"/>
      <c r="M46" s="7"/>
      <c r="N46" s="7"/>
      <c r="O46" s="7"/>
      <c r="P46" s="7"/>
      <c r="Q46" s="7"/>
      <c r="R46" s="7"/>
      <c r="S46" s="7"/>
      <c r="T46" s="7"/>
      <c r="U46" s="7"/>
      <c r="V46" s="7"/>
      <c r="W46" s="7"/>
      <c r="X46" s="7"/>
      <c r="Y46" s="7"/>
      <c r="Z46" s="7"/>
      <c r="AA46" s="7"/>
      <c r="AB46" s="7"/>
    </row>
    <row r="47" spans="1:28">
      <c r="A47" s="7"/>
      <c r="B47" s="18"/>
      <c r="D47" s="43"/>
      <c r="E47" s="43"/>
      <c r="F47" s="7"/>
      <c r="I47" s="78"/>
      <c r="J47" s="43"/>
      <c r="K47" s="43"/>
      <c r="L47" s="43"/>
      <c r="M47" s="7"/>
      <c r="N47" s="7"/>
      <c r="O47" s="7"/>
      <c r="P47" s="7"/>
      <c r="Q47" s="7"/>
      <c r="R47" s="7"/>
      <c r="S47" s="7"/>
      <c r="T47" s="7"/>
      <c r="U47" s="7"/>
      <c r="V47" s="7"/>
      <c r="W47" s="7"/>
      <c r="X47" s="7"/>
      <c r="Y47" s="7"/>
      <c r="Z47" s="7"/>
      <c r="AA47" s="7"/>
      <c r="AB47" s="7"/>
    </row>
    <row r="48" spans="1:28">
      <c r="A48" s="7"/>
      <c r="B48" s="18"/>
      <c r="D48" s="43"/>
      <c r="E48" s="43"/>
      <c r="F48" s="7"/>
      <c r="G48" s="56"/>
      <c r="I48" s="78"/>
      <c r="J48" s="43"/>
      <c r="K48" s="43"/>
      <c r="L48" s="43"/>
      <c r="M48" s="7"/>
      <c r="N48" s="7"/>
      <c r="O48" s="7"/>
      <c r="P48" s="7"/>
      <c r="Q48" s="7"/>
      <c r="R48" s="7"/>
      <c r="S48" s="7"/>
      <c r="T48" s="7"/>
      <c r="U48" s="7"/>
      <c r="V48" s="7"/>
      <c r="W48" s="7"/>
      <c r="X48" s="7"/>
      <c r="Y48" s="7"/>
      <c r="Z48" s="7"/>
      <c r="AA48" s="7"/>
      <c r="AB48" s="7"/>
    </row>
    <row r="49" spans="1:28">
      <c r="A49" s="7"/>
      <c r="D49" s="43"/>
      <c r="E49" s="43"/>
      <c r="F49" s="7"/>
      <c r="G49" s="54"/>
      <c r="I49" s="78"/>
      <c r="J49" s="43"/>
      <c r="K49" s="43"/>
      <c r="L49" s="43"/>
      <c r="M49" s="7"/>
      <c r="N49" s="7"/>
      <c r="O49" s="7"/>
      <c r="P49" s="7"/>
      <c r="Q49" s="7"/>
      <c r="R49" s="7"/>
      <c r="S49" s="7"/>
      <c r="T49" s="7"/>
      <c r="U49" s="7"/>
      <c r="V49" s="7"/>
      <c r="W49" s="7"/>
      <c r="X49" s="7"/>
      <c r="Y49" s="7"/>
      <c r="Z49" s="7"/>
      <c r="AA49" s="7"/>
      <c r="AB49" s="7"/>
    </row>
    <row r="50" spans="1:28">
      <c r="A50" s="7"/>
      <c r="B50" s="56"/>
      <c r="D50" s="43"/>
      <c r="E50" s="43"/>
      <c r="F50" s="46"/>
      <c r="G50" s="46"/>
      <c r="H50" s="43"/>
      <c r="I50" s="43"/>
      <c r="J50" s="43"/>
      <c r="K50" s="43"/>
      <c r="L50" s="43"/>
      <c r="M50" s="7"/>
      <c r="N50" s="7"/>
      <c r="O50" s="7"/>
      <c r="P50" s="7"/>
      <c r="Q50" s="7"/>
      <c r="R50" s="7"/>
      <c r="S50" s="7"/>
      <c r="T50" s="7"/>
      <c r="U50" s="7"/>
      <c r="V50" s="7"/>
      <c r="W50" s="7"/>
      <c r="X50" s="7"/>
      <c r="Y50" s="7"/>
      <c r="Z50" s="7"/>
      <c r="AA50" s="7"/>
      <c r="AB50" s="7"/>
    </row>
    <row r="51" spans="1:28">
      <c r="A51" s="7"/>
      <c r="B51" s="54"/>
      <c r="D51" s="43"/>
      <c r="E51" s="43"/>
      <c r="F51" s="46"/>
      <c r="G51" s="46"/>
      <c r="H51" s="43"/>
      <c r="I51" s="43"/>
      <c r="J51" s="43"/>
      <c r="K51" s="43"/>
      <c r="L51" s="43"/>
      <c r="M51" s="7"/>
      <c r="N51" s="7"/>
      <c r="O51" s="7"/>
      <c r="P51" s="7"/>
      <c r="Q51" s="7"/>
      <c r="R51" s="7"/>
      <c r="S51" s="7"/>
      <c r="T51" s="7"/>
      <c r="U51" s="7"/>
      <c r="V51" s="7"/>
      <c r="W51" s="7"/>
      <c r="X51" s="7"/>
      <c r="Y51" s="7"/>
      <c r="Z51" s="7"/>
      <c r="AA51" s="7"/>
      <c r="AB51" s="7"/>
    </row>
    <row r="52" spans="1:28">
      <c r="A52" s="7"/>
      <c r="B52" s="7"/>
      <c r="C52" s="42"/>
      <c r="D52" s="43"/>
      <c r="E52" s="43"/>
      <c r="F52" s="46"/>
      <c r="G52" s="46"/>
      <c r="H52" s="43"/>
      <c r="I52" s="43"/>
      <c r="J52" s="43"/>
      <c r="K52" s="43"/>
      <c r="L52" s="43"/>
      <c r="M52" s="7"/>
      <c r="N52" s="7"/>
      <c r="O52" s="7"/>
      <c r="P52" s="7"/>
      <c r="Q52" s="7"/>
      <c r="R52" s="7"/>
      <c r="S52" s="7"/>
      <c r="T52" s="7"/>
      <c r="U52" s="7"/>
      <c r="V52" s="7"/>
      <c r="W52" s="7"/>
      <c r="X52" s="7"/>
      <c r="Y52" s="7"/>
      <c r="Z52" s="7"/>
      <c r="AA52" s="7"/>
      <c r="AB52" s="7"/>
    </row>
    <row r="53" spans="1:28">
      <c r="A53" s="7"/>
      <c r="B53" s="7"/>
      <c r="C53" s="42"/>
      <c r="D53" s="43"/>
      <c r="E53" s="43"/>
      <c r="F53" s="46"/>
      <c r="G53" s="46"/>
      <c r="H53" s="43"/>
      <c r="I53" s="43"/>
      <c r="J53" s="43"/>
      <c r="K53" s="43"/>
      <c r="L53" s="43"/>
      <c r="M53" s="7"/>
      <c r="N53" s="7"/>
      <c r="O53" s="7"/>
      <c r="P53" s="7"/>
      <c r="Q53" s="7"/>
      <c r="R53" s="7"/>
      <c r="S53" s="7"/>
      <c r="T53" s="7"/>
      <c r="U53" s="7"/>
      <c r="V53" s="7"/>
      <c r="W53" s="7"/>
      <c r="X53" s="7"/>
      <c r="Y53" s="7"/>
      <c r="Z53" s="7"/>
      <c r="AA53" s="7"/>
      <c r="AB53" s="7"/>
    </row>
    <row r="54" spans="1:28">
      <c r="A54" s="7"/>
      <c r="B54" s="7"/>
      <c r="C54" s="42"/>
      <c r="D54" s="43"/>
      <c r="E54" s="43"/>
      <c r="F54" s="46"/>
      <c r="G54" s="46"/>
      <c r="H54" s="43"/>
      <c r="I54" s="43"/>
      <c r="J54" s="43"/>
      <c r="K54" s="43"/>
      <c r="L54" s="43"/>
      <c r="M54" s="7"/>
      <c r="N54" s="7"/>
      <c r="O54" s="7"/>
      <c r="P54" s="7"/>
      <c r="Q54" s="7"/>
      <c r="R54" s="7"/>
      <c r="S54" s="7"/>
      <c r="T54" s="7"/>
      <c r="U54" s="7"/>
      <c r="V54" s="7"/>
      <c r="W54" s="7"/>
      <c r="X54" s="7"/>
      <c r="Y54" s="7"/>
      <c r="Z54" s="7"/>
      <c r="AA54" s="7"/>
      <c r="AB54" s="7"/>
    </row>
    <row r="55" spans="1:28">
      <c r="A55" s="7"/>
      <c r="B55" s="7"/>
      <c r="C55" s="42"/>
      <c r="D55" s="43"/>
      <c r="E55" s="43"/>
      <c r="F55" s="46"/>
      <c r="G55" s="46"/>
      <c r="H55" s="43"/>
      <c r="I55" s="43"/>
      <c r="J55" s="43"/>
      <c r="K55" s="43"/>
      <c r="L55" s="43"/>
      <c r="M55" s="7"/>
      <c r="N55" s="7"/>
      <c r="O55" s="7"/>
      <c r="P55" s="7"/>
      <c r="Q55" s="7"/>
      <c r="R55" s="7"/>
      <c r="S55" s="7"/>
      <c r="T55" s="7"/>
      <c r="U55" s="7"/>
      <c r="V55" s="7"/>
      <c r="W55" s="7"/>
      <c r="X55" s="7"/>
      <c r="Y55" s="7"/>
      <c r="Z55" s="7"/>
      <c r="AA55" s="7"/>
      <c r="AB55" s="7"/>
    </row>
    <row r="56" spans="1:28">
      <c r="A56" s="7"/>
      <c r="B56" s="7"/>
      <c r="C56" s="42"/>
      <c r="D56" s="43"/>
      <c r="E56" s="43"/>
      <c r="F56" s="46"/>
      <c r="G56" s="46"/>
      <c r="H56" s="43"/>
      <c r="I56" s="43"/>
      <c r="J56" s="43"/>
      <c r="K56" s="43"/>
      <c r="L56" s="43"/>
    </row>
    <row r="57" spans="1:28">
      <c r="A57" s="7"/>
      <c r="B57" s="7"/>
      <c r="C57" s="42"/>
      <c r="D57" s="43"/>
      <c r="E57" s="43"/>
      <c r="F57" s="46"/>
      <c r="G57" s="46"/>
      <c r="H57" s="43"/>
      <c r="I57" s="43"/>
      <c r="J57" s="43"/>
      <c r="K57" s="43"/>
      <c r="L57" s="43"/>
    </row>
    <row r="58" spans="1:28">
      <c r="A58" s="7"/>
      <c r="B58" s="7"/>
      <c r="C58" s="42"/>
      <c r="D58" s="43"/>
      <c r="E58" s="43"/>
      <c r="F58" s="46"/>
      <c r="G58" s="46"/>
      <c r="H58" s="43"/>
      <c r="I58" s="43"/>
      <c r="J58" s="43"/>
      <c r="K58" s="43"/>
      <c r="L58" s="43"/>
    </row>
    <row r="59" spans="1:28">
      <c r="A59" s="7"/>
      <c r="B59" s="7"/>
      <c r="C59" s="42"/>
      <c r="D59" s="43"/>
      <c r="E59" s="43"/>
      <c r="F59" s="46"/>
      <c r="G59" s="46"/>
      <c r="H59" s="43"/>
      <c r="I59" s="43"/>
      <c r="J59" s="43"/>
      <c r="K59" s="43"/>
      <c r="L59" s="43"/>
    </row>
    <row r="60" spans="1:28">
      <c r="A60" s="7"/>
      <c r="B60" s="7"/>
      <c r="C60" s="42"/>
      <c r="D60" s="43"/>
      <c r="E60" s="43"/>
      <c r="F60" s="46"/>
      <c r="G60" s="46"/>
      <c r="H60" s="43"/>
      <c r="I60" s="43"/>
      <c r="J60" s="43"/>
      <c r="K60" s="43"/>
      <c r="L60" s="43"/>
    </row>
    <row r="61" spans="1:28">
      <c r="A61" s="7"/>
      <c r="B61" s="7"/>
      <c r="C61" s="42"/>
      <c r="D61" s="43"/>
      <c r="E61" s="43"/>
      <c r="F61" s="46"/>
      <c r="G61" s="46"/>
      <c r="H61" s="43"/>
      <c r="I61" s="43"/>
      <c r="J61" s="43"/>
      <c r="K61" s="43"/>
      <c r="L61" s="43"/>
    </row>
    <row r="62" spans="1:28">
      <c r="A62" s="7"/>
      <c r="B62" s="7"/>
      <c r="C62" s="42"/>
      <c r="D62" s="43"/>
      <c r="E62" s="43"/>
      <c r="F62" s="46"/>
      <c r="G62" s="46"/>
      <c r="H62" s="43"/>
      <c r="I62" s="43"/>
      <c r="J62" s="43"/>
      <c r="K62" s="43"/>
      <c r="L62" s="43"/>
    </row>
    <row r="63" spans="1:28">
      <c r="A63" s="7"/>
      <c r="B63" s="7"/>
      <c r="C63" s="42"/>
      <c r="D63" s="43"/>
      <c r="E63" s="43"/>
      <c r="F63" s="46"/>
      <c r="G63" s="46"/>
      <c r="H63" s="43"/>
      <c r="I63" s="43"/>
      <c r="J63" s="43"/>
      <c r="K63" s="43"/>
      <c r="L63" s="43"/>
    </row>
    <row r="64" spans="1:28">
      <c r="A64" s="7"/>
      <c r="B64" s="7"/>
      <c r="C64" s="42"/>
      <c r="D64" s="43"/>
      <c r="E64" s="43"/>
      <c r="F64" s="46"/>
      <c r="G64" s="46"/>
      <c r="H64" s="43"/>
      <c r="I64" s="43"/>
      <c r="J64" s="43"/>
      <c r="K64" s="43"/>
      <c r="L64" s="43"/>
    </row>
    <row r="65" spans="1:12">
      <c r="A65" s="7"/>
      <c r="B65" s="7"/>
      <c r="C65" s="42"/>
      <c r="D65" s="43"/>
      <c r="E65" s="43"/>
      <c r="F65" s="46"/>
      <c r="G65" s="46"/>
      <c r="H65" s="43"/>
      <c r="I65" s="43"/>
      <c r="J65" s="43"/>
      <c r="K65" s="43"/>
      <c r="L65" s="43"/>
    </row>
    <row r="66" spans="1:12">
      <c r="A66" s="7"/>
      <c r="B66" s="7"/>
      <c r="C66" s="42"/>
      <c r="D66" s="43"/>
      <c r="E66" s="43"/>
      <c r="F66" s="46"/>
      <c r="G66" s="46"/>
      <c r="H66" s="43"/>
      <c r="I66" s="43"/>
      <c r="J66" s="43"/>
      <c r="K66" s="43"/>
      <c r="L66" s="43"/>
    </row>
    <row r="67" spans="1:12">
      <c r="A67" s="7"/>
      <c r="B67" s="7"/>
      <c r="C67" s="42"/>
      <c r="D67" s="43"/>
      <c r="E67" s="43"/>
      <c r="F67" s="46"/>
      <c r="G67" s="46"/>
      <c r="H67" s="43"/>
      <c r="I67" s="43"/>
      <c r="J67" s="43"/>
      <c r="K67" s="43"/>
      <c r="L67" s="43"/>
    </row>
    <row r="68" spans="1:12">
      <c r="A68" s="7"/>
      <c r="B68" s="7"/>
      <c r="C68" s="42"/>
      <c r="D68" s="43"/>
      <c r="E68" s="43"/>
      <c r="F68" s="46"/>
      <c r="G68" s="46"/>
      <c r="H68" s="43"/>
      <c r="I68" s="43"/>
      <c r="J68" s="43"/>
      <c r="K68" s="43"/>
      <c r="L68" s="43"/>
    </row>
    <row r="69" spans="1:12">
      <c r="A69" s="7"/>
      <c r="B69" s="7"/>
    </row>
  </sheetData>
  <scenarios current="0">
    <scenario name="MaxFaultTime" count="1" user="Dennis Hudgins" comment="Created by Dennis Hudgins on 2/27/2014">
      <inputCells r="J8" val="24.2278058218803"/>
    </scenario>
  </scenarios>
  <mergeCells count="7">
    <mergeCell ref="O25:Q25"/>
    <mergeCell ref="J2:L2"/>
    <mergeCell ref="C2:E2"/>
    <mergeCell ref="T5:V5"/>
    <mergeCell ref="X5:Z5"/>
    <mergeCell ref="O17:Q17"/>
    <mergeCell ref="S18:V18"/>
  </mergeCells>
  <phoneticPr fontId="46"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S104"/>
  <sheetViews>
    <sheetView topLeftCell="A43" zoomScale="70" zoomScaleNormal="70" workbookViewId="0">
      <selection activeCell="O32" sqref="O32"/>
    </sheetView>
  </sheetViews>
  <sheetFormatPr defaultRowHeight="13.2"/>
  <cols>
    <col min="1" max="1" width="22.109375" customWidth="1"/>
    <col min="4" max="4" width="19.109375" customWidth="1"/>
    <col min="5" max="5" width="13.88671875" customWidth="1"/>
    <col min="6" max="6" width="13.33203125" customWidth="1"/>
    <col min="9" max="9" width="11.88671875" customWidth="1"/>
    <col min="11" max="11" width="11.6640625" customWidth="1"/>
    <col min="12" max="12" width="11.33203125" customWidth="1"/>
    <col min="13" max="13" width="10" customWidth="1"/>
  </cols>
  <sheetData>
    <row r="4" spans="4:19">
      <c r="D4" s="340" t="s">
        <v>389</v>
      </c>
      <c r="E4" s="340"/>
      <c r="F4" s="340"/>
      <c r="G4" s="340"/>
      <c r="H4" s="340"/>
    </row>
    <row r="5" spans="4:19">
      <c r="D5" s="271"/>
      <c r="E5" s="272" t="s">
        <v>384</v>
      </c>
      <c r="F5" s="272" t="s">
        <v>337</v>
      </c>
      <c r="G5" s="272" t="s">
        <v>385</v>
      </c>
      <c r="H5" s="272" t="s">
        <v>337</v>
      </c>
      <c r="O5" s="338" t="s">
        <v>394</v>
      </c>
      <c r="P5" s="339"/>
      <c r="Q5" s="339"/>
      <c r="R5" s="339"/>
      <c r="S5" s="339"/>
    </row>
    <row r="6" spans="4:19">
      <c r="D6" s="92" t="s">
        <v>349</v>
      </c>
      <c r="E6" s="44">
        <f>'Design Calculator'!F31</f>
        <v>249</v>
      </c>
      <c r="F6" s="92" t="s">
        <v>386</v>
      </c>
      <c r="G6" s="39">
        <f>'Design Calculator'!H126</f>
        <v>1</v>
      </c>
      <c r="H6" s="92" t="s">
        <v>388</v>
      </c>
      <c r="O6" s="41" t="s">
        <v>391</v>
      </c>
      <c r="P6" s="39"/>
      <c r="Q6" s="41" t="s">
        <v>390</v>
      </c>
      <c r="R6" s="39"/>
      <c r="S6" s="39"/>
    </row>
    <row r="7" spans="4:19">
      <c r="D7" s="41" t="s">
        <v>348</v>
      </c>
      <c r="E7" s="39">
        <f>'Design Calculator'!F127</f>
        <v>80.599999999999994</v>
      </c>
      <c r="F7" s="41" t="s">
        <v>386</v>
      </c>
      <c r="G7" s="39">
        <f>'Design Calculator'!H127</f>
        <v>0.1</v>
      </c>
      <c r="H7" s="41" t="s">
        <v>388</v>
      </c>
      <c r="O7" s="41" t="s">
        <v>320</v>
      </c>
      <c r="P7" s="41" t="s">
        <v>301</v>
      </c>
      <c r="Q7" s="41" t="s">
        <v>300</v>
      </c>
      <c r="R7" s="41" t="s">
        <v>302</v>
      </c>
      <c r="S7" s="41" t="s">
        <v>392</v>
      </c>
    </row>
    <row r="8" spans="4:19">
      <c r="D8" s="41" t="s">
        <v>350</v>
      </c>
      <c r="E8" s="39">
        <f>'Design Calculator'!F128</f>
        <v>2740</v>
      </c>
      <c r="F8" s="41" t="s">
        <v>386</v>
      </c>
      <c r="G8" s="39">
        <f>'Design Calculator'!H128</f>
        <v>0.1</v>
      </c>
      <c r="H8" s="41" t="s">
        <v>388</v>
      </c>
      <c r="O8" s="39">
        <v>52</v>
      </c>
      <c r="P8" s="39">
        <v>114.75</v>
      </c>
      <c r="Q8" s="39">
        <v>135</v>
      </c>
      <c r="R8" s="39">
        <v>155.25</v>
      </c>
      <c r="S8" s="274">
        <f>MAX(R8-Q8,Q8-P8)/Q8</f>
        <v>0.15</v>
      </c>
    </row>
    <row r="9" spans="4:19">
      <c r="D9" s="41" t="s">
        <v>151</v>
      </c>
      <c r="E9" s="44">
        <f>'Design Calculator'!F129</f>
        <v>24</v>
      </c>
      <c r="F9" s="41" t="s">
        <v>155</v>
      </c>
      <c r="G9" s="39">
        <f>'Design Calculator'!H129</f>
        <v>1</v>
      </c>
      <c r="H9" s="41" t="s">
        <v>388</v>
      </c>
      <c r="O9" s="39">
        <v>105</v>
      </c>
      <c r="P9" s="39">
        <v>56.95</v>
      </c>
      <c r="Q9" s="39">
        <v>67</v>
      </c>
      <c r="R9" s="39">
        <v>77.05</v>
      </c>
      <c r="S9" s="274">
        <f t="shared" ref="S9:S10" si="0">MAX(R9-Q9,Q9-P9)/Q9</f>
        <v>0.14999999999999997</v>
      </c>
    </row>
    <row r="10" spans="4:19">
      <c r="D10" s="41" t="s">
        <v>383</v>
      </c>
      <c r="E10" s="44">
        <f>'Design Calculator'!F124</f>
        <v>1</v>
      </c>
      <c r="F10" s="41" t="s">
        <v>387</v>
      </c>
      <c r="G10" s="39">
        <f>'Design Calculator'!H124</f>
        <v>1</v>
      </c>
      <c r="H10" s="41" t="s">
        <v>388</v>
      </c>
      <c r="O10" s="39">
        <v>261</v>
      </c>
      <c r="P10" s="39">
        <v>18.899999999999999</v>
      </c>
      <c r="Q10" s="39">
        <v>27</v>
      </c>
      <c r="R10" s="39">
        <v>35.1</v>
      </c>
      <c r="S10" s="274">
        <f t="shared" si="0"/>
        <v>0.30000000000000004</v>
      </c>
    </row>
    <row r="11" spans="4:19">
      <c r="D11" s="92" t="s">
        <v>420</v>
      </c>
      <c r="E11" s="39">
        <f>VINMAX</f>
        <v>13</v>
      </c>
      <c r="F11" s="92" t="s">
        <v>49</v>
      </c>
      <c r="G11" s="39"/>
      <c r="H11" s="39"/>
      <c r="O11" s="39"/>
      <c r="P11" s="39"/>
      <c r="Q11" s="39"/>
      <c r="R11" s="39"/>
      <c r="S11" s="39"/>
    </row>
    <row r="12" spans="4:19">
      <c r="D12" s="92" t="s">
        <v>454</v>
      </c>
      <c r="E12" s="39"/>
      <c r="F12" s="39"/>
      <c r="G12" s="275">
        <f>'Design Calculator'!H133</f>
        <v>10</v>
      </c>
      <c r="H12" s="285" t="s">
        <v>388</v>
      </c>
      <c r="O12" s="41" t="s">
        <v>395</v>
      </c>
      <c r="P12" s="39"/>
      <c r="Q12" s="39"/>
      <c r="R12" s="39"/>
      <c r="S12" s="39"/>
    </row>
    <row r="13" spans="4:19">
      <c r="D13" s="92" t="s">
        <v>351</v>
      </c>
      <c r="E13" s="39"/>
      <c r="F13" s="39"/>
      <c r="G13" s="275">
        <f>'Design Calculator'!H134</f>
        <v>10</v>
      </c>
      <c r="H13" s="285" t="s">
        <v>388</v>
      </c>
      <c r="O13" s="41" t="s">
        <v>299</v>
      </c>
      <c r="P13" s="39">
        <v>150</v>
      </c>
      <c r="Q13" s="41" t="s">
        <v>393</v>
      </c>
      <c r="R13" s="39"/>
      <c r="S13" s="39"/>
    </row>
    <row r="14" spans="4:19">
      <c r="D14" s="92" t="s">
        <v>447</v>
      </c>
      <c r="E14" s="39"/>
      <c r="F14" s="39"/>
      <c r="G14" s="275">
        <f>AVERAGE('Design Calculator'!H130, 'Design Calculator'!H131, 'Design Calculator'!H132)</f>
        <v>1</v>
      </c>
      <c r="H14" s="285" t="s">
        <v>388</v>
      </c>
      <c r="O14" s="41" t="s">
        <v>263</v>
      </c>
      <c r="P14" s="274">
        <v>4.0000000000000001E-3</v>
      </c>
      <c r="Q14" s="41"/>
      <c r="R14" s="39"/>
      <c r="S14" s="39"/>
    </row>
    <row r="15" spans="4:19">
      <c r="D15" s="34"/>
      <c r="E15" s="7"/>
      <c r="F15" s="7"/>
      <c r="G15" s="288"/>
      <c r="H15" s="289"/>
      <c r="O15" s="39"/>
      <c r="P15" s="39"/>
      <c r="Q15" s="39"/>
      <c r="R15" s="39"/>
      <c r="S15" s="39"/>
    </row>
    <row r="16" spans="4:19">
      <c r="O16" s="41" t="s">
        <v>396</v>
      </c>
      <c r="P16" s="41" t="s">
        <v>301</v>
      </c>
      <c r="Q16" s="41" t="s">
        <v>300</v>
      </c>
      <c r="R16" s="41" t="s">
        <v>302</v>
      </c>
      <c r="S16" s="41" t="s">
        <v>392</v>
      </c>
    </row>
    <row r="17" spans="4:19">
      <c r="D17" s="18" t="s">
        <v>401</v>
      </c>
      <c r="O17" s="41" t="s">
        <v>397</v>
      </c>
      <c r="P17" s="39">
        <v>665</v>
      </c>
      <c r="Q17" s="39">
        <v>675</v>
      </c>
      <c r="R17" s="39">
        <v>686</v>
      </c>
      <c r="S17" s="274">
        <f>MAX(R17-Q17,Q17-P17)/Q17</f>
        <v>1.6296296296296295E-2</v>
      </c>
    </row>
    <row r="18" spans="4:19">
      <c r="O18" s="39"/>
      <c r="P18" s="39"/>
      <c r="Q18" s="39"/>
      <c r="R18" s="39"/>
      <c r="S18" s="39"/>
    </row>
    <row r="19" spans="4:19">
      <c r="D19" s="18" t="s">
        <v>402</v>
      </c>
      <c r="O19" s="41" t="s">
        <v>398</v>
      </c>
      <c r="P19" s="39"/>
      <c r="Q19" s="39"/>
      <c r="R19" s="39"/>
      <c r="S19" s="39"/>
    </row>
    <row r="20" spans="4:19">
      <c r="D20" s="18" t="s">
        <v>403</v>
      </c>
      <c r="E20">
        <f>0.1*E6</f>
        <v>24.900000000000002</v>
      </c>
      <c r="F20" s="18" t="s">
        <v>106</v>
      </c>
      <c r="O20" s="41" t="s">
        <v>349</v>
      </c>
      <c r="P20" s="41" t="s">
        <v>399</v>
      </c>
      <c r="Q20" s="41" t="s">
        <v>400</v>
      </c>
      <c r="R20" s="41" t="s">
        <v>302</v>
      </c>
      <c r="S20" s="41" t="s">
        <v>392</v>
      </c>
    </row>
    <row r="21" spans="4:19">
      <c r="O21" s="39">
        <v>200</v>
      </c>
      <c r="P21" s="39">
        <v>18</v>
      </c>
      <c r="Q21" s="39">
        <v>20</v>
      </c>
      <c r="R21" s="39">
        <v>22</v>
      </c>
      <c r="S21" s="274">
        <f>MAX(R21-Q21,Q21-P21)/Q21</f>
        <v>0.1</v>
      </c>
    </row>
    <row r="22" spans="4:19">
      <c r="E22" s="18" t="s">
        <v>404</v>
      </c>
      <c r="F22" s="18" t="s">
        <v>405</v>
      </c>
      <c r="O22" s="39">
        <v>1</v>
      </c>
      <c r="P22" s="39">
        <v>95</v>
      </c>
      <c r="Q22" s="39">
        <v>100</v>
      </c>
      <c r="R22" s="39">
        <v>105</v>
      </c>
      <c r="S22" s="274">
        <f t="shared" ref="S22:S23" si="1">MAX(R22-Q22,Q22-P22)/Q22</f>
        <v>0.05</v>
      </c>
    </row>
    <row r="23" spans="4:19">
      <c r="D23" s="18" t="s">
        <v>406</v>
      </c>
      <c r="E23">
        <f>IF(E20&lt;Q22, Q21, Q22)</f>
        <v>20</v>
      </c>
      <c r="F23">
        <f>IF(E20&lt;Q22, R21-Q21, R22-Q22)</f>
        <v>2</v>
      </c>
      <c r="O23" s="39">
        <v>4</v>
      </c>
      <c r="P23" s="39">
        <v>380</v>
      </c>
      <c r="Q23" s="39">
        <v>400</v>
      </c>
      <c r="R23" s="39">
        <v>420</v>
      </c>
      <c r="S23" s="274">
        <f t="shared" si="1"/>
        <v>0.05</v>
      </c>
    </row>
    <row r="24" spans="4:19">
      <c r="D24" s="18" t="s">
        <v>407</v>
      </c>
      <c r="E24">
        <f>IF(E20&gt;Q22, Q23, Q22)</f>
        <v>100</v>
      </c>
      <c r="F24">
        <f>IF(E20&gt;Q22, R23 - Q23, R22 - Q22)</f>
        <v>5</v>
      </c>
      <c r="O24" s="39"/>
      <c r="P24" s="39"/>
      <c r="Q24" s="39"/>
      <c r="R24" s="39"/>
      <c r="S24" s="39"/>
    </row>
    <row r="25" spans="4:19">
      <c r="O25" s="41" t="s">
        <v>429</v>
      </c>
      <c r="P25" s="39"/>
      <c r="Q25" s="39"/>
      <c r="R25" s="39"/>
      <c r="S25" s="39"/>
    </row>
    <row r="26" spans="4:19">
      <c r="D26" s="18" t="s">
        <v>408</v>
      </c>
      <c r="E26">
        <f xml:space="preserve"> (E20-E23)/(E24-E23)</f>
        <v>6.1250000000000027E-2</v>
      </c>
      <c r="O26" s="41" t="s">
        <v>299</v>
      </c>
      <c r="P26" s="39">
        <v>3</v>
      </c>
      <c r="Q26" s="41" t="s">
        <v>106</v>
      </c>
      <c r="R26" s="39"/>
      <c r="S26" s="39"/>
    </row>
    <row r="27" spans="4:19">
      <c r="D27" s="18" t="s">
        <v>409</v>
      </c>
      <c r="E27">
        <f>(E24-E20)/(E24-E23)</f>
        <v>0.93874999999999997</v>
      </c>
      <c r="O27" s="41" t="s">
        <v>430</v>
      </c>
      <c r="P27" s="274">
        <f>2/300</f>
        <v>6.6666666666666671E-3</v>
      </c>
      <c r="Q27" s="39"/>
      <c r="R27" s="39"/>
      <c r="S27" s="39"/>
    </row>
    <row r="29" spans="4:19">
      <c r="D29" s="18" t="s">
        <v>410</v>
      </c>
      <c r="E29">
        <f>E26*F24+E27*F23</f>
        <v>2.1837499999999999</v>
      </c>
    </row>
    <row r="30" spans="4:19">
      <c r="E30" s="18" t="s">
        <v>301</v>
      </c>
      <c r="F30" s="18" t="s">
        <v>300</v>
      </c>
      <c r="G30" s="18" t="s">
        <v>302</v>
      </c>
      <c r="O30" s="18" t="s">
        <v>440</v>
      </c>
      <c r="P30">
        <v>1.3</v>
      </c>
      <c r="Q30">
        <v>1.35</v>
      </c>
      <c r="R30">
        <v>1.4</v>
      </c>
    </row>
    <row r="31" spans="4:19">
      <c r="D31" s="18" t="s">
        <v>403</v>
      </c>
      <c r="E31">
        <f>(F31-E29)*(1-G6/100)</f>
        <v>22.489087500000004</v>
      </c>
      <c r="F31">
        <f>E20</f>
        <v>24.900000000000002</v>
      </c>
      <c r="G31">
        <f>(F31+E29)*(1+G6/100)</f>
        <v>27.354587500000001</v>
      </c>
      <c r="O31" s="34" t="s">
        <v>441</v>
      </c>
      <c r="P31" s="278">
        <f>(12.5-10.25)/10.25</f>
        <v>0.21951219512195122</v>
      </c>
    </row>
    <row r="32" spans="4:19">
      <c r="D32" s="18" t="s">
        <v>411</v>
      </c>
      <c r="E32">
        <f>E31/$E$10</f>
        <v>22.489087500000004</v>
      </c>
      <c r="F32">
        <f>F31/$E$10</f>
        <v>24.900000000000002</v>
      </c>
      <c r="G32">
        <f>G31/$E$10</f>
        <v>27.354587500000001</v>
      </c>
    </row>
    <row r="35" spans="4:11">
      <c r="D35" s="18" t="s">
        <v>412</v>
      </c>
      <c r="H35" s="18" t="s">
        <v>423</v>
      </c>
      <c r="I35" s="18" t="s">
        <v>75</v>
      </c>
    </row>
    <row r="37" spans="4:11">
      <c r="D37" s="18" t="s">
        <v>413</v>
      </c>
      <c r="E37" s="276">
        <f>E7/E8*675</f>
        <v>19.855839416058391</v>
      </c>
      <c r="F37" s="18" t="s">
        <v>106</v>
      </c>
      <c r="H37" s="18" t="s">
        <v>421</v>
      </c>
      <c r="I37" s="273">
        <f>E47+S17</f>
        <v>3.9850749012039333E-2</v>
      </c>
      <c r="J37" s="18"/>
    </row>
    <row r="38" spans="4:11">
      <c r="D38" s="18" t="s">
        <v>414</v>
      </c>
      <c r="E38" s="276">
        <f>E37*0.2</f>
        <v>3.9711678832116784</v>
      </c>
      <c r="F38" s="18" t="s">
        <v>106</v>
      </c>
    </row>
    <row r="39" spans="4:11">
      <c r="I39" s="18" t="s">
        <v>301</v>
      </c>
      <c r="J39" s="18" t="s">
        <v>300</v>
      </c>
      <c r="K39" s="18" t="s">
        <v>302</v>
      </c>
    </row>
    <row r="40" spans="4:11">
      <c r="D40" s="18" t="s">
        <v>417</v>
      </c>
      <c r="H40" s="18" t="s">
        <v>422</v>
      </c>
      <c r="I40">
        <f>J40*(1-I37)</f>
        <v>19.064569343065692</v>
      </c>
      <c r="J40">
        <f>E37/E10</f>
        <v>19.855839416058391</v>
      </c>
      <c r="K40">
        <f>J40*(1+I37)</f>
        <v>20.647109489051093</v>
      </c>
    </row>
    <row r="41" spans="4:11">
      <c r="D41" s="18" t="s">
        <v>415</v>
      </c>
      <c r="E41" s="274">
        <f>$P$14+$P$13*0.001/E37</f>
        <v>1.1554452715743039E-2</v>
      </c>
      <c r="F41" s="18"/>
    </row>
    <row r="42" spans="4:11">
      <c r="D42" s="18" t="s">
        <v>416</v>
      </c>
      <c r="E42" s="274">
        <f>$P$14+$P$13*0.001/E38</f>
        <v>4.1772263578715191E-2</v>
      </c>
      <c r="F42" s="18" t="s">
        <v>388</v>
      </c>
    </row>
    <row r="43" spans="4:11">
      <c r="H43" s="18" t="s">
        <v>424</v>
      </c>
    </row>
    <row r="44" spans="4:11">
      <c r="D44" s="18" t="s">
        <v>418</v>
      </c>
      <c r="E44" s="274">
        <f>(G7+G8+G10)/100</f>
        <v>1.2E-2</v>
      </c>
      <c r="F44" s="18" t="s">
        <v>388</v>
      </c>
    </row>
    <row r="45" spans="4:11">
      <c r="H45" s="18" t="s">
        <v>426</v>
      </c>
    </row>
    <row r="46" spans="4:11">
      <c r="D46" s="18" t="s">
        <v>419</v>
      </c>
      <c r="H46" s="18" t="s">
        <v>425</v>
      </c>
      <c r="I46" s="274">
        <f>P26/675+P27</f>
        <v>1.1111111111111112E-2</v>
      </c>
    </row>
    <row r="47" spans="4:11">
      <c r="D47" s="18" t="s">
        <v>415</v>
      </c>
      <c r="E47" s="274">
        <f>$E$44+E41</f>
        <v>2.3554452715743038E-2</v>
      </c>
      <c r="F47" s="18"/>
      <c r="H47" s="278">
        <v>0.2</v>
      </c>
      <c r="I47" s="274">
        <f>P26/0.2/675+P27</f>
        <v>2.8888888888888891E-2</v>
      </c>
    </row>
    <row r="48" spans="4:11">
      <c r="D48" s="18" t="s">
        <v>416</v>
      </c>
      <c r="E48" s="274">
        <f>$E$44+E42</f>
        <v>5.3772263578715188E-2</v>
      </c>
      <c r="F48" s="18"/>
    </row>
    <row r="49" spans="4:9">
      <c r="H49" s="18" t="s">
        <v>427</v>
      </c>
    </row>
    <row r="50" spans="4:9">
      <c r="H50" s="18" t="s">
        <v>428</v>
      </c>
      <c r="I50" s="274">
        <f>I46+E47</f>
        <v>3.4665563826854151E-2</v>
      </c>
    </row>
    <row r="51" spans="4:9">
      <c r="D51" s="18" t="s">
        <v>439</v>
      </c>
      <c r="H51" s="278">
        <v>0.2</v>
      </c>
      <c r="I51" s="274">
        <f>I47+E48</f>
        <v>8.2661152467604082E-2</v>
      </c>
    </row>
    <row r="53" spans="4:9">
      <c r="D53" s="18" t="s">
        <v>432</v>
      </c>
    </row>
    <row r="54" spans="4:9">
      <c r="D54" s="18" t="s">
        <v>431</v>
      </c>
      <c r="E54">
        <f>84375/E9/E11</f>
        <v>270.43269230769232</v>
      </c>
      <c r="F54" s="18" t="s">
        <v>106</v>
      </c>
    </row>
    <row r="56" spans="4:9">
      <c r="E56" s="18" t="s">
        <v>404</v>
      </c>
      <c r="F56" s="18" t="s">
        <v>405</v>
      </c>
    </row>
    <row r="57" spans="4:9">
      <c r="D57" s="18" t="s">
        <v>406</v>
      </c>
      <c r="E57">
        <f>IF(E54&lt;Q9, Q10, Q9)</f>
        <v>67</v>
      </c>
      <c r="F57">
        <f>IF(E54&lt;Q9, Q10-P10, Q9-P9)</f>
        <v>10.049999999999997</v>
      </c>
    </row>
    <row r="58" spans="4:9">
      <c r="D58" s="18" t="s">
        <v>407</v>
      </c>
      <c r="E58">
        <f>IF(E54&gt;Q9, Q8, Q9)</f>
        <v>135</v>
      </c>
      <c r="F58">
        <f>IF(E54&gt;Q9, Q8-P8, Q9-P9)</f>
        <v>20.25</v>
      </c>
    </row>
    <row r="60" spans="4:9">
      <c r="D60" s="18" t="s">
        <v>408</v>
      </c>
      <c r="E60">
        <f xml:space="preserve"> (E54-E57)/(E58-E57)</f>
        <v>2.9916572398190047</v>
      </c>
    </row>
    <row r="61" spans="4:9">
      <c r="D61" s="18" t="s">
        <v>409</v>
      </c>
      <c r="E61">
        <f>(E58-E54)/(E58-E57)</f>
        <v>-1.9916572398190047</v>
      </c>
    </row>
    <row r="63" spans="4:9">
      <c r="D63" s="18" t="s">
        <v>410</v>
      </c>
      <c r="E63">
        <f>E60*F58+E61*F57</f>
        <v>40.564903846153854</v>
      </c>
      <c r="F63" s="18" t="s">
        <v>106</v>
      </c>
      <c r="G63" s="18"/>
    </row>
    <row r="64" spans="4:9">
      <c r="D64" s="18" t="s">
        <v>264</v>
      </c>
      <c r="E64" s="274">
        <f>E63/E54</f>
        <v>0.15000000000000002</v>
      </c>
      <c r="F64" s="18"/>
    </row>
    <row r="65" spans="4:8">
      <c r="D65" s="18"/>
    </row>
    <row r="66" spans="4:8">
      <c r="D66" s="18" t="s">
        <v>433</v>
      </c>
    </row>
    <row r="67" spans="4:8">
      <c r="D67" s="34" t="s">
        <v>434</v>
      </c>
      <c r="E67">
        <f>E54/675*E37</f>
        <v>7.9550638686131379</v>
      </c>
      <c r="F67" s="18" t="s">
        <v>106</v>
      </c>
    </row>
    <row r="68" spans="4:8">
      <c r="D68" s="34" t="s">
        <v>435</v>
      </c>
      <c r="E68" s="274">
        <f>$P$14+$P$13*0.001/E67</f>
        <v>2.2855913978494624E-2</v>
      </c>
    </row>
    <row r="69" spans="4:8">
      <c r="D69" s="34"/>
    </row>
    <row r="70" spans="4:8">
      <c r="D70" s="34" t="s">
        <v>436</v>
      </c>
      <c r="E70" s="277">
        <f>E44+G9/100</f>
        <v>2.1999999999999999E-2</v>
      </c>
    </row>
    <row r="72" spans="4:8">
      <c r="D72" s="18" t="s">
        <v>437</v>
      </c>
      <c r="E72" s="277">
        <f>E70+E68+E64</f>
        <v>0.19485591397849464</v>
      </c>
    </row>
    <row r="74" spans="4:8">
      <c r="D74" s="18" t="s">
        <v>438</v>
      </c>
      <c r="E74" s="18" t="s">
        <v>301</v>
      </c>
      <c r="F74" s="18" t="s">
        <v>300</v>
      </c>
      <c r="G74" s="18" t="s">
        <v>302</v>
      </c>
    </row>
    <row r="75" spans="4:8">
      <c r="E75">
        <f>F75*(1-E72)</f>
        <v>83.264644160583927</v>
      </c>
      <c r="F75">
        <f>E67/E10*E11</f>
        <v>103.41583029197079</v>
      </c>
      <c r="G75">
        <f>F75*(1+E72)</f>
        <v>123.56701642335766</v>
      </c>
      <c r="H75" s="18" t="s">
        <v>50</v>
      </c>
    </row>
    <row r="78" spans="4:8">
      <c r="D78" s="18" t="s">
        <v>442</v>
      </c>
    </row>
    <row r="79" spans="4:8">
      <c r="D79" s="18" t="s">
        <v>452</v>
      </c>
      <c r="E79" s="279">
        <f>$P$31+G12/100</f>
        <v>0.31951219512195123</v>
      </c>
    </row>
    <row r="80" spans="4:8">
      <c r="D80" s="18" t="s">
        <v>453</v>
      </c>
      <c r="E80" s="279">
        <f>$P$31+G13/100</f>
        <v>0.31951219512195123</v>
      </c>
    </row>
    <row r="82" spans="4:8">
      <c r="D82" s="18" t="s">
        <v>443</v>
      </c>
    </row>
    <row r="83" spans="4:8">
      <c r="D83" s="18"/>
      <c r="E83" s="277">
        <f>(R30-Q30)/Q30+G14*2/100</f>
        <v>5.70370370370369E-2</v>
      </c>
      <c r="F83" s="18"/>
      <c r="G83" s="18"/>
    </row>
    <row r="84" spans="4:8">
      <c r="D84" s="18"/>
    </row>
    <row r="85" spans="4:8">
      <c r="D85" s="18"/>
    </row>
    <row r="86" spans="4:8">
      <c r="D86" s="18" t="s">
        <v>448</v>
      </c>
    </row>
    <row r="88" spans="4:8">
      <c r="D88" s="255" t="s">
        <v>339</v>
      </c>
      <c r="E88" s="282" t="s">
        <v>34</v>
      </c>
      <c r="F88" s="256" t="s">
        <v>35</v>
      </c>
      <c r="G88" s="282" t="s">
        <v>36</v>
      </c>
      <c r="H88" s="257" t="s">
        <v>98</v>
      </c>
    </row>
    <row r="89" spans="4:8">
      <c r="D89" s="258" t="s">
        <v>144</v>
      </c>
      <c r="E89" s="283">
        <f>I40</f>
        <v>19.064569343065692</v>
      </c>
      <c r="F89" s="283">
        <f t="shared" ref="F89:G89" si="2">J40</f>
        <v>19.855839416058391</v>
      </c>
      <c r="G89" s="283">
        <f t="shared" si="2"/>
        <v>20.647109489051093</v>
      </c>
      <c r="H89" s="259" t="s">
        <v>9</v>
      </c>
    </row>
    <row r="90" spans="4:8">
      <c r="D90" s="258" t="s">
        <v>272</v>
      </c>
      <c r="E90" s="283">
        <f>E32</f>
        <v>22.489087500000004</v>
      </c>
      <c r="F90" s="283">
        <f t="shared" ref="F90:G90" si="3">F32</f>
        <v>24.900000000000002</v>
      </c>
      <c r="G90" s="283">
        <f t="shared" si="3"/>
        <v>27.354587500000001</v>
      </c>
      <c r="H90" s="259" t="s">
        <v>9</v>
      </c>
    </row>
    <row r="91" spans="4:8">
      <c r="D91" s="262" t="s">
        <v>357</v>
      </c>
      <c r="E91" s="287" t="s">
        <v>444</v>
      </c>
      <c r="F91" s="180">
        <f>'Design Calculator'!E144</f>
        <v>0.498</v>
      </c>
      <c r="G91" s="287" t="s">
        <v>444</v>
      </c>
      <c r="H91" s="248" t="s">
        <v>318</v>
      </c>
    </row>
    <row r="92" spans="4:8">
      <c r="D92" s="258" t="s">
        <v>105</v>
      </c>
      <c r="E92" s="283">
        <f>E75</f>
        <v>83.264644160583927</v>
      </c>
      <c r="F92" s="283">
        <f t="shared" ref="F92:G92" si="4">F75</f>
        <v>103.41583029197079</v>
      </c>
      <c r="G92" s="283">
        <f t="shared" si="4"/>
        <v>123.56701642335766</v>
      </c>
      <c r="H92" s="259" t="s">
        <v>50</v>
      </c>
    </row>
    <row r="93" spans="4:8">
      <c r="D93" s="264" t="s">
        <v>355</v>
      </c>
      <c r="E93" s="283">
        <f>F93*(1-$E$83)</f>
        <v>9.4483796653796688</v>
      </c>
      <c r="F93" s="180">
        <f>'Design Calculator'!E146</f>
        <v>10.019884169884172</v>
      </c>
      <c r="G93" s="283">
        <f>F93*(1+$E$83)</f>
        <v>10.591388674388677</v>
      </c>
      <c r="H93" s="259" t="s">
        <v>49</v>
      </c>
    </row>
    <row r="94" spans="4:8">
      <c r="D94" s="264" t="s">
        <v>356</v>
      </c>
      <c r="E94" s="283">
        <f>F94*(1-$E$83)</f>
        <v>13.203940647482019</v>
      </c>
      <c r="F94" s="180">
        <f>'Design Calculator'!E147</f>
        <v>14.002607913669069</v>
      </c>
      <c r="G94" s="283">
        <f>F94*(1+$E$83)</f>
        <v>14.801275179856118</v>
      </c>
      <c r="H94" s="259" t="s">
        <v>49</v>
      </c>
    </row>
    <row r="95" spans="4:8">
      <c r="D95" s="262" t="s">
        <v>362</v>
      </c>
      <c r="E95" s="283"/>
      <c r="F95" s="180">
        <f>'Design Calculator'!E148</f>
        <v>1</v>
      </c>
      <c r="G95" s="283"/>
      <c r="H95" s="253" t="s">
        <v>9</v>
      </c>
    </row>
    <row r="96" spans="4:8">
      <c r="D96" s="262" t="s">
        <v>363</v>
      </c>
      <c r="E96" s="287" t="s">
        <v>444</v>
      </c>
      <c r="F96" s="180">
        <f>'Design Calculator'!E149</f>
        <v>0.33</v>
      </c>
      <c r="G96" s="287" t="s">
        <v>444</v>
      </c>
      <c r="H96" s="248" t="s">
        <v>318</v>
      </c>
    </row>
    <row r="97" spans="4:8">
      <c r="D97" s="245" t="str">
        <f>IF(G20="single", "timer", "inrush timer")</f>
        <v>inrush timer</v>
      </c>
      <c r="E97" s="283">
        <f>F97*(1-$E$79)</f>
        <v>1.9717549077929803</v>
      </c>
      <c r="F97" s="180">
        <f>'Design Calculator'!E150</f>
        <v>2.8975609756097565</v>
      </c>
      <c r="G97" s="283">
        <f>F97*(1+$E$79)</f>
        <v>3.8233670434265323</v>
      </c>
      <c r="H97" s="253" t="s">
        <v>8</v>
      </c>
    </row>
    <row r="98" spans="4:8">
      <c r="D98" s="245" t="s">
        <v>361</v>
      </c>
      <c r="E98" s="283">
        <f>F98*(1-$E$79)</f>
        <v>0.89625223081499106</v>
      </c>
      <c r="F98" s="180">
        <f>'Design Calculator'!E151</f>
        <v>1.3170731707317074</v>
      </c>
      <c r="G98" s="283">
        <f>F98*(1+$E$79)</f>
        <v>1.7378941106484238</v>
      </c>
      <c r="H98" s="253" t="s">
        <v>8</v>
      </c>
    </row>
    <row r="99" spans="4:8">
      <c r="D99" s="264" t="s">
        <v>358</v>
      </c>
      <c r="E99" s="287" t="s">
        <v>444</v>
      </c>
      <c r="F99" s="180">
        <f>'Design Calculator'!E152</f>
        <v>33.995037220843678</v>
      </c>
      <c r="G99" s="287" t="s">
        <v>444</v>
      </c>
      <c r="H99" s="259" t="s">
        <v>360</v>
      </c>
    </row>
    <row r="100" spans="4:8">
      <c r="D100" s="264" t="s">
        <v>359</v>
      </c>
      <c r="E100" s="287" t="s">
        <v>444</v>
      </c>
      <c r="F100" s="180">
        <f>'Design Calculator'!E153</f>
        <v>101.98511166253104</v>
      </c>
      <c r="G100" s="287" t="s">
        <v>444</v>
      </c>
      <c r="H100" s="259" t="s">
        <v>360</v>
      </c>
    </row>
    <row r="101" spans="4:8">
      <c r="D101" s="39"/>
      <c r="E101" s="39"/>
      <c r="F101" s="39"/>
      <c r="G101" s="39"/>
      <c r="H101" s="39"/>
    </row>
    <row r="102" spans="4:8">
      <c r="D102" s="39"/>
      <c r="E102" s="41" t="s">
        <v>413</v>
      </c>
      <c r="F102" s="41" t="s">
        <v>449</v>
      </c>
      <c r="G102" s="39"/>
      <c r="H102" s="39"/>
    </row>
    <row r="103" spans="4:8">
      <c r="D103" s="41" t="s">
        <v>450</v>
      </c>
      <c r="E103" s="274">
        <f>E47</f>
        <v>2.3554452715743038E-2</v>
      </c>
      <c r="F103" s="274">
        <f>E48</f>
        <v>5.3772263578715188E-2</v>
      </c>
      <c r="G103" s="39"/>
      <c r="H103" s="39"/>
    </row>
    <row r="104" spans="4:8">
      <c r="D104" s="92" t="s">
        <v>451</v>
      </c>
      <c r="E104" s="274">
        <f>I50</f>
        <v>3.4665563826854151E-2</v>
      </c>
      <c r="F104" s="274">
        <f>I51</f>
        <v>8.2661152467604082E-2</v>
      </c>
      <c r="G104" s="39"/>
      <c r="H104" s="39"/>
    </row>
  </sheetData>
  <mergeCells count="2">
    <mergeCell ref="O5:S5"/>
    <mergeCell ref="D4:H4"/>
  </mergeCells>
  <phoneticPr fontId="46" type="noConversion"/>
  <conditionalFormatting sqref="H98 D98">
    <cfRule type="expression" dxfId="1" priority="2">
      <formula>$F$65="single"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S105"/>
  <sheetViews>
    <sheetView topLeftCell="A21" zoomScale="85" zoomScaleNormal="85" workbookViewId="0">
      <selection activeCell="K53" sqref="K53"/>
    </sheetView>
  </sheetViews>
  <sheetFormatPr defaultRowHeight="13.2"/>
  <cols>
    <col min="1" max="1" width="22.109375" customWidth="1"/>
    <col min="4" max="4" width="19.109375" customWidth="1"/>
    <col min="5" max="5" width="13.88671875" customWidth="1"/>
    <col min="6" max="6" width="13.33203125" customWidth="1"/>
    <col min="9" max="9" width="11.88671875" customWidth="1"/>
    <col min="11" max="11" width="11.6640625" customWidth="1"/>
    <col min="12" max="12" width="11.33203125" customWidth="1"/>
    <col min="13" max="13" width="10" customWidth="1"/>
  </cols>
  <sheetData>
    <row r="4" spans="4:19">
      <c r="D4" s="340" t="s">
        <v>389</v>
      </c>
      <c r="E4" s="340"/>
      <c r="F4" s="340"/>
      <c r="G4" s="340"/>
      <c r="H4" s="340"/>
    </row>
    <row r="5" spans="4:19">
      <c r="D5" s="271"/>
      <c r="E5" s="272" t="s">
        <v>384</v>
      </c>
      <c r="F5" s="272" t="s">
        <v>337</v>
      </c>
      <c r="G5" s="272" t="s">
        <v>385</v>
      </c>
      <c r="H5" s="272" t="s">
        <v>337</v>
      </c>
      <c r="O5" s="338" t="s">
        <v>394</v>
      </c>
      <c r="P5" s="339"/>
      <c r="Q5" s="339"/>
      <c r="R5" s="339"/>
      <c r="S5" s="339"/>
    </row>
    <row r="6" spans="4:19">
      <c r="D6" s="92" t="s">
        <v>349</v>
      </c>
      <c r="E6" s="44">
        <f>'Design Calculator'!F31</f>
        <v>249</v>
      </c>
      <c r="F6" s="92" t="s">
        <v>386</v>
      </c>
      <c r="G6" s="39">
        <f>'Design Calculator'!H126</f>
        <v>1</v>
      </c>
      <c r="H6" s="92" t="s">
        <v>388</v>
      </c>
      <c r="O6" s="41" t="s">
        <v>391</v>
      </c>
      <c r="P6" s="39"/>
      <c r="Q6" s="41" t="s">
        <v>390</v>
      </c>
      <c r="R6" s="39"/>
      <c r="S6" s="39"/>
    </row>
    <row r="7" spans="4:19">
      <c r="D7" s="41" t="s">
        <v>348</v>
      </c>
      <c r="E7" s="39">
        <f>'Design Calculator'!F127</f>
        <v>80.599999999999994</v>
      </c>
      <c r="F7" s="41" t="s">
        <v>386</v>
      </c>
      <c r="G7" s="39">
        <f>'Design Calculator'!H127</f>
        <v>0.1</v>
      </c>
      <c r="H7" s="41" t="s">
        <v>388</v>
      </c>
      <c r="O7" s="41" t="s">
        <v>320</v>
      </c>
      <c r="P7" s="41" t="s">
        <v>301</v>
      </c>
      <c r="Q7" s="41" t="s">
        <v>300</v>
      </c>
      <c r="R7" s="41" t="s">
        <v>302</v>
      </c>
      <c r="S7" s="41" t="s">
        <v>392</v>
      </c>
    </row>
    <row r="8" spans="4:19">
      <c r="D8" s="41" t="s">
        <v>350</v>
      </c>
      <c r="E8" s="296">
        <f>'Design Calculator'!F128</f>
        <v>2740</v>
      </c>
      <c r="F8" s="41" t="s">
        <v>386</v>
      </c>
      <c r="G8" s="39">
        <f>'Design Calculator'!H128</f>
        <v>0.1</v>
      </c>
      <c r="H8" s="41" t="s">
        <v>388</v>
      </c>
      <c r="O8" s="39">
        <v>52</v>
      </c>
      <c r="P8" s="39">
        <v>114.75</v>
      </c>
      <c r="Q8" s="39">
        <v>135</v>
      </c>
      <c r="R8" s="39">
        <v>155.25</v>
      </c>
      <c r="S8" s="274">
        <f>MAX(R8-Q8,Q8-P8)/Q8</f>
        <v>0.15</v>
      </c>
    </row>
    <row r="9" spans="4:19">
      <c r="D9" s="41" t="s">
        <v>151</v>
      </c>
      <c r="E9" s="44">
        <f>'Design Calculator'!F129</f>
        <v>24</v>
      </c>
      <c r="F9" s="41" t="s">
        <v>155</v>
      </c>
      <c r="G9" s="39">
        <f>'Design Calculator'!H129</f>
        <v>1</v>
      </c>
      <c r="H9" s="41" t="s">
        <v>388</v>
      </c>
      <c r="O9" s="39">
        <v>105</v>
      </c>
      <c r="P9" s="39">
        <v>56.95</v>
      </c>
      <c r="Q9" s="39">
        <v>67</v>
      </c>
      <c r="R9" s="39">
        <v>77.05</v>
      </c>
      <c r="S9" s="274">
        <f t="shared" ref="S9:S10" si="0">MAX(R9-Q9,Q9-P9)/Q9</f>
        <v>0.14999999999999997</v>
      </c>
    </row>
    <row r="10" spans="4:19">
      <c r="D10" s="41" t="s">
        <v>383</v>
      </c>
      <c r="E10" s="44">
        <f>'Design Calculator'!F124</f>
        <v>1</v>
      </c>
      <c r="F10" s="41" t="s">
        <v>387</v>
      </c>
      <c r="G10" s="39">
        <f>'Design Calculator'!H124</f>
        <v>1</v>
      </c>
      <c r="H10" s="41" t="s">
        <v>388</v>
      </c>
      <c r="O10" s="39">
        <v>261</v>
      </c>
      <c r="P10" s="39">
        <v>18.899999999999999</v>
      </c>
      <c r="Q10" s="39">
        <v>27</v>
      </c>
      <c r="R10" s="39">
        <v>35.1</v>
      </c>
      <c r="S10" s="274">
        <f t="shared" si="0"/>
        <v>0.30000000000000004</v>
      </c>
    </row>
    <row r="11" spans="4:19">
      <c r="D11" s="92" t="s">
        <v>420</v>
      </c>
      <c r="E11" s="39">
        <f>VINMAX</f>
        <v>13</v>
      </c>
      <c r="F11" s="92" t="s">
        <v>49</v>
      </c>
      <c r="G11" s="39"/>
      <c r="H11" s="39"/>
      <c r="O11" s="39"/>
      <c r="P11" s="39"/>
      <c r="Q11" s="39"/>
      <c r="R11" s="39"/>
      <c r="S11" s="39"/>
    </row>
    <row r="12" spans="4:19">
      <c r="D12" s="92" t="s">
        <v>454</v>
      </c>
      <c r="E12" s="39"/>
      <c r="F12" s="39"/>
      <c r="G12" s="275">
        <f>'Design Calculator'!H133</f>
        <v>10</v>
      </c>
      <c r="H12" s="285" t="s">
        <v>388</v>
      </c>
      <c r="O12" s="41" t="s">
        <v>395</v>
      </c>
      <c r="P12" s="39"/>
      <c r="Q12" s="39"/>
      <c r="R12" s="39"/>
      <c r="S12" s="39"/>
    </row>
    <row r="13" spans="4:19">
      <c r="D13" s="92" t="s">
        <v>351</v>
      </c>
      <c r="E13" s="39"/>
      <c r="F13" s="39"/>
      <c r="G13" s="275">
        <f>'Design Calculator'!H134</f>
        <v>10</v>
      </c>
      <c r="H13" s="285" t="s">
        <v>388</v>
      </c>
      <c r="O13" s="41" t="s">
        <v>299</v>
      </c>
      <c r="P13" s="39">
        <v>150</v>
      </c>
      <c r="Q13" s="41" t="s">
        <v>393</v>
      </c>
      <c r="R13" s="39"/>
      <c r="S13" s="39"/>
    </row>
    <row r="14" spans="4:19">
      <c r="D14" s="92" t="s">
        <v>447</v>
      </c>
      <c r="E14" s="39"/>
      <c r="F14" s="39"/>
      <c r="G14" s="275">
        <f>AVERAGE('Design Calculator'!H130, 'Design Calculator'!H131, 'Design Calculator'!H132)</f>
        <v>1</v>
      </c>
      <c r="H14" s="285" t="s">
        <v>388</v>
      </c>
      <c r="O14" s="41" t="s">
        <v>263</v>
      </c>
      <c r="P14" s="274">
        <v>4.0000000000000001E-3</v>
      </c>
      <c r="Q14" s="41"/>
      <c r="R14" s="39"/>
      <c r="S14" s="39"/>
    </row>
    <row r="15" spans="4:19">
      <c r="D15" s="34"/>
      <c r="E15" s="7"/>
      <c r="F15" s="7"/>
      <c r="G15" s="288"/>
      <c r="H15" s="289"/>
      <c r="O15" s="39"/>
      <c r="P15" s="39"/>
      <c r="Q15" s="39"/>
      <c r="R15" s="39"/>
      <c r="S15" s="39"/>
    </row>
    <row r="16" spans="4:19">
      <c r="O16" s="41" t="s">
        <v>396</v>
      </c>
      <c r="P16" s="41" t="s">
        <v>301</v>
      </c>
      <c r="Q16" s="41" t="s">
        <v>300</v>
      </c>
      <c r="R16" s="41" t="s">
        <v>302</v>
      </c>
      <c r="S16" s="41" t="s">
        <v>392</v>
      </c>
    </row>
    <row r="17" spans="4:19">
      <c r="D17" s="18" t="s">
        <v>401</v>
      </c>
      <c r="O17" s="41" t="s">
        <v>397</v>
      </c>
      <c r="P17" s="39">
        <v>665</v>
      </c>
      <c r="Q17" s="39">
        <v>675</v>
      </c>
      <c r="R17" s="39">
        <v>686</v>
      </c>
      <c r="S17" s="274">
        <f>MAX(R17-Q17,Q17-P17)/Q17</f>
        <v>1.6296296296296295E-2</v>
      </c>
    </row>
    <row r="18" spans="4:19">
      <c r="O18" s="39"/>
      <c r="P18" s="39"/>
      <c r="Q18" s="39"/>
      <c r="R18" s="39"/>
      <c r="S18" s="39"/>
    </row>
    <row r="19" spans="4:19">
      <c r="D19" s="18" t="s">
        <v>402</v>
      </c>
      <c r="O19" s="41" t="s">
        <v>398</v>
      </c>
      <c r="P19" s="39"/>
      <c r="Q19" s="39"/>
      <c r="R19" s="39"/>
      <c r="S19" s="39"/>
    </row>
    <row r="20" spans="4:19">
      <c r="D20" s="18" t="s">
        <v>403</v>
      </c>
      <c r="E20">
        <f>0.1*E6</f>
        <v>24.900000000000002</v>
      </c>
      <c r="F20" s="18" t="s">
        <v>106</v>
      </c>
      <c r="O20" s="41" t="s">
        <v>349</v>
      </c>
      <c r="P20" s="41" t="s">
        <v>399</v>
      </c>
      <c r="Q20" s="41" t="s">
        <v>400</v>
      </c>
      <c r="R20" s="41" t="s">
        <v>302</v>
      </c>
      <c r="S20" s="41" t="s">
        <v>392</v>
      </c>
    </row>
    <row r="21" spans="4:19">
      <c r="O21" s="39">
        <v>200</v>
      </c>
      <c r="P21" s="39">
        <v>18</v>
      </c>
      <c r="Q21" s="39">
        <v>20</v>
      </c>
      <c r="R21" s="39">
        <v>22</v>
      </c>
      <c r="S21" s="274">
        <f>MAX(R21-Q21,Q21-P21)/Q21</f>
        <v>0.1</v>
      </c>
    </row>
    <row r="22" spans="4:19">
      <c r="E22" s="18" t="s">
        <v>404</v>
      </c>
      <c r="F22" s="18" t="s">
        <v>405</v>
      </c>
      <c r="O22" s="39">
        <v>1</v>
      </c>
      <c r="P22" s="39">
        <v>95</v>
      </c>
      <c r="Q22" s="39">
        <v>100</v>
      </c>
      <c r="R22" s="39">
        <v>105</v>
      </c>
      <c r="S22" s="274">
        <f t="shared" ref="S22:S23" si="1">MAX(R22-Q22,Q22-P22)/Q22</f>
        <v>0.05</v>
      </c>
    </row>
    <row r="23" spans="4:19">
      <c r="D23" s="18" t="s">
        <v>406</v>
      </c>
      <c r="E23">
        <f>IF(E20&lt;Q22, Q21, Q22)</f>
        <v>20</v>
      </c>
      <c r="F23">
        <f>IF(E20&lt;Q22, R21-Q21, R22-Q22)</f>
        <v>2</v>
      </c>
      <c r="O23" s="39">
        <v>4</v>
      </c>
      <c r="P23" s="39">
        <v>380</v>
      </c>
      <c r="Q23" s="39">
        <v>400</v>
      </c>
      <c r="R23" s="39">
        <v>420</v>
      </c>
      <c r="S23" s="274">
        <f t="shared" si="1"/>
        <v>0.05</v>
      </c>
    </row>
    <row r="24" spans="4:19">
      <c r="D24" s="18" t="s">
        <v>407</v>
      </c>
      <c r="E24">
        <f>IF(E20&gt;Q22, Q23, Q22)</f>
        <v>100</v>
      </c>
      <c r="F24">
        <f>IF(E20&gt;Q22, R23 - Q23, R22 - Q22)</f>
        <v>5</v>
      </c>
      <c r="O24" s="39"/>
      <c r="P24" s="39"/>
      <c r="Q24" s="39"/>
      <c r="R24" s="39"/>
      <c r="S24" s="39"/>
    </row>
    <row r="25" spans="4:19">
      <c r="O25" s="41" t="s">
        <v>429</v>
      </c>
      <c r="P25" s="39"/>
      <c r="Q25" s="39"/>
      <c r="R25" s="39"/>
      <c r="S25" s="39"/>
    </row>
    <row r="26" spans="4:19">
      <c r="D26" s="18" t="s">
        <v>408</v>
      </c>
      <c r="E26">
        <f xml:space="preserve"> (E20-E23)/(E24-E23)</f>
        <v>6.1250000000000027E-2</v>
      </c>
      <c r="O26" s="41" t="s">
        <v>299</v>
      </c>
      <c r="P26" s="39">
        <v>3</v>
      </c>
      <c r="Q26" s="41" t="s">
        <v>106</v>
      </c>
      <c r="R26" s="39"/>
      <c r="S26" s="39"/>
    </row>
    <row r="27" spans="4:19">
      <c r="D27" s="18" t="s">
        <v>409</v>
      </c>
      <c r="E27">
        <f>(E24-E20)/(E24-E23)</f>
        <v>0.93874999999999997</v>
      </c>
      <c r="O27" s="41" t="s">
        <v>430</v>
      </c>
      <c r="P27" s="274">
        <f>2/300</f>
        <v>6.6666666666666671E-3</v>
      </c>
      <c r="Q27" s="39"/>
      <c r="R27" s="39"/>
      <c r="S27" s="39"/>
    </row>
    <row r="29" spans="4:19">
      <c r="D29" s="18" t="s">
        <v>410</v>
      </c>
      <c r="E29">
        <f>E26*F24+E27*F23</f>
        <v>2.1837499999999999</v>
      </c>
    </row>
    <row r="30" spans="4:19">
      <c r="D30" s="18" t="s">
        <v>455</v>
      </c>
      <c r="E30">
        <f>SQRT(E29^2+(E20*G6/100)^2)</f>
        <v>2.1979001484371392</v>
      </c>
    </row>
    <row r="31" spans="4:19">
      <c r="E31" s="18" t="s">
        <v>301</v>
      </c>
      <c r="F31" s="18" t="s">
        <v>300</v>
      </c>
      <c r="G31" s="18" t="s">
        <v>302</v>
      </c>
      <c r="O31" s="18" t="s">
        <v>440</v>
      </c>
      <c r="P31">
        <v>1.3</v>
      </c>
      <c r="Q31">
        <v>1.35</v>
      </c>
      <c r="R31">
        <v>1.4</v>
      </c>
    </row>
    <row r="32" spans="4:19">
      <c r="D32" s="18" t="s">
        <v>403</v>
      </c>
      <c r="E32">
        <f>(F32-E29)</f>
        <v>22.716250000000002</v>
      </c>
      <c r="F32">
        <f>E20</f>
        <v>24.900000000000002</v>
      </c>
      <c r="G32">
        <f>(F32+E29)</f>
        <v>27.083750000000002</v>
      </c>
      <c r="O32" s="34" t="s">
        <v>441</v>
      </c>
      <c r="P32" s="278">
        <f>(12.5-10.25)/10.25</f>
        <v>0.21951219512195122</v>
      </c>
    </row>
    <row r="33" spans="4:11">
      <c r="D33" s="18" t="s">
        <v>411</v>
      </c>
      <c r="E33">
        <f>E32/$E$10</f>
        <v>22.716250000000002</v>
      </c>
      <c r="F33">
        <f>F32/$E$10</f>
        <v>24.900000000000002</v>
      </c>
      <c r="G33">
        <f>G32/$E$10</f>
        <v>27.083750000000002</v>
      </c>
    </row>
    <row r="36" spans="4:11">
      <c r="D36" s="18" t="s">
        <v>412</v>
      </c>
      <c r="H36" s="18" t="s">
        <v>423</v>
      </c>
      <c r="I36" s="18" t="s">
        <v>75</v>
      </c>
    </row>
    <row r="38" spans="4:11">
      <c r="D38" s="18" t="s">
        <v>413</v>
      </c>
      <c r="E38" s="276">
        <f>E7/E8*675</f>
        <v>19.855839416058391</v>
      </c>
      <c r="F38" s="18" t="s">
        <v>106</v>
      </c>
      <c r="H38" s="18" t="s">
        <v>421</v>
      </c>
      <c r="I38" s="273">
        <f>E48+S17</f>
        <v>2.95276891116577E-2</v>
      </c>
      <c r="J38" s="18"/>
    </row>
    <row r="39" spans="4:11">
      <c r="D39" s="18" t="s">
        <v>414</v>
      </c>
      <c r="E39" s="276">
        <f>E38*0.2</f>
        <v>3.9711678832116784</v>
      </c>
      <c r="F39" s="18" t="s">
        <v>106</v>
      </c>
    </row>
    <row r="40" spans="4:11">
      <c r="I40" s="18" t="s">
        <v>301</v>
      </c>
      <c r="J40" s="18" t="s">
        <v>300</v>
      </c>
      <c r="K40" s="18" t="s">
        <v>302</v>
      </c>
    </row>
    <row r="41" spans="4:11">
      <c r="D41" s="18" t="s">
        <v>417</v>
      </c>
      <c r="H41" s="18" t="s">
        <v>422</v>
      </c>
      <c r="I41">
        <f>J41*(1-I38)</f>
        <v>19.269542362730018</v>
      </c>
      <c r="J41">
        <f>E38/E10</f>
        <v>19.855839416058391</v>
      </c>
      <c r="K41">
        <f>J41*(1+I38)</f>
        <v>20.44213646938676</v>
      </c>
    </row>
    <row r="42" spans="4:11">
      <c r="D42" s="18" t="s">
        <v>415</v>
      </c>
      <c r="E42" s="274">
        <f>SQRT($P$14^2+($P$13*0.001/E38)^2)</f>
        <v>8.5480849220394024E-3</v>
      </c>
      <c r="F42" s="18"/>
    </row>
    <row r="43" spans="4:11">
      <c r="D43" s="18" t="s">
        <v>416</v>
      </c>
      <c r="E43" s="274">
        <f>SQRT($P$14^2+($P$13*0.001/E39)^2)</f>
        <v>3.7983468718113859E-2</v>
      </c>
      <c r="F43" s="18" t="s">
        <v>388</v>
      </c>
    </row>
    <row r="44" spans="4:11">
      <c r="H44" s="18" t="s">
        <v>424</v>
      </c>
    </row>
    <row r="45" spans="4:11">
      <c r="D45" s="18" t="s">
        <v>418</v>
      </c>
      <c r="E45" s="274">
        <f>SQRT(G7^2+G8^2+G10^2)/100</f>
        <v>1.0099504938362078E-2</v>
      </c>
      <c r="F45" s="18" t="s">
        <v>388</v>
      </c>
    </row>
    <row r="46" spans="4:11">
      <c r="H46" s="18" t="s">
        <v>426</v>
      </c>
    </row>
    <row r="47" spans="4:11">
      <c r="D47" s="18" t="s">
        <v>419</v>
      </c>
      <c r="H47" s="18" t="s">
        <v>425</v>
      </c>
      <c r="I47" s="274">
        <f>SQRT((P26/675)^2+P27^2)</f>
        <v>8.0123361676977551E-3</v>
      </c>
    </row>
    <row r="48" spans="4:11">
      <c r="D48" s="18" t="s">
        <v>415</v>
      </c>
      <c r="E48" s="274">
        <f>SQRT($E$45^2+E42^2)</f>
        <v>1.3231392815361403E-2</v>
      </c>
      <c r="F48" s="18"/>
      <c r="H48" s="278">
        <v>0.2</v>
      </c>
      <c r="I48" s="274">
        <f>SQRT((P26/0.2/675)^2+P27^2)</f>
        <v>2.3200681130912334E-2</v>
      </c>
    </row>
    <row r="49" spans="4:9">
      <c r="D49" s="18" t="s">
        <v>416</v>
      </c>
      <c r="E49" s="274">
        <f>SQRT($E$45^2+E43^2)</f>
        <v>3.9303230094483763E-2</v>
      </c>
      <c r="F49" s="18"/>
    </row>
    <row r="50" spans="4:9">
      <c r="H50" s="18" t="s">
        <v>427</v>
      </c>
    </row>
    <row r="51" spans="4:9">
      <c r="H51" s="18" t="s">
        <v>428</v>
      </c>
      <c r="I51" s="274">
        <f>SQRT(I47^2+E48^2)</f>
        <v>1.5468267087770205E-2</v>
      </c>
    </row>
    <row r="52" spans="4:9">
      <c r="D52" s="18" t="s">
        <v>439</v>
      </c>
      <c r="H52" s="278">
        <v>0.2</v>
      </c>
      <c r="I52" s="274">
        <f t="shared" ref="I52" si="2">SQRT(I48^2+E49^2)</f>
        <v>4.5640064644982763E-2</v>
      </c>
    </row>
    <row r="54" spans="4:9">
      <c r="D54" s="18" t="s">
        <v>432</v>
      </c>
    </row>
    <row r="55" spans="4:9">
      <c r="D55" s="18" t="s">
        <v>431</v>
      </c>
      <c r="E55">
        <f>84375/E9/E11</f>
        <v>270.43269230769232</v>
      </c>
      <c r="F55" s="18" t="s">
        <v>106</v>
      </c>
    </row>
    <row r="57" spans="4:9">
      <c r="E57" s="18" t="s">
        <v>404</v>
      </c>
      <c r="F57" s="18" t="s">
        <v>405</v>
      </c>
    </row>
    <row r="58" spans="4:9">
      <c r="D58" s="18" t="s">
        <v>406</v>
      </c>
      <c r="E58">
        <f>IF(E55&lt;Q9, Q10, Q9)</f>
        <v>67</v>
      </c>
      <c r="F58">
        <f>IF(E55&lt;Q9, Q10-P10, Q9-P9)</f>
        <v>10.049999999999997</v>
      </c>
    </row>
    <row r="59" spans="4:9">
      <c r="D59" s="18" t="s">
        <v>407</v>
      </c>
      <c r="E59">
        <f>IF(E55&gt;Q9, Q8, Q9)</f>
        <v>135</v>
      </c>
      <c r="F59">
        <f>IF(E55&gt;Q9, Q8-P8, Q9-P9)</f>
        <v>20.25</v>
      </c>
    </row>
    <row r="61" spans="4:9">
      <c r="D61" s="18" t="s">
        <v>408</v>
      </c>
      <c r="E61">
        <f xml:space="preserve"> (E55-E58)/(E59-E58)</f>
        <v>2.9916572398190047</v>
      </c>
    </row>
    <row r="62" spans="4:9">
      <c r="D62" s="18" t="s">
        <v>409</v>
      </c>
      <c r="E62">
        <f>(E59-E55)/(E59-E58)</f>
        <v>-1.9916572398190047</v>
      </c>
    </row>
    <row r="64" spans="4:9">
      <c r="D64" s="18" t="s">
        <v>410</v>
      </c>
      <c r="E64">
        <f>E61*F59+E62*F58</f>
        <v>40.564903846153854</v>
      </c>
      <c r="F64" s="18" t="s">
        <v>106</v>
      </c>
      <c r="G64" s="18"/>
    </row>
    <row r="65" spans="4:8">
      <c r="D65" s="18" t="s">
        <v>264</v>
      </c>
      <c r="E65" s="274">
        <f>E64/E55</f>
        <v>0.15000000000000002</v>
      </c>
      <c r="F65" s="18"/>
    </row>
    <row r="66" spans="4:8">
      <c r="D66" s="18"/>
    </row>
    <row r="67" spans="4:8">
      <c r="D67" s="18" t="s">
        <v>433</v>
      </c>
    </row>
    <row r="68" spans="4:8">
      <c r="D68" s="34" t="s">
        <v>434</v>
      </c>
      <c r="E68">
        <f>E55/675*E38</f>
        <v>7.9550638686131379</v>
      </c>
      <c r="F68" s="18" t="s">
        <v>106</v>
      </c>
    </row>
    <row r="69" spans="4:8">
      <c r="D69" s="34" t="s">
        <v>435</v>
      </c>
      <c r="E69" s="274">
        <f>$P$14+$P$13*0.001/E68</f>
        <v>2.2855913978494624E-2</v>
      </c>
    </row>
    <row r="70" spans="4:8">
      <c r="D70" s="34"/>
    </row>
    <row r="71" spans="4:8">
      <c r="D71" s="34" t="s">
        <v>436</v>
      </c>
      <c r="E71" s="277">
        <f>SQRT(E45^2+(G9/100)^2)</f>
        <v>1.4212670403551895E-2</v>
      </c>
    </row>
    <row r="73" spans="4:8">
      <c r="D73" s="18" t="s">
        <v>437</v>
      </c>
      <c r="E73" s="277">
        <f>SQRT(E71^2+E69^2+E65^2)</f>
        <v>0.15239551438212462</v>
      </c>
    </row>
    <row r="75" spans="4:8">
      <c r="D75" s="18" t="s">
        <v>438</v>
      </c>
      <c r="E75" s="18" t="s">
        <v>301</v>
      </c>
      <c r="F75" s="18" t="s">
        <v>300</v>
      </c>
      <c r="G75" s="18" t="s">
        <v>302</v>
      </c>
    </row>
    <row r="76" spans="4:8">
      <c r="E76">
        <f>F76*(1-E73)</f>
        <v>87.655721639371393</v>
      </c>
      <c r="F76">
        <f>E68/E10*E11</f>
        <v>103.41583029197079</v>
      </c>
      <c r="G76">
        <f>F76*(1+E73)</f>
        <v>119.17593894457019</v>
      </c>
      <c r="H76" s="18" t="s">
        <v>50</v>
      </c>
    </row>
    <row r="79" spans="4:8">
      <c r="D79" s="18" t="s">
        <v>442</v>
      </c>
    </row>
    <row r="80" spans="4:8">
      <c r="D80" s="18" t="s">
        <v>452</v>
      </c>
      <c r="E80" s="279">
        <f>SQRT($P$32^2+(G12/100)^2)</f>
        <v>0.24121692272155698</v>
      </c>
    </row>
    <row r="81" spans="4:8">
      <c r="D81" s="18" t="s">
        <v>453</v>
      </c>
      <c r="E81" s="279">
        <f>SQRT($P$32^2+(G13/100)^2)</f>
        <v>0.24121692272155698</v>
      </c>
    </row>
    <row r="83" spans="4:8">
      <c r="D83" s="18" t="s">
        <v>443</v>
      </c>
    </row>
    <row r="84" spans="4:8">
      <c r="D84" s="18"/>
      <c r="E84" s="277">
        <f>SQRT(((R31-Q31)/Q31)^2+2*(G14/100)^2)</f>
        <v>3.9645202893702582E-2</v>
      </c>
      <c r="F84" s="18"/>
      <c r="G84" s="18"/>
    </row>
    <row r="85" spans="4:8">
      <c r="D85" s="18"/>
    </row>
    <row r="86" spans="4:8">
      <c r="D86" s="18"/>
    </row>
    <row r="87" spans="4:8">
      <c r="D87" s="18" t="s">
        <v>448</v>
      </c>
    </row>
    <row r="89" spans="4:8">
      <c r="D89" s="255" t="s">
        <v>339</v>
      </c>
      <c r="E89" s="282" t="s">
        <v>34</v>
      </c>
      <c r="F89" s="256" t="s">
        <v>35</v>
      </c>
      <c r="G89" s="282" t="s">
        <v>36</v>
      </c>
      <c r="H89" s="257" t="s">
        <v>98</v>
      </c>
    </row>
    <row r="90" spans="4:8">
      <c r="D90" s="258" t="s">
        <v>144</v>
      </c>
      <c r="E90" s="283">
        <f>I41</f>
        <v>19.269542362730018</v>
      </c>
      <c r="F90" s="283">
        <f t="shared" ref="F90:G90" si="3">J41</f>
        <v>19.855839416058391</v>
      </c>
      <c r="G90" s="283">
        <f t="shared" si="3"/>
        <v>20.44213646938676</v>
      </c>
      <c r="H90" s="259" t="s">
        <v>9</v>
      </c>
    </row>
    <row r="91" spans="4:8">
      <c r="D91" s="258" t="s">
        <v>272</v>
      </c>
      <c r="E91" s="283">
        <f>E33</f>
        <v>22.716250000000002</v>
      </c>
      <c r="F91" s="283">
        <f t="shared" ref="F91:G91" si="4">F33</f>
        <v>24.900000000000002</v>
      </c>
      <c r="G91" s="283">
        <f t="shared" si="4"/>
        <v>27.083750000000002</v>
      </c>
      <c r="H91" s="259" t="s">
        <v>9</v>
      </c>
    </row>
    <row r="92" spans="4:8">
      <c r="D92" s="262" t="s">
        <v>357</v>
      </c>
      <c r="E92" s="287" t="s">
        <v>444</v>
      </c>
      <c r="F92" s="180">
        <f>'Design Calculator'!E144</f>
        <v>0.498</v>
      </c>
      <c r="G92" s="287" t="s">
        <v>444</v>
      </c>
      <c r="H92" s="248" t="s">
        <v>318</v>
      </c>
    </row>
    <row r="93" spans="4:8">
      <c r="D93" s="258" t="s">
        <v>105</v>
      </c>
      <c r="E93" s="283">
        <f>E76</f>
        <v>87.655721639371393</v>
      </c>
      <c r="F93" s="283">
        <f t="shared" ref="F93:G93" si="5">F76</f>
        <v>103.41583029197079</v>
      </c>
      <c r="G93" s="283">
        <f t="shared" si="5"/>
        <v>119.17593894457019</v>
      </c>
      <c r="H93" s="259" t="s">
        <v>50</v>
      </c>
    </row>
    <row r="94" spans="4:8">
      <c r="D94" s="264" t="s">
        <v>355</v>
      </c>
      <c r="E94" s="283">
        <f>F94*(1-$E$84)</f>
        <v>9.622643828997715</v>
      </c>
      <c r="F94" s="180">
        <f>'Design Calculator'!E146</f>
        <v>10.019884169884172</v>
      </c>
      <c r="G94" s="283">
        <f>F94*(1+$E$84)</f>
        <v>10.417124510770629</v>
      </c>
      <c r="H94" s="259" t="s">
        <v>49</v>
      </c>
    </row>
    <row r="95" spans="4:8">
      <c r="D95" s="264" t="s">
        <v>356</v>
      </c>
      <c r="E95" s="283">
        <f>F95*(1-$E$84)</f>
        <v>13.447471681890693</v>
      </c>
      <c r="F95" s="180">
        <f>'Design Calculator'!E147</f>
        <v>14.002607913669069</v>
      </c>
      <c r="G95" s="283">
        <f>F95*(1+$E$84)</f>
        <v>14.557744145447446</v>
      </c>
      <c r="H95" s="259" t="s">
        <v>49</v>
      </c>
    </row>
    <row r="96" spans="4:8">
      <c r="D96" s="262" t="s">
        <v>362</v>
      </c>
      <c r="E96" s="283"/>
      <c r="F96" s="180">
        <f>'Design Calculator'!E148</f>
        <v>1</v>
      </c>
      <c r="G96" s="283"/>
      <c r="H96" s="253" t="s">
        <v>9</v>
      </c>
    </row>
    <row r="97" spans="4:8">
      <c r="D97" s="262" t="s">
        <v>363</v>
      </c>
      <c r="E97" s="287" t="s">
        <v>444</v>
      </c>
      <c r="F97" s="180">
        <f>'Design Calculator'!E149</f>
        <v>0.33</v>
      </c>
      <c r="G97" s="287" t="s">
        <v>444</v>
      </c>
      <c r="H97" s="248" t="s">
        <v>318</v>
      </c>
    </row>
    <row r="98" spans="4:8">
      <c r="D98" s="245" t="str">
        <f>IF(G20="single", "timer", "inrush timer")</f>
        <v>inrush timer</v>
      </c>
      <c r="E98" s="283">
        <f>F98*(1-$E$80)</f>
        <v>2.1986202336750984</v>
      </c>
      <c r="F98" s="180">
        <f>'Design Calculator'!E150</f>
        <v>2.8975609756097565</v>
      </c>
      <c r="G98" s="283">
        <f>F98*(1+$E$80)</f>
        <v>3.5965017175444145</v>
      </c>
      <c r="H98" s="253" t="s">
        <v>8</v>
      </c>
    </row>
    <row r="99" spans="4:8">
      <c r="D99" s="245" t="s">
        <v>361</v>
      </c>
      <c r="E99" s="283">
        <f>F99*(1-$E$80)</f>
        <v>0.999372833488681</v>
      </c>
      <c r="F99" s="180">
        <f>'Design Calculator'!E151</f>
        <v>1.3170731707317074</v>
      </c>
      <c r="G99" s="283">
        <f>F99*(1+$E$80)</f>
        <v>1.6347735079747336</v>
      </c>
      <c r="H99" s="253" t="s">
        <v>8</v>
      </c>
    </row>
    <row r="100" spans="4:8">
      <c r="D100" s="264" t="s">
        <v>358</v>
      </c>
      <c r="E100" s="287" t="s">
        <v>444</v>
      </c>
      <c r="F100" s="180">
        <f>'Design Calculator'!E152</f>
        <v>33.995037220843678</v>
      </c>
      <c r="G100" s="287" t="s">
        <v>444</v>
      </c>
      <c r="H100" s="259" t="s">
        <v>360</v>
      </c>
    </row>
    <row r="101" spans="4:8">
      <c r="D101" s="264" t="s">
        <v>359</v>
      </c>
      <c r="E101" s="287" t="s">
        <v>444</v>
      </c>
      <c r="F101" s="180">
        <f>'Design Calculator'!E153</f>
        <v>101.98511166253104</v>
      </c>
      <c r="G101" s="287" t="s">
        <v>444</v>
      </c>
      <c r="H101" s="259" t="s">
        <v>360</v>
      </c>
    </row>
    <row r="102" spans="4:8">
      <c r="D102" s="39"/>
      <c r="E102" s="39"/>
      <c r="F102" s="39"/>
      <c r="G102" s="39"/>
      <c r="H102" s="39"/>
    </row>
    <row r="103" spans="4:8">
      <c r="D103" s="39"/>
      <c r="E103" s="41" t="s">
        <v>413</v>
      </c>
      <c r="F103" s="41" t="s">
        <v>449</v>
      </c>
      <c r="G103" s="39"/>
      <c r="H103" s="39"/>
    </row>
    <row r="104" spans="4:8">
      <c r="D104" s="41" t="s">
        <v>450</v>
      </c>
      <c r="E104" s="274">
        <f>E48</f>
        <v>1.3231392815361403E-2</v>
      </c>
      <c r="F104" s="274">
        <f>E49</f>
        <v>3.9303230094483763E-2</v>
      </c>
      <c r="G104" s="39"/>
      <c r="H104" s="39"/>
    </row>
    <row r="105" spans="4:8">
      <c r="D105" s="92" t="s">
        <v>451</v>
      </c>
      <c r="E105" s="274">
        <f>I51</f>
        <v>1.5468267087770205E-2</v>
      </c>
      <c r="F105" s="274">
        <f>I52</f>
        <v>4.5640064644982763E-2</v>
      </c>
      <c r="G105" s="39"/>
      <c r="H105" s="39"/>
    </row>
  </sheetData>
  <mergeCells count="2">
    <mergeCell ref="D4:H4"/>
    <mergeCell ref="O5:S5"/>
  </mergeCells>
  <phoneticPr fontId="46" type="noConversion"/>
  <conditionalFormatting sqref="H99 D99">
    <cfRule type="expression" dxfId="0" priority="1">
      <formula>$F$66="single"</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N21"/>
  <sheetViews>
    <sheetView workbookViewId="0">
      <selection activeCell="E5" sqref="E5:N21"/>
    </sheetView>
  </sheetViews>
  <sheetFormatPr defaultRowHeight="13.2"/>
  <cols>
    <col min="5" max="5" width="23" bestFit="1" customWidth="1"/>
    <col min="6" max="6" width="12" bestFit="1" customWidth="1"/>
    <col min="7" max="7" width="12.33203125" bestFit="1" customWidth="1"/>
    <col min="8" max="8" width="12" bestFit="1" customWidth="1"/>
    <col min="11" max="11" width="12.88671875" customWidth="1"/>
    <col min="12" max="12" width="11.6640625" customWidth="1"/>
    <col min="13" max="13" width="12.109375" customWidth="1"/>
  </cols>
  <sheetData>
    <row r="5" spans="5:14">
      <c r="E5" t="s">
        <v>339</v>
      </c>
      <c r="F5" t="s">
        <v>34</v>
      </c>
      <c r="G5" t="s">
        <v>35</v>
      </c>
      <c r="H5" t="s">
        <v>36</v>
      </c>
      <c r="I5" t="s">
        <v>98</v>
      </c>
      <c r="K5" t="s">
        <v>34</v>
      </c>
      <c r="L5" t="s">
        <v>35</v>
      </c>
      <c r="M5" t="s">
        <v>36</v>
      </c>
      <c r="N5" t="s">
        <v>98</v>
      </c>
    </row>
    <row r="6" spans="5:14">
      <c r="E6" t="s">
        <v>144</v>
      </c>
      <c r="F6">
        <v>33.313108614232206</v>
      </c>
      <c r="G6">
        <v>35.393258426966291</v>
      </c>
      <c r="H6">
        <v>37.473408239700376</v>
      </c>
      <c r="I6" t="s">
        <v>9</v>
      </c>
      <c r="K6">
        <v>34.119451606111966</v>
      </c>
      <c r="L6">
        <v>35.393258426966291</v>
      </c>
      <c r="M6">
        <v>36.667065247820609</v>
      </c>
      <c r="N6" t="s">
        <v>9</v>
      </c>
    </row>
    <row r="7" spans="5:14">
      <c r="E7" t="s">
        <v>272</v>
      </c>
      <c r="F7">
        <v>44.978175000000007</v>
      </c>
      <c r="G7">
        <v>49.800000000000004</v>
      </c>
      <c r="H7">
        <v>54.709175000000002</v>
      </c>
      <c r="I7" t="s">
        <v>9</v>
      </c>
      <c r="K7">
        <v>45.432500000000005</v>
      </c>
      <c r="L7">
        <v>49.800000000000004</v>
      </c>
      <c r="M7">
        <v>54.167500000000004</v>
      </c>
      <c r="N7" t="s">
        <v>9</v>
      </c>
    </row>
    <row r="8" spans="5:14">
      <c r="E8" t="s">
        <v>357</v>
      </c>
      <c r="F8" t="s">
        <v>444</v>
      </c>
      <c r="G8">
        <v>0.249</v>
      </c>
      <c r="H8" t="s">
        <v>444</v>
      </c>
      <c r="I8" t="s">
        <v>318</v>
      </c>
      <c r="K8" t="s">
        <v>444</v>
      </c>
      <c r="L8">
        <v>0.249</v>
      </c>
      <c r="M8" t="s">
        <v>444</v>
      </c>
      <c r="N8" t="s">
        <v>318</v>
      </c>
    </row>
    <row r="9" spans="5:14">
      <c r="E9" t="s">
        <v>105</v>
      </c>
      <c r="F9">
        <v>26.996372675748233</v>
      </c>
      <c r="G9">
        <v>39.1518345431043</v>
      </c>
      <c r="H9">
        <v>51.307296410460367</v>
      </c>
      <c r="I9" t="s">
        <v>50</v>
      </c>
      <c r="K9">
        <v>31.422252466694697</v>
      </c>
      <c r="L9">
        <v>39.1518345431043</v>
      </c>
      <c r="M9">
        <v>46.881416619513899</v>
      </c>
      <c r="N9" t="s">
        <v>50</v>
      </c>
    </row>
    <row r="10" spans="5:14">
      <c r="E10" t="s">
        <v>355</v>
      </c>
      <c r="F10">
        <v>9.4332564102564103</v>
      </c>
      <c r="G10">
        <v>10.003846153846153</v>
      </c>
      <c r="H10">
        <v>10.574435897435896</v>
      </c>
      <c r="I10" t="s">
        <v>49</v>
      </c>
      <c r="K10">
        <v>9.6072416433595365</v>
      </c>
      <c r="L10">
        <v>10.003846153846153</v>
      </c>
      <c r="M10">
        <v>10.400450664332771</v>
      </c>
      <c r="N10" t="s">
        <v>49</v>
      </c>
    </row>
    <row r="11" spans="5:14">
      <c r="E11" t="s">
        <v>356</v>
      </c>
      <c r="F11">
        <v>13.20994614003591</v>
      </c>
      <c r="G11">
        <v>14.008976660682228</v>
      </c>
      <c r="H11">
        <v>14.808007181328547</v>
      </c>
      <c r="I11" t="s">
        <v>49</v>
      </c>
      <c r="K11">
        <v>13.453587938636337</v>
      </c>
      <c r="L11">
        <v>14.008976660682228</v>
      </c>
      <c r="M11">
        <v>14.56436538272812</v>
      </c>
      <c r="N11" t="s">
        <v>49</v>
      </c>
    </row>
    <row r="12" spans="5:14">
      <c r="E12" t="s">
        <v>362</v>
      </c>
      <c r="G12">
        <v>4</v>
      </c>
      <c r="I12" t="s">
        <v>9</v>
      </c>
      <c r="L12">
        <v>4</v>
      </c>
      <c r="N12" t="s">
        <v>9</v>
      </c>
    </row>
    <row r="13" spans="5:14">
      <c r="E13" t="s">
        <v>363</v>
      </c>
      <c r="F13" t="s">
        <v>444</v>
      </c>
      <c r="G13">
        <v>0.2</v>
      </c>
      <c r="H13" t="s">
        <v>444</v>
      </c>
      <c r="I13" t="s">
        <v>318</v>
      </c>
      <c r="K13" t="s">
        <v>444</v>
      </c>
      <c r="L13">
        <v>0.2</v>
      </c>
      <c r="M13" t="s">
        <v>444</v>
      </c>
      <c r="N13" t="s">
        <v>318</v>
      </c>
    </row>
    <row r="14" spans="5:14">
      <c r="E14" t="s">
        <v>456</v>
      </c>
      <c r="F14">
        <v>14.174999999999999</v>
      </c>
      <c r="G14">
        <v>20.25</v>
      </c>
      <c r="H14">
        <v>26.324999999999999</v>
      </c>
      <c r="I14" t="s">
        <v>8</v>
      </c>
      <c r="K14">
        <v>15.721962345562927</v>
      </c>
      <c r="L14">
        <v>20.25</v>
      </c>
      <c r="M14">
        <v>24.778037654437075</v>
      </c>
      <c r="N14" t="s">
        <v>8</v>
      </c>
    </row>
    <row r="15" spans="5:14">
      <c r="E15" t="s">
        <v>361</v>
      </c>
      <c r="F15">
        <v>207.89999999999998</v>
      </c>
      <c r="G15">
        <v>297</v>
      </c>
      <c r="H15">
        <v>386.1</v>
      </c>
      <c r="I15" t="s">
        <v>8</v>
      </c>
      <c r="K15">
        <v>230.58878106825625</v>
      </c>
      <c r="L15">
        <v>297</v>
      </c>
      <c r="M15">
        <v>363.41121893174375</v>
      </c>
      <c r="N15" t="s">
        <v>8</v>
      </c>
    </row>
    <row r="16" spans="5:14">
      <c r="E16" t="s">
        <v>358</v>
      </c>
      <c r="F16" t="s">
        <v>444</v>
      </c>
      <c r="G16">
        <v>19.071428571428573</v>
      </c>
      <c r="H16" t="s">
        <v>444</v>
      </c>
      <c r="I16" t="s">
        <v>360</v>
      </c>
      <c r="K16" t="s">
        <v>444</v>
      </c>
      <c r="L16">
        <v>19.071428571428573</v>
      </c>
      <c r="M16" t="s">
        <v>444</v>
      </c>
      <c r="N16" t="s">
        <v>360</v>
      </c>
    </row>
    <row r="17" spans="5:14">
      <c r="E17" t="s">
        <v>359</v>
      </c>
      <c r="F17" t="s">
        <v>444</v>
      </c>
      <c r="G17">
        <v>57.214285714285722</v>
      </c>
      <c r="H17" t="s">
        <v>444</v>
      </c>
      <c r="I17" t="s">
        <v>360</v>
      </c>
      <c r="K17" t="s">
        <v>444</v>
      </c>
      <c r="L17">
        <v>57.214285714285722</v>
      </c>
      <c r="M17" t="s">
        <v>444</v>
      </c>
      <c r="N17" t="s">
        <v>360</v>
      </c>
    </row>
    <row r="19" spans="5:14">
      <c r="F19" t="s">
        <v>413</v>
      </c>
      <c r="G19" t="s">
        <v>449</v>
      </c>
      <c r="K19" t="s">
        <v>413</v>
      </c>
      <c r="L19" t="s">
        <v>449</v>
      </c>
    </row>
    <row r="20" spans="5:14">
      <c r="E20" t="s">
        <v>450</v>
      </c>
      <c r="F20">
        <v>4.2476190476190473E-2</v>
      </c>
      <c r="G20">
        <v>7.6380952380952383E-2</v>
      </c>
      <c r="K20">
        <v>1.9693801181810029E-2</v>
      </c>
      <c r="L20">
        <v>4.5958080080836204E-2</v>
      </c>
    </row>
    <row r="21" spans="5:14">
      <c r="E21" t="s">
        <v>451</v>
      </c>
      <c r="F21">
        <v>5.3587301587301586E-2</v>
      </c>
      <c r="G21">
        <v>0.10526984126984128</v>
      </c>
      <c r="K21">
        <v>3.0804912292921142E-2</v>
      </c>
      <c r="L21">
        <v>7.4846968969725092E-2</v>
      </c>
    </row>
  </sheetData>
  <phoneticPr fontId="4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CA8A64-6EE4-4C5D-819A-1C5D439393C7}">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2221501-B3A5-4699-A2D4-F7FCA1169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3F55C4D-C0F9-4416-A42D-819B8DC0FE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37</vt:i4>
      </vt:variant>
    </vt:vector>
  </HeadingPairs>
  <TitlesOfParts>
    <vt:vector size="46" baseType="lpstr">
      <vt:lpstr>Instructions</vt:lpstr>
      <vt:lpstr>Design Calculator</vt:lpstr>
      <vt:lpstr>Device Parmaters</vt:lpstr>
      <vt:lpstr>Equations</vt:lpstr>
      <vt:lpstr>Start_up</vt:lpstr>
      <vt:lpstr>SOA</vt:lpstr>
      <vt:lpstr>WorstCaseAnalysis</vt:lpstr>
      <vt:lpstr>RMS_Analysis</vt:lpstr>
      <vt:lpstr>comparison</vt:lpstr>
      <vt:lpstr>CLMAX</vt:lpstr>
      <vt:lpstr>CLMAX_Threshold</vt:lpstr>
      <vt:lpstr>CLMIN</vt:lpstr>
      <vt:lpstr>CLMIN_Threshold</vt:lpstr>
      <vt:lpstr>CLNOM</vt:lpstr>
      <vt:lpstr>CLNOM_Threshold</vt:lpstr>
      <vt:lpstr>COUTMAX</vt:lpstr>
      <vt:lpstr>FETPDISS</vt:lpstr>
      <vt:lpstr>FoldBack_max</vt:lpstr>
      <vt:lpstr>ILIM_tgt</vt:lpstr>
      <vt:lpstr>IOUTMAX</vt:lpstr>
      <vt:lpstr>NUMFETS</vt:lpstr>
      <vt:lpstr>'Design Calculator'!Print_Area</vt:lpstr>
      <vt:lpstr>RDIV1</vt:lpstr>
      <vt:lpstr>RDSON</vt:lpstr>
      <vt:lpstr>RIMON</vt:lpstr>
      <vt:lpstr>Rimon_recom</vt:lpstr>
      <vt:lpstr>RPROG</vt:lpstr>
      <vt:lpstr>RPWR</vt:lpstr>
      <vt:lpstr>Rs</vt:lpstr>
      <vt:lpstr>RsEFF</vt:lpstr>
      <vt:lpstr>Rset_recom</vt:lpstr>
      <vt:lpstr>RsMAX</vt:lpstr>
      <vt:lpstr>Sourcing_Current</vt:lpstr>
      <vt:lpstr>ss_rate</vt:lpstr>
      <vt:lpstr>TAMB</vt:lpstr>
      <vt:lpstr>Tfault</vt:lpstr>
      <vt:lpstr>ThetaJA</vt:lpstr>
      <vt:lpstr>Timer_Sourcing_Current</vt:lpstr>
      <vt:lpstr>TJ</vt:lpstr>
      <vt:lpstr>TJMAX</vt:lpstr>
      <vt:lpstr>trial</vt:lpstr>
      <vt:lpstr>Upper_Threshold</vt:lpstr>
      <vt:lpstr>VINMAX</vt:lpstr>
      <vt:lpstr>VINMIN</vt:lpstr>
      <vt:lpstr>VINNOM</vt:lpstr>
      <vt:lpstr>Vsns_min</vt:lpstr>
    </vt:vector>
  </TitlesOfParts>
  <Company>NSC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LM25066/I Design Tool</dc:title>
  <dc:creator>Timothy Hegarty</dc:creator>
  <cp:lastModifiedBy>GD, Praveen</cp:lastModifiedBy>
  <cp:lastPrinted>2013-08-26T22:42:43Z</cp:lastPrinted>
  <dcterms:created xsi:type="dcterms:W3CDTF">2009-04-21T16:00:33Z</dcterms:created>
  <dcterms:modified xsi:type="dcterms:W3CDTF">2020-04-20T10:08:29Z</dcterms:modified>
</cp:coreProperties>
</file>