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arrowelectronics-my.sharepoint.com/personal/jimmy_wang_arrow_com/Documents/Desktop/"/>
    </mc:Choice>
  </mc:AlternateContent>
  <xr:revisionPtr revIDLastSave="16" documentId="13_ncr:1_{79096D18-DB44-4F15-B904-A0AEAD477A48}" xr6:coauthVersionLast="47" xr6:coauthVersionMax="47" xr10:uidLastSave="{B699D981-7A56-4DEA-97FC-83ED5CEB3DF7}"/>
  <workbookProtection workbookAlgorithmName="SHA-512" workbookHashValue="kjxFvvGjIcbPfNxoEbQH7s+uKfUCY6/IVrnt1pIFkJCIcj2fSz3hwajrY2h6iBJKSE3JbljtV3odguVrVY0JgA==" workbookSaltValue="7oE080FPtPB3Xfdmg5i17Q==" workbookSpinCount="100000" lockStructure="1"/>
  <bookViews>
    <workbookView xWindow="-110" yWindow="-110" windowWidth="19420" windowHeight="11500" tabRatio="773" activeTab="1" xr2:uid="{00000000-000D-0000-FFFF-FFFF00000000}"/>
  </bookViews>
  <sheets>
    <sheet name="Instructions" sheetId="15" r:id="rId1"/>
    <sheet name="Design Calculator" sheetId="1" r:id="rId2"/>
    <sheet name="Device Parmaters" sheetId="6" state="hidden" r:id="rId3"/>
    <sheet name="Equations" sheetId="3" state="hidden" r:id="rId4"/>
    <sheet name="Start_up" sheetId="13" state="hidden" r:id="rId5"/>
    <sheet name="SOA" sheetId="7" state="hidden" r:id="rId6"/>
    <sheet name="dv_dt_recommendations" sheetId="14" state="hidden" r:id="rId7"/>
    <sheet name="Cap Tables" sheetId="17" state="hidden" r:id="rId8"/>
    <sheet name="Res EIA Tables" sheetId="16" state="hidden" r:id="rId9"/>
  </sheets>
  <externalReferences>
    <externalReference r:id="rId10"/>
    <externalReference r:id="rId11"/>
    <externalReference r:id="rId12"/>
  </externalReferences>
  <definedNames>
    <definedName name="CLMAX">'Design Calculator'!$F$35</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'[1]Calculation Sheet'!$D$9</definedName>
    <definedName name="COUTMAX">'Design Calculator'!$F$18</definedName>
    <definedName name="CTIMER">'Design Calculator'!#REF!</definedName>
    <definedName name="CTMR">'[1]Calculation Sheet'!$D$43</definedName>
    <definedName name="FETPDISS">'Design Calculator'!$F$58</definedName>
    <definedName name="I_Cout_ss">Equations!$F$74</definedName>
    <definedName name="IBST">'[1]Calculation Sheet'!$D$110</definedName>
    <definedName name="Iinrush">'[1]Calculation Sheet'!$D$11</definedName>
    <definedName name="ILIM" localSheetId="5">[2]ILIM_SOA_considerations!$C$25</definedName>
    <definedName name="ILIM">[3]ILIM_SOA_considerations!$C$25</definedName>
    <definedName name="Ilim_min" localSheetId="5">[2]ILIM_SOA_considerations!$C$61</definedName>
    <definedName name="Ilim_min">[3]ILIM_SOA_considerations!$C$61</definedName>
    <definedName name="Imax">'[1]Calculation Sheet'!$D$12</definedName>
    <definedName name="Inrush_Current">'Design Calculator'!$F$22</definedName>
    <definedName name="IOUTMAX">'Design Calculator'!$F$23</definedName>
    <definedName name="ISCP">'[1]Calculation Sheet'!$D$14</definedName>
    <definedName name="IWRN">'[1]Calculation Sheet'!$D$13</definedName>
    <definedName name="IWRN_final">'[1]Calculation Sheet'!$D$26</definedName>
    <definedName name="MaxFETPW">'Design Calculator'!#REF!</definedName>
    <definedName name="NUMFETS">'Design Calculator'!$F$50</definedName>
    <definedName name="Ovref_fall">'[1]Calculation Sheet'!$D$107</definedName>
    <definedName name="Ovref_rise">'[1]Calculation Sheet'!$D$106</definedName>
    <definedName name="OVset">'[1]Calculation Sheet'!$D$8</definedName>
    <definedName name="PLIM" localSheetId="5">[2]ILIM_SOA_considerations!$C$40</definedName>
    <definedName name="PLIM">[3]ILIM_SOA_considerations!$C$40</definedName>
    <definedName name="PLIMMAX">'Design Calculator'!#REF!</definedName>
    <definedName name="PLIMMIN">'Design Calculator'!#REF!</definedName>
    <definedName name="PLIMNOM">'Design Calculator'!#REF!</definedName>
    <definedName name="_xlnm.Print_Area" localSheetId="1">'Design Calculator'!$A$1:$M$180</definedName>
    <definedName name="R_1">'[1]Calculation Sheet'!$D$61</definedName>
    <definedName name="RDIV1">'Design Calculator'!#REF!</definedName>
    <definedName name="RDIV2">'Design Calculator'!#REF!</definedName>
    <definedName name="RDSON">'Design Calculator'!$AN$51</definedName>
    <definedName name="RIMON" localSheetId="7">'[1]Calculation Sheet'!$D$37</definedName>
    <definedName name="RIMON" localSheetId="8">'[1]Calculation Sheet'!$D$37</definedName>
    <definedName name="RIMON">'Design Calculator'!$F10</definedName>
    <definedName name="RISCP">'[1]Calculation Sheet'!$D$32</definedName>
    <definedName name="RIWRN">'[1]Calculation Sheet'!$D$25</definedName>
    <definedName name="RLIM">'Design Calculator'!$F$32</definedName>
    <definedName name="RPWR">'Design Calculator'!$F$64</definedName>
    <definedName name="Rrflt" localSheetId="5">[2]ILIM_SOA_considerations!$C$46</definedName>
    <definedName name="Rrflt">[3]ILIM_SOA_considerations!$C$46</definedName>
    <definedName name="Rs">'Design Calculator'!$F$29</definedName>
    <definedName name="RsEFF">Equations!$F$23</definedName>
    <definedName name="Rsense" localSheetId="5">[2]ILIM_SOA_considerations!$C$30</definedName>
    <definedName name="Rsense">[3]ILIM_SOA_considerations!$C$30</definedName>
    <definedName name="RSET">'[1]Calculation Sheet'!$D$22</definedName>
    <definedName name="RsMAX">'Design Calculator'!#REF!</definedName>
    <definedName name="RSNS">'Design Calculator'!XDR1048567</definedName>
    <definedName name="SOA_av" localSheetId="5">[2]ILIM_SOA_considerations!$C$52</definedName>
    <definedName name="SOA_av">[3]ILIM_SOA_considerations!$C$52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Equations!$F$70</definedName>
    <definedName name="T_cap_charge" localSheetId="5">[2]ILIM_SOA_considerations!$C$45</definedName>
    <definedName name="T_cap_charge">[3]ILIM_SOA_considerations!$C$45</definedName>
    <definedName name="T_margin" localSheetId="5">[2]ILIM_SOA_considerations!$C$9</definedName>
    <definedName name="T_margin">[3]ILIM_SOA_considerations!$C$9</definedName>
    <definedName name="T_total" localSheetId="5">[2]ILIM_SOA_considerations!$C$47</definedName>
    <definedName name="T_total">[3]ILIM_SOA_considerations!$C$47</definedName>
    <definedName name="TAMB">'Design Calculator'!$F$19</definedName>
    <definedName name="Tfault">'Design Calculator'!#REF!</definedName>
    <definedName name="Tfaultmax">'Design Calculator'!#REF!</definedName>
    <definedName name="ThetaJA">'Design Calculator'!$F$49</definedName>
    <definedName name="TINSERT">'Design Calculator'!#REF!</definedName>
    <definedName name="TINSERTMAX">Equations!$F$117</definedName>
    <definedName name="TINSERTMIN">Equations!$F$115</definedName>
    <definedName name="TJ">'Design Calculator'!$F$59</definedName>
    <definedName name="TJMAX">'Design Calculator'!$AN$52</definedName>
    <definedName name="TOC">'[1]Calculation Sheet'!$D$16</definedName>
    <definedName name="Tsd" localSheetId="5">[2]ILIM_SOA_considerations!$C$67</definedName>
    <definedName name="Tsd">[3]ILIM_SOA_considerations!$C$67</definedName>
    <definedName name="TSTARTMAX">Equations!$F$104</definedName>
    <definedName name="TSTARTMIN">Equations!$F$102</definedName>
    <definedName name="TSTARTNOM">Equations!$F$103</definedName>
    <definedName name="Uvref_fall">'[1]Calculation Sheet'!$D$105</definedName>
    <definedName name="Uvref_rise">'[1]Calculation Sheet'!$D$104</definedName>
    <definedName name="UVset">'[1]Calculation Sheet'!$D$7</definedName>
    <definedName name="V_BST_SRC">'[1]Calculation Sheet'!$D$109</definedName>
    <definedName name="V_sns_cl_max" localSheetId="5">[2]ILIM_SOA_considerations!$C$15</definedName>
    <definedName name="V_sns_cl_max">[3]ILIM_SOA_considerations!$C$15</definedName>
    <definedName name="VBST_UVLO">'[1]Calculation Sheet'!$D$108</definedName>
    <definedName name="Vbus" localSheetId="5">[2]ILIM_SOA_considerations!$C$23</definedName>
    <definedName name="Vbus">[3]ILIM_SOA_considerations!$C$23</definedName>
    <definedName name="Vimon_max">'[1]Calculation Sheet'!$D$18</definedName>
    <definedName name="VIN_nom">'[1]Calculation Sheet'!$D$6</definedName>
    <definedName name="VINMAX">'Design Calculator'!$F$16</definedName>
    <definedName name="VINMIN">'Design Calculator'!$F$14</definedName>
    <definedName name="VINNOM">'Design Calculator'!$F$15</definedName>
    <definedName name="yesno">'Design Calculator'!#REF!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6" l="1"/>
  <c r="L29" i="3" l="1"/>
  <c r="F29" i="3"/>
  <c r="F119" i="1" l="1"/>
  <c r="F28" i="3"/>
  <c r="F31" i="1" l="1"/>
  <c r="G143" i="3"/>
  <c r="F143" i="3"/>
  <c r="G142" i="3"/>
  <c r="I143" i="3"/>
  <c r="F97" i="1" s="1"/>
  <c r="I142" i="3"/>
  <c r="F96" i="1" s="1"/>
  <c r="I23" i="3"/>
  <c r="F34" i="1" s="1"/>
  <c r="F33" i="1" s="1"/>
  <c r="F116" i="1" l="1"/>
  <c r="F107" i="1"/>
  <c r="J2" i="13"/>
  <c r="L30" i="3"/>
  <c r="F31" i="3" s="1"/>
  <c r="F23" i="3"/>
  <c r="I29" i="3"/>
  <c r="I32" i="3"/>
  <c r="F42" i="1" s="1"/>
  <c r="F32" i="3"/>
  <c r="F40" i="1" s="1"/>
  <c r="I31" i="3" l="1"/>
  <c r="D8" i="6"/>
  <c r="F37" i="1"/>
  <c r="F30" i="3"/>
  <c r="F113" i="1"/>
  <c r="F114" i="1"/>
  <c r="C74" i="17"/>
  <c r="C73" i="17" s="1"/>
  <c r="B74" i="17"/>
  <c r="B73" i="17" s="1"/>
  <c r="C71" i="17"/>
  <c r="C70" i="17" s="1"/>
  <c r="C69" i="17" s="1"/>
  <c r="B71" i="17"/>
  <c r="B70" i="17"/>
  <c r="B69" i="17" s="1"/>
  <c r="C67" i="17"/>
  <c r="B67" i="17"/>
  <c r="C66" i="17"/>
  <c r="C65" i="17" s="1"/>
  <c r="B66" i="17"/>
  <c r="B65" i="17" s="1"/>
  <c r="C63" i="17"/>
  <c r="C62" i="17" s="1"/>
  <c r="C61" i="17" s="1"/>
  <c r="B63" i="17"/>
  <c r="B62" i="17" s="1"/>
  <c r="B61" i="17" s="1"/>
  <c r="C59" i="17"/>
  <c r="C58" i="17" s="1"/>
  <c r="C57" i="17" s="1"/>
  <c r="B59" i="17"/>
  <c r="B58" i="17" s="1"/>
  <c r="B57" i="17" s="1"/>
  <c r="C55" i="17"/>
  <c r="C54" i="17" s="1"/>
  <c r="C53" i="17" s="1"/>
  <c r="B55" i="17"/>
  <c r="B54" i="17"/>
  <c r="B53" i="17" s="1"/>
  <c r="C51" i="17"/>
  <c r="C50" i="17" s="1"/>
  <c r="C49" i="17" s="1"/>
  <c r="B51" i="17"/>
  <c r="B50" i="17" s="1"/>
  <c r="B49" i="17" s="1"/>
  <c r="C47" i="17"/>
  <c r="C46" i="17" s="1"/>
  <c r="C45" i="17" s="1"/>
  <c r="B47" i="17"/>
  <c r="B46" i="17"/>
  <c r="B45" i="17" s="1"/>
  <c r="C43" i="17"/>
  <c r="C42" i="17" s="1"/>
  <c r="C41" i="17" s="1"/>
  <c r="B43" i="17"/>
  <c r="B42" i="17" s="1"/>
  <c r="B41" i="17" s="1"/>
  <c r="C39" i="17"/>
  <c r="C38" i="17" s="1"/>
  <c r="C37" i="17" s="1"/>
  <c r="B39" i="17"/>
  <c r="B38" i="17"/>
  <c r="B37" i="17" s="1"/>
  <c r="C35" i="17"/>
  <c r="B35" i="17"/>
  <c r="C34" i="17"/>
  <c r="B34" i="17"/>
  <c r="C33" i="17"/>
  <c r="B33" i="17"/>
  <c r="C31" i="17"/>
  <c r="B31" i="17"/>
  <c r="B30" i="17" s="1"/>
  <c r="B29" i="17" s="1"/>
  <c r="C30" i="17"/>
  <c r="C29" i="17" s="1"/>
  <c r="C27" i="17"/>
  <c r="C26" i="17"/>
  <c r="C25" i="17" s="1"/>
  <c r="C23" i="17"/>
  <c r="C22" i="17" s="1"/>
  <c r="C21" i="17" s="1"/>
  <c r="C19" i="17"/>
  <c r="C18" i="17"/>
  <c r="C17" i="17"/>
  <c r="I25" i="3"/>
  <c r="F43" i="1" l="1"/>
  <c r="F108" i="1" s="1"/>
  <c r="F189" i="3"/>
  <c r="E16" i="3"/>
  <c r="C8" i="6"/>
  <c r="E15" i="3" s="1"/>
  <c r="E8" i="6"/>
  <c r="E17" i="3" s="1"/>
  <c r="AN43" i="1"/>
  <c r="I30" i="3" l="1"/>
  <c r="F190" i="3"/>
  <c r="F188" i="3"/>
  <c r="F45" i="1"/>
  <c r="F106" i="1" l="1"/>
  <c r="F142" i="3"/>
  <c r="F139" i="3"/>
  <c r="F137" i="3" s="1"/>
  <c r="H143" i="3"/>
  <c r="F98" i="1" s="1"/>
  <c r="H142" i="3"/>
  <c r="G140" i="3"/>
  <c r="G138" i="3"/>
  <c r="F95" i="1" l="1"/>
  <c r="F69" i="3"/>
  <c r="F71" i="3" s="1"/>
  <c r="F71" i="1" s="1"/>
  <c r="F66" i="3"/>
  <c r="F35" i="1" l="1"/>
  <c r="F46" i="1"/>
  <c r="F20" i="3"/>
  <c r="F117" i="1"/>
  <c r="AN52" i="1" l="1"/>
  <c r="AN53" i="1"/>
  <c r="AN54" i="1"/>
  <c r="AN55" i="1"/>
  <c r="AN56" i="1"/>
  <c r="AN57" i="1"/>
  <c r="AN51" i="1"/>
  <c r="F58" i="1" l="1"/>
  <c r="F59" i="1" s="1"/>
  <c r="F118" i="1"/>
  <c r="E29" i="14"/>
  <c r="E32" i="14" s="1"/>
  <c r="E27" i="14"/>
  <c r="E26" i="14"/>
  <c r="E25" i="14"/>
  <c r="E21" i="14"/>
  <c r="H24" i="7"/>
  <c r="H25" i="7" s="1"/>
  <c r="H9" i="7"/>
  <c r="C9" i="7"/>
  <c r="E35" i="14" l="1"/>
  <c r="E19" i="14"/>
  <c r="E59" i="14"/>
  <c r="F35" i="14"/>
  <c r="E37" i="14"/>
  <c r="E36" i="14"/>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 i="13"/>
  <c r="B12" i="13"/>
  <c r="B10" i="13"/>
  <c r="B4" i="7"/>
  <c r="C4" i="7"/>
  <c r="D4" i="7"/>
  <c r="E4" i="7"/>
  <c r="F4" i="7"/>
  <c r="C34" i="7" l="1"/>
  <c r="C33" i="7" s="1"/>
  <c r="J24" i="14" s="1"/>
  <c r="E34" i="7"/>
  <c r="L25" i="14" s="1"/>
  <c r="F34" i="7"/>
  <c r="M25" i="14" s="1"/>
  <c r="D34" i="7"/>
  <c r="H27" i="7"/>
  <c r="E40" i="14"/>
  <c r="E39" i="14"/>
  <c r="F37" i="14"/>
  <c r="F36" i="14"/>
  <c r="G35" i="14"/>
  <c r="E41" i="14"/>
  <c r="E42" i="14" s="1"/>
  <c r="F70" i="3"/>
  <c r="J25" i="14" l="1"/>
  <c r="E33" i="7"/>
  <c r="L24" i="14" s="1"/>
  <c r="D33" i="7"/>
  <c r="K24" i="14" s="1"/>
  <c r="K25" i="14"/>
  <c r="F33" i="7"/>
  <c r="M24" i="14" s="1"/>
  <c r="H35" i="14"/>
  <c r="G37" i="14"/>
  <c r="G36" i="14"/>
  <c r="E44" i="14"/>
  <c r="F40" i="14"/>
  <c r="F39" i="14"/>
  <c r="F41" i="14"/>
  <c r="F42" i="14" s="1"/>
  <c r="F86" i="3"/>
  <c r="F87" i="3" s="1"/>
  <c r="F2" i="13"/>
  <c r="F44" i="14" l="1"/>
  <c r="G40" i="14"/>
  <c r="G39" i="14"/>
  <c r="G41" i="14"/>
  <c r="G42" i="14" s="1"/>
  <c r="H37" i="14"/>
  <c r="H36" i="14"/>
  <c r="I35" i="14"/>
  <c r="J35" i="14" l="1"/>
  <c r="I37" i="14"/>
  <c r="I36" i="14"/>
  <c r="G44" i="14"/>
  <c r="H39" i="14"/>
  <c r="H40" i="14"/>
  <c r="H41" i="14"/>
  <c r="H42" i="14" s="1"/>
  <c r="D31" i="6"/>
  <c r="H44" i="14" l="1"/>
  <c r="I40" i="14"/>
  <c r="I39" i="14"/>
  <c r="I41" i="14"/>
  <c r="I42" i="14" s="1"/>
  <c r="J37" i="14"/>
  <c r="J36" i="14"/>
  <c r="K35" i="14"/>
  <c r="I44" i="14" l="1"/>
  <c r="L35" i="14"/>
  <c r="K36" i="14"/>
  <c r="K37" i="14"/>
  <c r="J40" i="14"/>
  <c r="J39" i="14"/>
  <c r="J41" i="14"/>
  <c r="J42" i="14" s="1"/>
  <c r="F72" i="3"/>
  <c r="F73" i="3" s="1"/>
  <c r="R2" i="13"/>
  <c r="Q2" i="13"/>
  <c r="A114" i="13"/>
  <c r="R306" i="3" s="1"/>
  <c r="A113" i="13"/>
  <c r="R305" i="3" s="1"/>
  <c r="A112" i="13"/>
  <c r="R304" i="3" s="1"/>
  <c r="H2" i="13"/>
  <c r="F73" i="1" l="1"/>
  <c r="F74" i="3"/>
  <c r="F75" i="3"/>
  <c r="K40" i="14"/>
  <c r="K39" i="14"/>
  <c r="K41" i="14"/>
  <c r="K42" i="14" s="1"/>
  <c r="J44" i="14"/>
  <c r="L37" i="14"/>
  <c r="L36" i="14"/>
  <c r="M35" i="14"/>
  <c r="F59" i="3"/>
  <c r="O220" i="3"/>
  <c r="E224" i="3"/>
  <c r="F46" i="3"/>
  <c r="F62" i="3"/>
  <c r="F116" i="3" s="1"/>
  <c r="F76" i="1" l="1"/>
  <c r="F84" i="3" s="1"/>
  <c r="F85" i="3" s="1"/>
  <c r="N35" i="14"/>
  <c r="M36" i="14"/>
  <c r="M37" i="14"/>
  <c r="L40" i="14"/>
  <c r="L39" i="14"/>
  <c r="L41" i="14"/>
  <c r="L42" i="14" s="1"/>
  <c r="K44" i="14"/>
  <c r="F63" i="3"/>
  <c r="F117" i="3"/>
  <c r="F115" i="3"/>
  <c r="D2" i="13"/>
  <c r="G2" i="13"/>
  <c r="N17" i="6"/>
  <c r="F44" i="3"/>
  <c r="A10" i="13"/>
  <c r="R202" i="3" s="1"/>
  <c r="A11" i="13"/>
  <c r="R203" i="3" s="1"/>
  <c r="A12" i="13"/>
  <c r="R204" i="3" s="1"/>
  <c r="A13" i="13"/>
  <c r="R205" i="3" s="1"/>
  <c r="A14" i="13"/>
  <c r="R206" i="3" s="1"/>
  <c r="A15" i="13"/>
  <c r="R207" i="3" s="1"/>
  <c r="A16" i="13"/>
  <c r="R208" i="3" s="1"/>
  <c r="A17" i="13"/>
  <c r="R209" i="3" s="1"/>
  <c r="A18" i="13"/>
  <c r="R210" i="3" s="1"/>
  <c r="A19" i="13"/>
  <c r="R211" i="3" s="1"/>
  <c r="A20" i="13"/>
  <c r="R212" i="3" s="1"/>
  <c r="A21" i="13"/>
  <c r="R213" i="3" s="1"/>
  <c r="A22" i="13"/>
  <c r="R214" i="3" s="1"/>
  <c r="A23" i="13"/>
  <c r="R215" i="3" s="1"/>
  <c r="A24" i="13"/>
  <c r="R216" i="3" s="1"/>
  <c r="A25" i="13"/>
  <c r="R217" i="3" s="1"/>
  <c r="A26" i="13"/>
  <c r="R218" i="3" s="1"/>
  <c r="A27" i="13"/>
  <c r="R219" i="3" s="1"/>
  <c r="A28" i="13"/>
  <c r="R220" i="3" s="1"/>
  <c r="A29" i="13"/>
  <c r="R221" i="3" s="1"/>
  <c r="A30" i="13"/>
  <c r="R222" i="3" s="1"/>
  <c r="A31" i="13"/>
  <c r="R223" i="3" s="1"/>
  <c r="A32" i="13"/>
  <c r="R224" i="3" s="1"/>
  <c r="A33" i="13"/>
  <c r="R225" i="3" s="1"/>
  <c r="A34" i="13"/>
  <c r="R226" i="3" s="1"/>
  <c r="A35" i="13"/>
  <c r="R227" i="3" s="1"/>
  <c r="A36" i="13"/>
  <c r="R228" i="3" s="1"/>
  <c r="A37" i="13"/>
  <c r="R229" i="3" s="1"/>
  <c r="A38" i="13"/>
  <c r="R230" i="3" s="1"/>
  <c r="A39" i="13"/>
  <c r="R231" i="3" s="1"/>
  <c r="A40" i="13"/>
  <c r="R232" i="3" s="1"/>
  <c r="A41" i="13"/>
  <c r="R233" i="3" s="1"/>
  <c r="A42" i="13"/>
  <c r="R234" i="3" s="1"/>
  <c r="A43" i="13"/>
  <c r="R235" i="3" s="1"/>
  <c r="A44" i="13"/>
  <c r="R236" i="3" s="1"/>
  <c r="A45" i="13"/>
  <c r="R237" i="3" s="1"/>
  <c r="A46" i="13"/>
  <c r="R238" i="3" s="1"/>
  <c r="A47" i="13"/>
  <c r="R239" i="3" s="1"/>
  <c r="A48" i="13"/>
  <c r="R240" i="3" s="1"/>
  <c r="A49" i="13"/>
  <c r="R241" i="3" s="1"/>
  <c r="A50" i="13"/>
  <c r="R242" i="3" s="1"/>
  <c r="A51" i="13"/>
  <c r="R243" i="3" s="1"/>
  <c r="A52" i="13"/>
  <c r="R244" i="3" s="1"/>
  <c r="A53" i="13"/>
  <c r="R245" i="3" s="1"/>
  <c r="A54" i="13"/>
  <c r="R246" i="3" s="1"/>
  <c r="A55" i="13"/>
  <c r="R247" i="3" s="1"/>
  <c r="A56" i="13"/>
  <c r="R248" i="3" s="1"/>
  <c r="A57" i="13"/>
  <c r="R249" i="3" s="1"/>
  <c r="A58" i="13"/>
  <c r="R250" i="3" s="1"/>
  <c r="A59" i="13"/>
  <c r="R251" i="3" s="1"/>
  <c r="A60" i="13"/>
  <c r="R252" i="3" s="1"/>
  <c r="A61" i="13"/>
  <c r="R253" i="3" s="1"/>
  <c r="A62" i="13"/>
  <c r="R254" i="3" s="1"/>
  <c r="A63" i="13"/>
  <c r="R255" i="3" s="1"/>
  <c r="A64" i="13"/>
  <c r="R256" i="3" s="1"/>
  <c r="A65" i="13"/>
  <c r="R257" i="3" s="1"/>
  <c r="A66" i="13"/>
  <c r="R258" i="3" s="1"/>
  <c r="A67" i="13"/>
  <c r="R259" i="3" s="1"/>
  <c r="A68" i="13"/>
  <c r="R260" i="3" s="1"/>
  <c r="A69" i="13"/>
  <c r="R261" i="3" s="1"/>
  <c r="A70" i="13"/>
  <c r="R262" i="3" s="1"/>
  <c r="A71" i="13"/>
  <c r="R263" i="3" s="1"/>
  <c r="A72" i="13"/>
  <c r="R264" i="3" s="1"/>
  <c r="A73" i="13"/>
  <c r="R265" i="3" s="1"/>
  <c r="A74" i="13"/>
  <c r="R266" i="3" s="1"/>
  <c r="A75" i="13"/>
  <c r="R267" i="3" s="1"/>
  <c r="A76" i="13"/>
  <c r="R268" i="3" s="1"/>
  <c r="A77" i="13"/>
  <c r="R269" i="3" s="1"/>
  <c r="A78" i="13"/>
  <c r="R270" i="3" s="1"/>
  <c r="A79" i="13"/>
  <c r="R271" i="3" s="1"/>
  <c r="A80" i="13"/>
  <c r="R272" i="3" s="1"/>
  <c r="A81" i="13"/>
  <c r="R273" i="3" s="1"/>
  <c r="A82" i="13"/>
  <c r="R274" i="3" s="1"/>
  <c r="A83" i="13"/>
  <c r="R275" i="3" s="1"/>
  <c r="A84" i="13"/>
  <c r="R276" i="3" s="1"/>
  <c r="A85" i="13"/>
  <c r="R277" i="3" s="1"/>
  <c r="A86" i="13"/>
  <c r="R278" i="3" s="1"/>
  <c r="A87" i="13"/>
  <c r="R279" i="3" s="1"/>
  <c r="A88" i="13"/>
  <c r="R280" i="3" s="1"/>
  <c r="A89" i="13"/>
  <c r="R281" i="3" s="1"/>
  <c r="A90" i="13"/>
  <c r="R282" i="3" s="1"/>
  <c r="A91" i="13"/>
  <c r="R283" i="3" s="1"/>
  <c r="A92" i="13"/>
  <c r="R284" i="3" s="1"/>
  <c r="A93" i="13"/>
  <c r="R285" i="3" s="1"/>
  <c r="A94" i="13"/>
  <c r="R286" i="3" s="1"/>
  <c r="A95" i="13"/>
  <c r="R287" i="3" s="1"/>
  <c r="A96" i="13"/>
  <c r="R288" i="3" s="1"/>
  <c r="A97" i="13"/>
  <c r="R289" i="3" s="1"/>
  <c r="A98" i="13"/>
  <c r="R290" i="3" s="1"/>
  <c r="A99" i="13"/>
  <c r="R291" i="3" s="1"/>
  <c r="A100" i="13"/>
  <c r="R292" i="3" s="1"/>
  <c r="A101" i="13"/>
  <c r="R293" i="3" s="1"/>
  <c r="A102" i="13"/>
  <c r="R294" i="3" s="1"/>
  <c r="A103" i="13"/>
  <c r="R295" i="3" s="1"/>
  <c r="A104" i="13"/>
  <c r="R296" i="3" s="1"/>
  <c r="A105" i="13"/>
  <c r="R297" i="3" s="1"/>
  <c r="A106" i="13"/>
  <c r="R298" i="3" s="1"/>
  <c r="A107" i="13"/>
  <c r="R299" i="3" s="1"/>
  <c r="A108" i="13"/>
  <c r="R300" i="3" s="1"/>
  <c r="A109" i="13"/>
  <c r="R301" i="3" s="1"/>
  <c r="A110" i="13"/>
  <c r="R302" i="3" s="1"/>
  <c r="A111" i="13"/>
  <c r="R303" i="3" s="1"/>
  <c r="Y22" i="13"/>
  <c r="Y15" i="13"/>
  <c r="Y18" i="13" s="1"/>
  <c r="N18" i="6"/>
  <c r="L18" i="6"/>
  <c r="M18" i="6" s="1"/>
  <c r="L17" i="6"/>
  <c r="M17" i="6" s="1"/>
  <c r="Q17" i="6" l="1"/>
  <c r="C8" i="7"/>
  <c r="C10" i="7" s="1"/>
  <c r="C12" i="7" s="1"/>
  <c r="C13" i="7" s="1"/>
  <c r="C15" i="7" s="1"/>
  <c r="M40" i="14"/>
  <c r="M39" i="14"/>
  <c r="M41" i="14"/>
  <c r="M42" i="14" s="1"/>
  <c r="L44" i="14"/>
  <c r="N37" i="14"/>
  <c r="N36" i="14"/>
  <c r="O35" i="14"/>
  <c r="H73" i="3"/>
  <c r="C114" i="13"/>
  <c r="E114" i="13" s="1"/>
  <c r="C113" i="13"/>
  <c r="E113" i="13" s="1"/>
  <c r="C112" i="13"/>
  <c r="E112" i="13" s="1"/>
  <c r="C80" i="13"/>
  <c r="E80" i="13" s="1"/>
  <c r="C62" i="13"/>
  <c r="E62" i="13" s="1"/>
  <c r="C111" i="13"/>
  <c r="E111" i="13" s="1"/>
  <c r="C75" i="13"/>
  <c r="E75" i="13" s="1"/>
  <c r="C43" i="13"/>
  <c r="E43" i="13" s="1"/>
  <c r="C95" i="13"/>
  <c r="E95" i="13" s="1"/>
  <c r="C91" i="13"/>
  <c r="E91" i="13" s="1"/>
  <c r="C102" i="13"/>
  <c r="E102" i="13" s="1"/>
  <c r="C76" i="13"/>
  <c r="E76" i="13" s="1"/>
  <c r="C72" i="13"/>
  <c r="E72" i="13" s="1"/>
  <c r="C15" i="13"/>
  <c r="E15" i="13" s="1"/>
  <c r="C11" i="13"/>
  <c r="E11" i="13" s="1"/>
  <c r="C101" i="13"/>
  <c r="E101" i="13" s="1"/>
  <c r="C100" i="13"/>
  <c r="E100" i="13" s="1"/>
  <c r="C98" i="13"/>
  <c r="E98" i="13" s="1"/>
  <c r="C90" i="13"/>
  <c r="E90" i="13" s="1"/>
  <c r="C79" i="13"/>
  <c r="E79" i="13" s="1"/>
  <c r="C74" i="13"/>
  <c r="E74" i="13" s="1"/>
  <c r="C58" i="13"/>
  <c r="E58" i="13" s="1"/>
  <c r="C54" i="13"/>
  <c r="E54" i="13" s="1"/>
  <c r="C49" i="13"/>
  <c r="E49" i="13" s="1"/>
  <c r="C47" i="13"/>
  <c r="E47" i="13" s="1"/>
  <c r="C39" i="13"/>
  <c r="E39" i="13" s="1"/>
  <c r="C32" i="13"/>
  <c r="E32" i="13" s="1"/>
  <c r="C23" i="13"/>
  <c r="E23" i="13" s="1"/>
  <c r="C19" i="13"/>
  <c r="E19" i="13" s="1"/>
  <c r="C110" i="13"/>
  <c r="E110" i="13" s="1"/>
  <c r="C109" i="13"/>
  <c r="E109" i="13" s="1"/>
  <c r="C107" i="13"/>
  <c r="E107" i="13" s="1"/>
  <c r="C99" i="13"/>
  <c r="E99" i="13" s="1"/>
  <c r="C96" i="13"/>
  <c r="E96" i="13" s="1"/>
  <c r="C84" i="13"/>
  <c r="E84" i="13" s="1"/>
  <c r="C82" i="13"/>
  <c r="E82" i="13" s="1"/>
  <c r="C69" i="13"/>
  <c r="E69" i="13" s="1"/>
  <c r="C67" i="13"/>
  <c r="E67" i="13" s="1"/>
  <c r="C65" i="13"/>
  <c r="E65" i="13" s="1"/>
  <c r="C63" i="13"/>
  <c r="E63" i="13" s="1"/>
  <c r="C59" i="13"/>
  <c r="E59" i="13" s="1"/>
  <c r="C36" i="13"/>
  <c r="E36" i="13" s="1"/>
  <c r="C20" i="13"/>
  <c r="E20" i="13" s="1"/>
  <c r="C105" i="13"/>
  <c r="E105" i="13" s="1"/>
  <c r="C103" i="13"/>
  <c r="E103" i="13" s="1"/>
  <c r="C92" i="13"/>
  <c r="E92" i="13" s="1"/>
  <c r="C88" i="13"/>
  <c r="E88" i="13" s="1"/>
  <c r="C87" i="13"/>
  <c r="E87" i="13" s="1"/>
  <c r="C83" i="13"/>
  <c r="E83" i="13" s="1"/>
  <c r="C71" i="13"/>
  <c r="E71" i="13" s="1"/>
  <c r="C68" i="13"/>
  <c r="E68" i="13" s="1"/>
  <c r="C66" i="13"/>
  <c r="E66" i="13" s="1"/>
  <c r="C57" i="13"/>
  <c r="E57" i="13" s="1"/>
  <c r="C55" i="13"/>
  <c r="E55" i="13" s="1"/>
  <c r="C51" i="13"/>
  <c r="E51" i="13" s="1"/>
  <c r="C46" i="13"/>
  <c r="E46" i="13" s="1"/>
  <c r="C44" i="13"/>
  <c r="E44" i="13" s="1"/>
  <c r="C40" i="13"/>
  <c r="E40" i="13" s="1"/>
  <c r="C35" i="13"/>
  <c r="E35" i="13" s="1"/>
  <c r="C31" i="13"/>
  <c r="E31" i="13" s="1"/>
  <c r="C27" i="13"/>
  <c r="E27" i="13" s="1"/>
  <c r="C50" i="13"/>
  <c r="E50" i="13" s="1"/>
  <c r="C28" i="13"/>
  <c r="E28" i="13" s="1"/>
  <c r="C24" i="13"/>
  <c r="E24" i="13" s="1"/>
  <c r="C16" i="13"/>
  <c r="E16" i="13" s="1"/>
  <c r="C12" i="13"/>
  <c r="E12" i="13" s="1"/>
  <c r="C108" i="13"/>
  <c r="E108" i="13" s="1"/>
  <c r="C94" i="13"/>
  <c r="E94" i="13" s="1"/>
  <c r="C77" i="13"/>
  <c r="E77" i="13" s="1"/>
  <c r="C106" i="13"/>
  <c r="E106" i="13" s="1"/>
  <c r="C93" i="13"/>
  <c r="E93" i="13" s="1"/>
  <c r="C86" i="13"/>
  <c r="E86" i="13" s="1"/>
  <c r="C104" i="13"/>
  <c r="E104" i="13" s="1"/>
  <c r="C85" i="13"/>
  <c r="E85" i="13" s="1"/>
  <c r="C78" i="13"/>
  <c r="E78" i="13" s="1"/>
  <c r="C97" i="13"/>
  <c r="E97" i="13" s="1"/>
  <c r="C89" i="13"/>
  <c r="E89" i="13" s="1"/>
  <c r="C81" i="13"/>
  <c r="E81" i="13" s="1"/>
  <c r="C73" i="13"/>
  <c r="E73" i="13" s="1"/>
  <c r="C61" i="13"/>
  <c r="E61" i="13" s="1"/>
  <c r="C53" i="13"/>
  <c r="E53" i="13" s="1"/>
  <c r="C70" i="13"/>
  <c r="E70" i="13" s="1"/>
  <c r="C60" i="13"/>
  <c r="E60" i="13" s="1"/>
  <c r="C52" i="13"/>
  <c r="E52" i="13" s="1"/>
  <c r="C64" i="13"/>
  <c r="E64" i="13" s="1"/>
  <c r="C56" i="13"/>
  <c r="E56" i="13" s="1"/>
  <c r="C48" i="13"/>
  <c r="E48" i="13" s="1"/>
  <c r="C45" i="13"/>
  <c r="E45" i="13" s="1"/>
  <c r="C42" i="13"/>
  <c r="E42" i="13" s="1"/>
  <c r="C41" i="13"/>
  <c r="E41" i="13" s="1"/>
  <c r="C38" i="13"/>
  <c r="E38" i="13" s="1"/>
  <c r="C37" i="13"/>
  <c r="E37" i="13" s="1"/>
  <c r="C34" i="13"/>
  <c r="E34" i="13" s="1"/>
  <c r="C33" i="13"/>
  <c r="E33" i="13" s="1"/>
  <c r="C30" i="13"/>
  <c r="E30" i="13" s="1"/>
  <c r="C29" i="13"/>
  <c r="E29" i="13" s="1"/>
  <c r="C26" i="13"/>
  <c r="E26" i="13" s="1"/>
  <c r="C25" i="13"/>
  <c r="E25" i="13" s="1"/>
  <c r="C22" i="13"/>
  <c r="E22" i="13" s="1"/>
  <c r="C21" i="13"/>
  <c r="E21" i="13" s="1"/>
  <c r="C18" i="13"/>
  <c r="E18" i="13" s="1"/>
  <c r="C17" i="13"/>
  <c r="E17" i="13" s="1"/>
  <c r="C14" i="13"/>
  <c r="E14" i="13" s="1"/>
  <c r="C13" i="13"/>
  <c r="E13" i="13" s="1"/>
  <c r="Y24" i="13"/>
  <c r="C10" i="13"/>
  <c r="E10" i="13" s="1"/>
  <c r="F10" i="13" l="1"/>
  <c r="F74" i="1"/>
  <c r="C11" i="7"/>
  <c r="C14" i="7" s="1"/>
  <c r="C19" i="7" s="1"/>
  <c r="C18" i="7" s="1"/>
  <c r="C20" i="7" s="1"/>
  <c r="C22" i="7" s="1"/>
  <c r="P35" i="14"/>
  <c r="O37" i="14"/>
  <c r="O36" i="14"/>
  <c r="N40" i="14"/>
  <c r="N39" i="14"/>
  <c r="N41" i="14"/>
  <c r="N42" i="14" s="1"/>
  <c r="M44" i="14"/>
  <c r="E23" i="14"/>
  <c r="F105" i="1"/>
  <c r="N44" i="14" l="1"/>
  <c r="O40" i="14"/>
  <c r="O39" i="14"/>
  <c r="O41" i="14"/>
  <c r="O42" i="14" s="1"/>
  <c r="P37" i="14"/>
  <c r="P36" i="14"/>
  <c r="Q35" i="14"/>
  <c r="F126" i="3"/>
  <c r="F125" i="3"/>
  <c r="F124" i="3"/>
  <c r="F123" i="3"/>
  <c r="F121" i="3"/>
  <c r="F122" i="3"/>
  <c r="R35" i="14" l="1"/>
  <c r="Q37" i="14"/>
  <c r="Q36" i="14"/>
  <c r="P39" i="14"/>
  <c r="P40" i="14"/>
  <c r="P41" i="14"/>
  <c r="P42" i="14" s="1"/>
  <c r="O44" i="14"/>
  <c r="J120" i="3"/>
  <c r="I118" i="3"/>
  <c r="I120" i="3"/>
  <c r="H120" i="3"/>
  <c r="J118" i="3"/>
  <c r="H118" i="3"/>
  <c r="J119" i="3"/>
  <c r="I119" i="3"/>
  <c r="H119" i="3"/>
  <c r="F118" i="3" l="1"/>
  <c r="Q39" i="14"/>
  <c r="Q40" i="14"/>
  <c r="Q41" i="14"/>
  <c r="Q42" i="14" s="1"/>
  <c r="P44" i="14"/>
  <c r="R37" i="14"/>
  <c r="R36" i="14"/>
  <c r="S35" i="14"/>
  <c r="F120" i="3"/>
  <c r="F119" i="3"/>
  <c r="T35" i="14" l="1"/>
  <c r="S36" i="14"/>
  <c r="S37" i="14"/>
  <c r="R40" i="14"/>
  <c r="R39" i="14"/>
  <c r="R41" i="14"/>
  <c r="R42" i="14" s="1"/>
  <c r="Q44" i="14"/>
  <c r="AO49" i="1"/>
  <c r="S40" i="14" l="1"/>
  <c r="S39" i="14"/>
  <c r="S41" i="14"/>
  <c r="S42" i="14" s="1"/>
  <c r="R44" i="14"/>
  <c r="T37" i="14"/>
  <c r="T36" i="14"/>
  <c r="U35" i="14"/>
  <c r="S44" i="14" l="1"/>
  <c r="V35" i="14"/>
  <c r="U36" i="14"/>
  <c r="U37" i="14"/>
  <c r="T40" i="14"/>
  <c r="T39" i="14"/>
  <c r="T41" i="14"/>
  <c r="T42" i="14" s="1"/>
  <c r="U40" i="14" l="1"/>
  <c r="U39" i="14"/>
  <c r="U41" i="14"/>
  <c r="U42" i="14" s="1"/>
  <c r="T44" i="14"/>
  <c r="V37" i="14"/>
  <c r="V36" i="14"/>
  <c r="W35" i="14"/>
  <c r="X35" i="14" l="1"/>
  <c r="W37" i="14"/>
  <c r="W36" i="14"/>
  <c r="V40" i="14"/>
  <c r="V39" i="14"/>
  <c r="V41" i="14"/>
  <c r="V42" i="14" s="1"/>
  <c r="U44" i="14"/>
  <c r="V44" i="14" l="1"/>
  <c r="W40" i="14"/>
  <c r="W39" i="14"/>
  <c r="W41" i="14"/>
  <c r="W42" i="14" s="1"/>
  <c r="X37" i="14"/>
  <c r="X36" i="14"/>
  <c r="W44" i="14" l="1"/>
  <c r="X39" i="14"/>
  <c r="X40" i="14"/>
  <c r="X41" i="14"/>
  <c r="X42" i="14" s="1"/>
  <c r="X44" i="14" l="1"/>
  <c r="C25" i="7"/>
  <c r="C26" i="7" l="1"/>
  <c r="C39" i="7" s="1"/>
  <c r="C40" i="7" l="1"/>
  <c r="C41" i="7"/>
  <c r="F88" i="3"/>
  <c r="F41" i="3" l="1"/>
  <c r="F40" i="3"/>
  <c r="F39" i="3"/>
  <c r="F38" i="3"/>
  <c r="G68" i="1" l="1"/>
  <c r="F161" i="3" l="1"/>
  <c r="F160" i="3"/>
  <c r="O225" i="3"/>
  <c r="H40" i="3" l="1"/>
  <c r="H38" i="3"/>
  <c r="H41" i="3"/>
  <c r="H39" i="3"/>
  <c r="F162" i="3"/>
  <c r="O224" i="3"/>
  <c r="O221" i="3"/>
  <c r="O223" i="3"/>
  <c r="O222" i="3"/>
  <c r="F186" i="3"/>
  <c r="U221" i="3" s="1"/>
  <c r="F185" i="3"/>
  <c r="F184" i="3"/>
  <c r="F88" i="1"/>
  <c r="F112" i="1"/>
  <c r="F111" i="1"/>
  <c r="F110" i="1"/>
  <c r="F109" i="1"/>
  <c r="F85" i="1" l="1"/>
  <c r="F87" i="1"/>
  <c r="S219" i="3"/>
  <c r="U219" i="3"/>
  <c r="S220" i="3"/>
  <c r="U220" i="3"/>
  <c r="S221" i="3"/>
  <c r="F86" i="1" l="1"/>
  <c r="P67" i="13" l="1"/>
  <c r="Q81" i="13"/>
  <c r="P86" i="13"/>
  <c r="P46" i="13"/>
  <c r="Q16" i="13"/>
  <c r="P37" i="13"/>
  <c r="Q40" i="13"/>
  <c r="P12" i="13"/>
  <c r="P65" i="13"/>
  <c r="Q69" i="13"/>
  <c r="Q92" i="13"/>
  <c r="P32" i="13"/>
  <c r="P55" i="13"/>
  <c r="P82" i="13"/>
  <c r="Q37" i="13"/>
  <c r="Q13" i="13"/>
  <c r="P38" i="13"/>
  <c r="P41" i="13"/>
  <c r="P100" i="13"/>
  <c r="Q103" i="13"/>
  <c r="P77" i="13"/>
  <c r="Q53" i="13"/>
  <c r="Q26" i="13"/>
  <c r="Q60" i="13"/>
  <c r="Q111" i="13"/>
  <c r="P85" i="13"/>
  <c r="Q85" i="13"/>
  <c r="P27" i="13"/>
  <c r="Q68" i="13"/>
  <c r="Q93" i="13"/>
  <c r="P48" i="13"/>
  <c r="P113" i="13"/>
  <c r="Q28" i="13"/>
  <c r="P112" i="13"/>
  <c r="P71" i="13"/>
  <c r="P11" i="13"/>
  <c r="P91" i="13"/>
  <c r="Q55" i="13"/>
  <c r="P57" i="13"/>
  <c r="Q107" i="13"/>
  <c r="P107" i="13"/>
  <c r="Q50" i="13"/>
  <c r="Q42" i="13"/>
  <c r="Q70" i="13"/>
  <c r="Q31" i="13"/>
  <c r="P79" i="13"/>
  <c r="Q99" i="13"/>
  <c r="P87" i="13"/>
  <c r="P110" i="13"/>
  <c r="Q32" i="13"/>
  <c r="P20" i="13"/>
  <c r="P72" i="13"/>
  <c r="P81" i="13"/>
  <c r="Q17" i="13"/>
  <c r="Q66" i="13"/>
  <c r="P54" i="13"/>
  <c r="P31" i="13"/>
  <c r="P44" i="13"/>
  <c r="Q20" i="13"/>
  <c r="P25" i="13"/>
  <c r="P64" i="13"/>
  <c r="Q97" i="13"/>
  <c r="Q96" i="13"/>
  <c r="Q36" i="13"/>
  <c r="Q88" i="13"/>
  <c r="Q86" i="13"/>
  <c r="Q84" i="13"/>
  <c r="P90" i="13"/>
  <c r="P61" i="13"/>
  <c r="P24" i="13"/>
  <c r="Q113" i="13"/>
  <c r="Q80" i="13"/>
  <c r="Q72" i="13"/>
  <c r="Q63" i="13"/>
  <c r="P13" i="13"/>
  <c r="Q35" i="13"/>
  <c r="P99" i="13"/>
  <c r="P33" i="13"/>
  <c r="Q45" i="13"/>
  <c r="Q14" i="13"/>
  <c r="P42" i="13"/>
  <c r="P40" i="13"/>
  <c r="Q82" i="13"/>
  <c r="P98" i="13"/>
  <c r="P95" i="13"/>
  <c r="Q38" i="13"/>
  <c r="P80" i="13"/>
  <c r="P111" i="13"/>
  <c r="P43" i="13"/>
  <c r="P63" i="13"/>
  <c r="P47" i="13"/>
  <c r="Q24" i="13"/>
  <c r="Q29" i="13"/>
  <c r="Q73" i="13"/>
  <c r="P76" i="13"/>
  <c r="P34" i="13"/>
  <c r="Q34" i="13"/>
  <c r="P66" i="13"/>
  <c r="P58" i="13"/>
  <c r="Q74" i="13"/>
  <c r="P93" i="13"/>
  <c r="Q71" i="13"/>
  <c r="Q109" i="13"/>
  <c r="P56" i="13"/>
  <c r="Q105" i="13"/>
  <c r="Q104" i="13"/>
  <c r="P60" i="13"/>
  <c r="Q18" i="13"/>
  <c r="P84" i="13"/>
  <c r="Q41" i="13"/>
  <c r="P62" i="13"/>
  <c r="Q52" i="13"/>
  <c r="P104" i="13"/>
  <c r="P94" i="13"/>
  <c r="P30" i="13"/>
  <c r="Q95" i="13"/>
  <c r="P16" i="13"/>
  <c r="Q98" i="13"/>
  <c r="P22" i="13"/>
  <c r="Q94" i="13"/>
  <c r="P50" i="13"/>
  <c r="Q61" i="13"/>
  <c r="Q90" i="13"/>
  <c r="Q100" i="13"/>
  <c r="Q47" i="13"/>
  <c r="P51" i="13"/>
  <c r="Q76" i="13"/>
  <c r="Q25" i="13"/>
  <c r="Q12" i="13"/>
  <c r="Q65" i="13"/>
  <c r="P68" i="13"/>
  <c r="Q108" i="13"/>
  <c r="Q78" i="13"/>
  <c r="Q59" i="13"/>
  <c r="P17" i="13"/>
  <c r="P29" i="13"/>
  <c r="P74" i="13"/>
  <c r="Q75" i="13"/>
  <c r="Q46" i="13"/>
  <c r="Q101" i="13"/>
  <c r="P103" i="13"/>
  <c r="Q77" i="13"/>
  <c r="Q19" i="13"/>
  <c r="Q21" i="13"/>
  <c r="P92" i="13"/>
  <c r="P69" i="13"/>
  <c r="Q11" i="13"/>
  <c r="P70" i="13"/>
  <c r="Q23" i="13"/>
  <c r="P114" i="13"/>
  <c r="P83" i="13"/>
  <c r="Q79" i="13"/>
  <c r="P96" i="13"/>
  <c r="Q110" i="13"/>
  <c r="Q30" i="13"/>
  <c r="Q106" i="13"/>
  <c r="Q33" i="13"/>
  <c r="P59" i="13"/>
  <c r="Q87" i="13"/>
  <c r="Q89" i="13"/>
  <c r="Q67" i="13"/>
  <c r="Q57" i="13"/>
  <c r="Q51" i="13"/>
  <c r="Q54" i="13"/>
  <c r="P23" i="13"/>
  <c r="P14" i="13"/>
  <c r="Q15" i="13"/>
  <c r="Q114" i="13"/>
  <c r="Q102" i="13"/>
  <c r="P36" i="13"/>
  <c r="P88" i="13"/>
  <c r="P39" i="13"/>
  <c r="P89" i="13"/>
  <c r="Q83" i="13"/>
  <c r="P52" i="13"/>
  <c r="Q112" i="13"/>
  <c r="P28" i="13"/>
  <c r="P106" i="13"/>
  <c r="Q64" i="13"/>
  <c r="P105" i="13"/>
  <c r="Q48" i="13"/>
  <c r="P102" i="13"/>
  <c r="Q91" i="13"/>
  <c r="Q44" i="13"/>
  <c r="P19" i="13"/>
  <c r="P18" i="13"/>
  <c r="Q43" i="13"/>
  <c r="P49" i="13"/>
  <c r="P15" i="13"/>
  <c r="P75" i="13"/>
  <c r="Q27" i="13"/>
  <c r="P101" i="13"/>
  <c r="P35" i="13"/>
  <c r="Q62" i="13"/>
  <c r="P73" i="13"/>
  <c r="Q58" i="13"/>
  <c r="Q39" i="13"/>
  <c r="P78" i="13"/>
  <c r="P45" i="13"/>
  <c r="Q56" i="13"/>
  <c r="Q49" i="13"/>
  <c r="P108" i="13"/>
  <c r="P97" i="13"/>
  <c r="P26" i="13"/>
  <c r="Q22" i="13"/>
  <c r="P21" i="13"/>
  <c r="P109" i="13"/>
  <c r="P53" i="13"/>
  <c r="P10" i="13"/>
  <c r="F37" i="13"/>
  <c r="G37" i="13" s="1"/>
  <c r="T229" i="3" s="1"/>
  <c r="F44" i="13"/>
  <c r="G44" i="13" s="1"/>
  <c r="F86" i="13"/>
  <c r="G86" i="13" s="1"/>
  <c r="F51" i="13"/>
  <c r="G51" i="13" s="1"/>
  <c r="F113" i="13"/>
  <c r="G113" i="13" s="1"/>
  <c r="F112" i="13"/>
  <c r="G112" i="13" s="1"/>
  <c r="F78" i="13"/>
  <c r="G78" i="13" s="1"/>
  <c r="F93" i="13"/>
  <c r="G93" i="13" s="1"/>
  <c r="F30" i="13"/>
  <c r="G30" i="13" s="1"/>
  <c r="F81" i="13"/>
  <c r="G81" i="13" s="1"/>
  <c r="F91" i="13"/>
  <c r="G91" i="13" s="1"/>
  <c r="F31" i="13"/>
  <c r="G31" i="13" s="1"/>
  <c r="F12" i="13"/>
  <c r="G12" i="13" s="1"/>
  <c r="F68" i="13"/>
  <c r="G68" i="13" s="1"/>
  <c r="F26" i="13"/>
  <c r="G26" i="13" s="1"/>
  <c r="F25" i="13"/>
  <c r="G25" i="13" s="1"/>
  <c r="T217" i="3" s="1"/>
  <c r="F24" i="13"/>
  <c r="G24" i="13" s="1"/>
  <c r="T216" i="3" s="1"/>
  <c r="F40" i="13"/>
  <c r="G40" i="13" s="1"/>
  <c r="F36" i="13"/>
  <c r="G36" i="13" s="1"/>
  <c r="T228" i="3" s="1"/>
  <c r="F67" i="13"/>
  <c r="G67" i="13" s="1"/>
  <c r="T259" i="3" s="1"/>
  <c r="F62" i="13"/>
  <c r="G62" i="13" s="1"/>
  <c r="F73" i="13"/>
  <c r="G73" i="13" s="1"/>
  <c r="F22" i="13"/>
  <c r="G22" i="13" s="1"/>
  <c r="F60" i="13"/>
  <c r="G60" i="13" s="1"/>
  <c r="F46" i="13"/>
  <c r="G46" i="13" s="1"/>
  <c r="F101" i="13"/>
  <c r="G101" i="13" s="1"/>
  <c r="T293" i="3" s="1"/>
  <c r="F43" i="13"/>
  <c r="G43" i="13" s="1"/>
  <c r="T235" i="3" s="1"/>
  <c r="F82" i="13"/>
  <c r="G82" i="13" s="1"/>
  <c r="T274" i="3" s="1"/>
  <c r="F111" i="13"/>
  <c r="G111" i="13" s="1"/>
  <c r="T303" i="3" s="1"/>
  <c r="F69" i="13"/>
  <c r="G69" i="13" s="1"/>
  <c r="T261" i="3" s="1"/>
  <c r="F95" i="13"/>
  <c r="G95" i="13" s="1"/>
  <c r="T287" i="3" s="1"/>
  <c r="F21" i="13"/>
  <c r="G21" i="13" s="1"/>
  <c r="T213" i="3" s="1"/>
  <c r="F66" i="13"/>
  <c r="G66" i="13" s="1"/>
  <c r="T258" i="3" s="1"/>
  <c r="F49" i="13"/>
  <c r="G49" i="13" s="1"/>
  <c r="F90" i="13"/>
  <c r="G90" i="13" s="1"/>
  <c r="T282" i="3" s="1"/>
  <c r="F77" i="13"/>
  <c r="G77" i="13" s="1"/>
  <c r="T269" i="3" s="1"/>
  <c r="F100" i="13"/>
  <c r="G100" i="13" s="1"/>
  <c r="T292" i="3" s="1"/>
  <c r="F38" i="13"/>
  <c r="G38" i="13" s="1"/>
  <c r="F64" i="13"/>
  <c r="G64" i="13" s="1"/>
  <c r="T256" i="3" s="1"/>
  <c r="F56" i="13"/>
  <c r="G56" i="13" s="1"/>
  <c r="F87" i="13"/>
  <c r="G87" i="13" s="1"/>
  <c r="Q10" i="13"/>
  <c r="F110" i="13"/>
  <c r="G110" i="13" s="1"/>
  <c r="T302" i="3" s="1"/>
  <c r="F28" i="13"/>
  <c r="G28" i="13" s="1"/>
  <c r="T220" i="3" s="1"/>
  <c r="F92" i="13"/>
  <c r="G92" i="13" s="1"/>
  <c r="T284" i="3" s="1"/>
  <c r="F105" i="13"/>
  <c r="G105" i="13" s="1"/>
  <c r="F103" i="13"/>
  <c r="G103" i="13" s="1"/>
  <c r="F71" i="13"/>
  <c r="G71" i="13" s="1"/>
  <c r="T263" i="3" s="1"/>
  <c r="F57" i="13"/>
  <c r="G57" i="13" s="1"/>
  <c r="T249" i="3" s="1"/>
  <c r="F50" i="13"/>
  <c r="G50" i="13" s="1"/>
  <c r="T242" i="3" s="1"/>
  <c r="F98" i="13"/>
  <c r="G98" i="13" s="1"/>
  <c r="F70" i="13"/>
  <c r="G70" i="13" s="1"/>
  <c r="F114" i="13"/>
  <c r="G114" i="13" s="1"/>
  <c r="T306" i="3" s="1"/>
  <c r="F47" i="13"/>
  <c r="G47" i="13" s="1"/>
  <c r="F15" i="13"/>
  <c r="G15" i="13" s="1"/>
  <c r="F23" i="13"/>
  <c r="G23" i="13" s="1"/>
  <c r="F108" i="13"/>
  <c r="G108" i="13" s="1"/>
  <c r="T300" i="3" s="1"/>
  <c r="F94" i="13"/>
  <c r="G94" i="13" s="1"/>
  <c r="T286" i="3" s="1"/>
  <c r="F107" i="13"/>
  <c r="G107" i="13" s="1"/>
  <c r="T299" i="3" s="1"/>
  <c r="F32" i="13"/>
  <c r="G32" i="13" s="1"/>
  <c r="T224" i="3" s="1"/>
  <c r="F104" i="13"/>
  <c r="G104" i="13" s="1"/>
  <c r="T296" i="3" s="1"/>
  <c r="F29" i="13"/>
  <c r="G29" i="13" s="1"/>
  <c r="F54" i="13"/>
  <c r="G54" i="13" s="1"/>
  <c r="F109" i="13"/>
  <c r="G109" i="13" s="1"/>
  <c r="T301" i="3" s="1"/>
  <c r="F13" i="13"/>
  <c r="G13" i="13" s="1"/>
  <c r="T205" i="3" s="1"/>
  <c r="F35" i="13"/>
  <c r="G35" i="13" s="1"/>
  <c r="F14" i="13"/>
  <c r="G14" i="13" s="1"/>
  <c r="F65" i="13"/>
  <c r="G65" i="13" s="1"/>
  <c r="T257" i="3" s="1"/>
  <c r="F55" i="13"/>
  <c r="G55" i="13" s="1"/>
  <c r="F106" i="13"/>
  <c r="G106" i="13" s="1"/>
  <c r="F19" i="13"/>
  <c r="G19" i="13" s="1"/>
  <c r="T211" i="3" s="1"/>
  <c r="F58" i="13"/>
  <c r="G58" i="13" s="1"/>
  <c r="F83" i="13"/>
  <c r="G83" i="13" s="1"/>
  <c r="F63" i="13"/>
  <c r="G63" i="13" s="1"/>
  <c r="F45" i="13"/>
  <c r="G45" i="13" s="1"/>
  <c r="T237" i="3" s="1"/>
  <c r="F76" i="13"/>
  <c r="G76" i="13" s="1"/>
  <c r="F97" i="13"/>
  <c r="G97" i="13" s="1"/>
  <c r="T289" i="3" s="1"/>
  <c r="F18" i="13"/>
  <c r="G18" i="13" s="1"/>
  <c r="F74" i="13"/>
  <c r="G74" i="13" s="1"/>
  <c r="F80" i="13"/>
  <c r="G80" i="13" s="1"/>
  <c r="T272" i="3" s="1"/>
  <c r="F41" i="13"/>
  <c r="G41" i="13" s="1"/>
  <c r="F27" i="13"/>
  <c r="G27" i="13" s="1"/>
  <c r="T219" i="3" s="1"/>
  <c r="F61" i="13"/>
  <c r="G61" i="13" s="1"/>
  <c r="T253" i="3" s="1"/>
  <c r="F42" i="13"/>
  <c r="G42" i="13" s="1"/>
  <c r="F53" i="13"/>
  <c r="G53" i="13" s="1"/>
  <c r="F102" i="13"/>
  <c r="G102" i="13" s="1"/>
  <c r="T294" i="3" s="1"/>
  <c r="F48" i="13"/>
  <c r="G48" i="13" s="1"/>
  <c r="F88" i="13"/>
  <c r="G88" i="13" s="1"/>
  <c r="F33" i="13"/>
  <c r="G33" i="13" s="1"/>
  <c r="T225" i="3" s="1"/>
  <c r="F20" i="13"/>
  <c r="G20" i="13" s="1"/>
  <c r="T212" i="3" s="1"/>
  <c r="F89" i="13"/>
  <c r="G89" i="13" s="1"/>
  <c r="T281" i="3" s="1"/>
  <c r="F96" i="13"/>
  <c r="G96" i="13" s="1"/>
  <c r="F85" i="13"/>
  <c r="G85" i="13" s="1"/>
  <c r="T277" i="3" s="1"/>
  <c r="F39" i="13"/>
  <c r="G39" i="13" s="1"/>
  <c r="T231" i="3" s="1"/>
  <c r="F99" i="13"/>
  <c r="G99" i="13" s="1"/>
  <c r="T291" i="3" s="1"/>
  <c r="F11" i="13"/>
  <c r="G11" i="13" s="1"/>
  <c r="F34" i="13"/>
  <c r="G34" i="13" s="1"/>
  <c r="F59" i="13"/>
  <c r="G59" i="13" s="1"/>
  <c r="T251" i="3" s="1"/>
  <c r="F72" i="13"/>
  <c r="G72" i="13" s="1"/>
  <c r="T264" i="3" s="1"/>
  <c r="F16" i="13"/>
  <c r="G16" i="13" s="1"/>
  <c r="F79" i="13"/>
  <c r="G79" i="13" s="1"/>
  <c r="T271" i="3" s="1"/>
  <c r="F52" i="13"/>
  <c r="G52" i="13" s="1"/>
  <c r="T244" i="3" s="1"/>
  <c r="F75" i="13"/>
  <c r="G75" i="13" s="1"/>
  <c r="T267" i="3" s="1"/>
  <c r="F17" i="13"/>
  <c r="G17" i="13" s="1"/>
  <c r="T209" i="3" s="1"/>
  <c r="F84" i="13"/>
  <c r="G84" i="13" s="1"/>
  <c r="T276" i="3" s="1"/>
  <c r="G10" i="13"/>
  <c r="O15" i="13" l="1"/>
  <c r="T207" i="3"/>
  <c r="O87" i="13"/>
  <c r="T279" i="3"/>
  <c r="O51" i="13"/>
  <c r="T243" i="3"/>
  <c r="H35" i="13"/>
  <c r="I35" i="13" s="1"/>
  <c r="N35" i="13" s="1"/>
  <c r="T227" i="3"/>
  <c r="O113" i="13"/>
  <c r="T305" i="3"/>
  <c r="O16" i="13"/>
  <c r="T208" i="3"/>
  <c r="H88" i="13"/>
  <c r="I88" i="13" s="1"/>
  <c r="T280" i="3"/>
  <c r="H76" i="13"/>
  <c r="I76" i="13" s="1"/>
  <c r="T268" i="3"/>
  <c r="O70" i="13"/>
  <c r="T262" i="3"/>
  <c r="H56" i="13"/>
  <c r="I56" i="13" s="1"/>
  <c r="T248" i="3"/>
  <c r="O48" i="13"/>
  <c r="T240" i="3"/>
  <c r="H54" i="13"/>
  <c r="I54" i="13" s="1"/>
  <c r="N54" i="13" s="1"/>
  <c r="T246" i="3"/>
  <c r="H98" i="13"/>
  <c r="I98" i="13" s="1"/>
  <c r="T290" i="3"/>
  <c r="H26" i="13"/>
  <c r="I26" i="13" s="1"/>
  <c r="T218" i="3"/>
  <c r="O86" i="13"/>
  <c r="T278" i="3"/>
  <c r="O63" i="13"/>
  <c r="T255" i="3"/>
  <c r="O29" i="13"/>
  <c r="T221" i="3"/>
  <c r="H38" i="13"/>
  <c r="I38" i="13" s="1"/>
  <c r="N38" i="13" s="1"/>
  <c r="T230" i="3"/>
  <c r="O68" i="13"/>
  <c r="T260" i="3"/>
  <c r="H44" i="13"/>
  <c r="I44" i="13" s="1"/>
  <c r="T236" i="3"/>
  <c r="H74" i="13"/>
  <c r="I74" i="13" s="1"/>
  <c r="T266" i="3"/>
  <c r="H112" i="13"/>
  <c r="I112" i="13" s="1"/>
  <c r="N112" i="13" s="1"/>
  <c r="T304" i="3"/>
  <c r="H53" i="13"/>
  <c r="I53" i="13" s="1"/>
  <c r="T245" i="3"/>
  <c r="O83" i="13"/>
  <c r="T275" i="3"/>
  <c r="H46" i="13"/>
  <c r="I46" i="13" s="1"/>
  <c r="T238" i="3"/>
  <c r="O12" i="13"/>
  <c r="T204" i="3"/>
  <c r="H78" i="13"/>
  <c r="I78" i="13" s="1"/>
  <c r="T270" i="3"/>
  <c r="O18" i="13"/>
  <c r="T210" i="3"/>
  <c r="O42" i="13"/>
  <c r="T234" i="3"/>
  <c r="H60" i="13"/>
  <c r="I60" i="13" s="1"/>
  <c r="N60" i="13" s="1"/>
  <c r="T252" i="3"/>
  <c r="O31" i="13"/>
  <c r="T223" i="3"/>
  <c r="O22" i="13"/>
  <c r="T214" i="3"/>
  <c r="O91" i="13"/>
  <c r="T283" i="3"/>
  <c r="O103" i="13"/>
  <c r="T295" i="3"/>
  <c r="O10" i="13"/>
  <c r="T202" i="3"/>
  <c r="O106" i="13"/>
  <c r="T298" i="3"/>
  <c r="O105" i="13"/>
  <c r="T297" i="3"/>
  <c r="O49" i="13"/>
  <c r="T241" i="3"/>
  <c r="O73" i="13"/>
  <c r="T265" i="3"/>
  <c r="H81" i="13"/>
  <c r="I81" i="13" s="1"/>
  <c r="T273" i="3"/>
  <c r="O40" i="13"/>
  <c r="T232" i="3"/>
  <c r="O11" i="13"/>
  <c r="T203" i="3"/>
  <c r="O58" i="13"/>
  <c r="T250" i="3"/>
  <c r="O55" i="13"/>
  <c r="T247" i="3"/>
  <c r="H30" i="13"/>
  <c r="I30" i="13" s="1"/>
  <c r="T222" i="3"/>
  <c r="O14" i="13"/>
  <c r="T206" i="3"/>
  <c r="H47" i="13"/>
  <c r="I47" i="13" s="1"/>
  <c r="N47" i="13" s="1"/>
  <c r="T239" i="3"/>
  <c r="H34" i="13"/>
  <c r="I34" i="13" s="1"/>
  <c r="T226" i="3"/>
  <c r="O41" i="13"/>
  <c r="T233" i="3"/>
  <c r="O62" i="13"/>
  <c r="T254" i="3"/>
  <c r="O96" i="13"/>
  <c r="T288" i="3"/>
  <c r="H23" i="13"/>
  <c r="I23" i="13" s="1"/>
  <c r="T215" i="3"/>
  <c r="H93" i="13"/>
  <c r="I93" i="13" s="1"/>
  <c r="N93" i="13" s="1"/>
  <c r="T285" i="3"/>
  <c r="L44" i="13"/>
  <c r="H42" i="13"/>
  <c r="I42" i="13" s="1"/>
  <c r="O114" i="13"/>
  <c r="H114" i="13"/>
  <c r="H11" i="13"/>
  <c r="I11" i="13" s="1"/>
  <c r="H10" i="13"/>
  <c r="H62" i="13"/>
  <c r="I62" i="13" s="1"/>
  <c r="O38" i="13"/>
  <c r="H63" i="13"/>
  <c r="I63" i="13" s="1"/>
  <c r="H55" i="13"/>
  <c r="I55" i="13" s="1"/>
  <c r="H49" i="13"/>
  <c r="I49" i="13" s="1"/>
  <c r="H68" i="13"/>
  <c r="I68" i="13" s="1"/>
  <c r="H89" i="13"/>
  <c r="I89" i="13" s="1"/>
  <c r="O89" i="13"/>
  <c r="O17" i="13"/>
  <c r="H17" i="13"/>
  <c r="I17" i="13" s="1"/>
  <c r="O39" i="13"/>
  <c r="H39" i="13"/>
  <c r="I39" i="13" s="1"/>
  <c r="O20" i="13"/>
  <c r="H20" i="13"/>
  <c r="I20" i="13" s="1"/>
  <c r="H108" i="13"/>
  <c r="I108" i="13" s="1"/>
  <c r="O108" i="13"/>
  <c r="O37" i="13"/>
  <c r="H37" i="13"/>
  <c r="I37" i="13" s="1"/>
  <c r="H85" i="13"/>
  <c r="I85" i="13" s="1"/>
  <c r="O85" i="13"/>
  <c r="O33" i="13"/>
  <c r="H33" i="13"/>
  <c r="O13" i="13"/>
  <c r="H13" i="13"/>
  <c r="I13" i="13" s="1"/>
  <c r="N13" i="13" s="1"/>
  <c r="O90" i="13"/>
  <c r="H90" i="13"/>
  <c r="I90" i="13" s="1"/>
  <c r="O21" i="13"/>
  <c r="H21" i="13"/>
  <c r="I21" i="13" s="1"/>
  <c r="O27" i="13"/>
  <c r="H27" i="13"/>
  <c r="I27" i="13" s="1"/>
  <c r="O109" i="13"/>
  <c r="H109" i="13"/>
  <c r="I109" i="13" s="1"/>
  <c r="H106" i="13"/>
  <c r="I106" i="13" s="1"/>
  <c r="O81" i="13"/>
  <c r="L46" i="13"/>
  <c r="O74" i="13"/>
  <c r="H40" i="13"/>
  <c r="I40" i="13" s="1"/>
  <c r="H31" i="13"/>
  <c r="I31" i="13" s="1"/>
  <c r="H113" i="13"/>
  <c r="H91" i="13"/>
  <c r="I91" i="13" s="1"/>
  <c r="H16" i="13"/>
  <c r="I16" i="13" s="1"/>
  <c r="O34" i="13"/>
  <c r="H96" i="13"/>
  <c r="I96" i="13" s="1"/>
  <c r="H83" i="13"/>
  <c r="I83" i="13" s="1"/>
  <c r="H29" i="13"/>
  <c r="I29" i="13" s="1"/>
  <c r="H18" i="13"/>
  <c r="I18" i="13" s="1"/>
  <c r="O46" i="13"/>
  <c r="H22" i="13"/>
  <c r="I22" i="13" s="1"/>
  <c r="H12" i="13"/>
  <c r="I12" i="13" s="1"/>
  <c r="O44" i="13"/>
  <c r="O80" i="13"/>
  <c r="H80" i="13"/>
  <c r="H100" i="13"/>
  <c r="I100" i="13" s="1"/>
  <c r="O100" i="13"/>
  <c r="O84" i="13"/>
  <c r="H84" i="13"/>
  <c r="I84" i="13" s="1"/>
  <c r="H45" i="13"/>
  <c r="O45" i="13"/>
  <c r="O19" i="13"/>
  <c r="H19" i="13"/>
  <c r="I19" i="13" s="1"/>
  <c r="O65" i="13"/>
  <c r="H65" i="13"/>
  <c r="I65" i="13" s="1"/>
  <c r="O64" i="13"/>
  <c r="H64" i="13"/>
  <c r="I64" i="13" s="1"/>
  <c r="O102" i="13"/>
  <c r="H102" i="13"/>
  <c r="I102" i="13" s="1"/>
  <c r="O66" i="13"/>
  <c r="H66" i="13"/>
  <c r="I66" i="13" s="1"/>
  <c r="O104" i="13"/>
  <c r="H104" i="13"/>
  <c r="I104" i="13" s="1"/>
  <c r="H107" i="13"/>
  <c r="I107" i="13" s="1"/>
  <c r="O107" i="13"/>
  <c r="O76" i="13"/>
  <c r="L56" i="13"/>
  <c r="O82" i="13"/>
  <c r="H82" i="13"/>
  <c r="I82" i="13" s="1"/>
  <c r="O25" i="13"/>
  <c r="H25" i="13"/>
  <c r="I25" i="13" s="1"/>
  <c r="H87" i="13"/>
  <c r="O112" i="13"/>
  <c r="O79" i="13"/>
  <c r="H79" i="13"/>
  <c r="I79" i="13" s="1"/>
  <c r="H32" i="13"/>
  <c r="I32" i="13" s="1"/>
  <c r="O32" i="13"/>
  <c r="H58" i="13"/>
  <c r="I58" i="13" s="1"/>
  <c r="H71" i="13"/>
  <c r="I71" i="13" s="1"/>
  <c r="O71" i="13"/>
  <c r="O98" i="13"/>
  <c r="O54" i="13"/>
  <c r="Q5" i="13"/>
  <c r="O61" i="13"/>
  <c r="H61" i="13"/>
  <c r="I61" i="13" s="1"/>
  <c r="H94" i="13"/>
  <c r="I94" i="13" s="1"/>
  <c r="O94" i="13"/>
  <c r="Q6" i="13"/>
  <c r="O77" i="13"/>
  <c r="H77" i="13"/>
  <c r="O95" i="13"/>
  <c r="H95" i="13"/>
  <c r="I95" i="13" s="1"/>
  <c r="O111" i="13"/>
  <c r="H111" i="13"/>
  <c r="I111" i="13" s="1"/>
  <c r="O43" i="13"/>
  <c r="H43" i="13"/>
  <c r="O36" i="13"/>
  <c r="H36" i="13"/>
  <c r="I36" i="13" s="1"/>
  <c r="O24" i="13"/>
  <c r="H24" i="13"/>
  <c r="I24" i="13" s="1"/>
  <c r="N26" i="13"/>
  <c r="L26" i="13"/>
  <c r="O26" i="13"/>
  <c r="O56" i="13"/>
  <c r="O59" i="13"/>
  <c r="H59" i="13"/>
  <c r="I59" i="13" s="1"/>
  <c r="O57" i="13"/>
  <c r="H57" i="13"/>
  <c r="I57" i="13" s="1"/>
  <c r="O110" i="13"/>
  <c r="H110" i="13"/>
  <c r="I110" i="13" s="1"/>
  <c r="H69" i="13"/>
  <c r="I69" i="13" s="1"/>
  <c r="O69" i="13"/>
  <c r="O67" i="13"/>
  <c r="H67" i="13"/>
  <c r="I67" i="13" s="1"/>
  <c r="L30" i="13"/>
  <c r="H73" i="13"/>
  <c r="O23" i="13"/>
  <c r="O88" i="13"/>
  <c r="O75" i="13"/>
  <c r="H75" i="13"/>
  <c r="O97" i="13"/>
  <c r="H97" i="13"/>
  <c r="O50" i="13"/>
  <c r="H50" i="13"/>
  <c r="I50" i="13" s="1"/>
  <c r="O92" i="13"/>
  <c r="H92" i="13"/>
  <c r="I92" i="13" s="1"/>
  <c r="O47" i="13"/>
  <c r="O99" i="13"/>
  <c r="H99" i="13"/>
  <c r="I99" i="13" s="1"/>
  <c r="O52" i="13"/>
  <c r="H52" i="13"/>
  <c r="O72" i="13"/>
  <c r="H72" i="13"/>
  <c r="I72" i="13" s="1"/>
  <c r="H48" i="13"/>
  <c r="I48" i="13" s="1"/>
  <c r="H41" i="13"/>
  <c r="I41" i="13" s="1"/>
  <c r="H14" i="13"/>
  <c r="I14" i="13" s="1"/>
  <c r="H15" i="13"/>
  <c r="I15" i="13" s="1"/>
  <c r="H70" i="13"/>
  <c r="I70" i="13" s="1"/>
  <c r="H103" i="13"/>
  <c r="I103" i="13" s="1"/>
  <c r="H105" i="13"/>
  <c r="I105" i="13" s="1"/>
  <c r="O28" i="13"/>
  <c r="H28" i="13"/>
  <c r="I28" i="13" s="1"/>
  <c r="O60" i="13"/>
  <c r="H86" i="13"/>
  <c r="I86" i="13" s="1"/>
  <c r="O53" i="13"/>
  <c r="O30" i="13"/>
  <c r="O35" i="13"/>
  <c r="H101" i="13"/>
  <c r="I101" i="13" s="1"/>
  <c r="O101" i="13"/>
  <c r="L78" i="13"/>
  <c r="H51" i="13"/>
  <c r="I51" i="13" s="1"/>
  <c r="O78" i="13"/>
  <c r="O93" i="13"/>
  <c r="L98" i="13" l="1"/>
  <c r="L88" i="13"/>
  <c r="L76" i="13"/>
  <c r="L35" i="13"/>
  <c r="L112" i="13"/>
  <c r="L23" i="13"/>
  <c r="L38" i="13"/>
  <c r="L34" i="13"/>
  <c r="L47" i="13"/>
  <c r="L93" i="13"/>
  <c r="L81" i="13"/>
  <c r="L54" i="13"/>
  <c r="L53" i="13"/>
  <c r="L74" i="13"/>
  <c r="L60" i="13"/>
  <c r="N98" i="13"/>
  <c r="I97" i="13"/>
  <c r="N97" i="13" s="1"/>
  <c r="N81" i="13"/>
  <c r="I80" i="13"/>
  <c r="N80" i="13" s="1"/>
  <c r="N53" i="13"/>
  <c r="I52" i="13"/>
  <c r="N52" i="13" s="1"/>
  <c r="N78" i="13"/>
  <c r="I77" i="13"/>
  <c r="N77" i="13" s="1"/>
  <c r="I113" i="13"/>
  <c r="N113" i="13" s="1"/>
  <c r="N76" i="13"/>
  <c r="I75" i="13"/>
  <c r="N75" i="13" s="1"/>
  <c r="N46" i="13"/>
  <c r="I45" i="13"/>
  <c r="N45" i="13" s="1"/>
  <c r="N34" i="13"/>
  <c r="I33" i="13"/>
  <c r="N33" i="13" s="1"/>
  <c r="I114" i="13"/>
  <c r="N114" i="13" s="1"/>
  <c r="N74" i="13"/>
  <c r="I73" i="13"/>
  <c r="N73" i="13" s="1"/>
  <c r="N44" i="13"/>
  <c r="I43" i="13"/>
  <c r="N43" i="13" s="1"/>
  <c r="N88" i="13"/>
  <c r="I87" i="13"/>
  <c r="N87" i="13" s="1"/>
  <c r="N23" i="13"/>
  <c r="N83" i="13"/>
  <c r="N108" i="13"/>
  <c r="N109" i="13"/>
  <c r="L49" i="13"/>
  <c r="L62" i="13"/>
  <c r="N63" i="13"/>
  <c r="N11" i="13"/>
  <c r="N22" i="13"/>
  <c r="N20" i="13"/>
  <c r="N21" i="13"/>
  <c r="N55" i="13"/>
  <c r="N56" i="13"/>
  <c r="L18" i="13"/>
  <c r="N19" i="13"/>
  <c r="L31" i="13"/>
  <c r="L63" i="13"/>
  <c r="L29" i="13"/>
  <c r="N30" i="13"/>
  <c r="L16" i="13"/>
  <c r="N17" i="13"/>
  <c r="N90" i="13"/>
  <c r="N39" i="13"/>
  <c r="N40" i="13"/>
  <c r="N68" i="13"/>
  <c r="N42" i="13"/>
  <c r="Q4" i="13"/>
  <c r="F77" i="3" s="1"/>
  <c r="L90" i="13"/>
  <c r="L42" i="13"/>
  <c r="N62" i="13"/>
  <c r="L68" i="13"/>
  <c r="N18" i="13"/>
  <c r="N31" i="13"/>
  <c r="L13" i="13"/>
  <c r="L55" i="13"/>
  <c r="N29" i="13"/>
  <c r="L114" i="13"/>
  <c r="L22" i="13"/>
  <c r="L108" i="13"/>
  <c r="L11" i="13"/>
  <c r="N49" i="13"/>
  <c r="L113" i="13"/>
  <c r="L10" i="13"/>
  <c r="I10" i="13"/>
  <c r="N10" i="13" s="1"/>
  <c r="L109" i="13"/>
  <c r="L17" i="13"/>
  <c r="N16" i="13"/>
  <c r="L40" i="13"/>
  <c r="L85" i="13"/>
  <c r="N85" i="13"/>
  <c r="L89" i="13"/>
  <c r="N89" i="13"/>
  <c r="L21" i="13"/>
  <c r="L83" i="13"/>
  <c r="L96" i="13"/>
  <c r="N96" i="13"/>
  <c r="N91" i="13"/>
  <c r="L91" i="13"/>
  <c r="L27" i="13"/>
  <c r="N27" i="13"/>
  <c r="L33" i="13"/>
  <c r="L37" i="13"/>
  <c r="N37" i="13"/>
  <c r="L20" i="13"/>
  <c r="L39" i="13"/>
  <c r="L12" i="13"/>
  <c r="N12" i="13"/>
  <c r="N106" i="13"/>
  <c r="L106" i="13"/>
  <c r="L70" i="13"/>
  <c r="N70" i="13"/>
  <c r="L73" i="13"/>
  <c r="L43" i="13"/>
  <c r="L95" i="13"/>
  <c r="N95" i="13"/>
  <c r="N58" i="13"/>
  <c r="L58" i="13"/>
  <c r="L101" i="13"/>
  <c r="N101" i="13"/>
  <c r="N15" i="13"/>
  <c r="L15" i="13"/>
  <c r="L97" i="13"/>
  <c r="L57" i="13"/>
  <c r="N57" i="13"/>
  <c r="L71" i="13"/>
  <c r="N71" i="13"/>
  <c r="L107" i="13"/>
  <c r="N107" i="13"/>
  <c r="N102" i="13"/>
  <c r="L102" i="13"/>
  <c r="N65" i="13"/>
  <c r="L65" i="13"/>
  <c r="L80" i="13"/>
  <c r="N105" i="13"/>
  <c r="L105" i="13"/>
  <c r="N32" i="13"/>
  <c r="L32" i="13"/>
  <c r="L87" i="13"/>
  <c r="L45" i="13"/>
  <c r="L100" i="13"/>
  <c r="N100" i="13"/>
  <c r="L28" i="13"/>
  <c r="N28" i="13"/>
  <c r="L41" i="13"/>
  <c r="N41" i="13"/>
  <c r="L52" i="13"/>
  <c r="L94" i="13"/>
  <c r="N94" i="13"/>
  <c r="N61" i="13"/>
  <c r="L61" i="13"/>
  <c r="N48" i="13"/>
  <c r="L48" i="13"/>
  <c r="L92" i="13"/>
  <c r="N92" i="13"/>
  <c r="L24" i="13"/>
  <c r="N24" i="13"/>
  <c r="N82" i="13"/>
  <c r="L82" i="13"/>
  <c r="N51" i="13"/>
  <c r="L51" i="13"/>
  <c r="L72" i="13"/>
  <c r="N72" i="13"/>
  <c r="L99" i="13"/>
  <c r="N99" i="13"/>
  <c r="N69" i="13"/>
  <c r="L69" i="13"/>
  <c r="L111" i="13"/>
  <c r="N111" i="13"/>
  <c r="L77" i="13"/>
  <c r="L86" i="13"/>
  <c r="N86" i="13"/>
  <c r="L103" i="13"/>
  <c r="N103" i="13"/>
  <c r="L14" i="13"/>
  <c r="N14" i="13"/>
  <c r="L50" i="13"/>
  <c r="N50" i="13"/>
  <c r="L75" i="13"/>
  <c r="N67" i="13"/>
  <c r="L67" i="13"/>
  <c r="L110" i="13"/>
  <c r="N110" i="13"/>
  <c r="L59" i="13"/>
  <c r="N59" i="13"/>
  <c r="L36" i="13"/>
  <c r="N36" i="13"/>
  <c r="L79" i="13"/>
  <c r="N79" i="13"/>
  <c r="N25" i="13"/>
  <c r="L25" i="13"/>
  <c r="L104" i="13"/>
  <c r="N104" i="13"/>
  <c r="L66" i="13"/>
  <c r="N66" i="13"/>
  <c r="N64" i="13"/>
  <c r="L64" i="13"/>
  <c r="L19" i="13"/>
  <c r="N84" i="13"/>
  <c r="L84" i="13"/>
  <c r="N5" i="13" l="1"/>
  <c r="O2" i="13"/>
  <c r="J10" i="13"/>
  <c r="F76" i="3" l="1"/>
  <c r="E22" i="14" s="1"/>
  <c r="J11" i="13"/>
  <c r="K10" i="13"/>
  <c r="F78" i="3" l="1"/>
  <c r="H8" i="7" s="1"/>
  <c r="H10" i="7" s="1"/>
  <c r="H12" i="7" s="1"/>
  <c r="H13" i="7" s="1"/>
  <c r="H15" i="7" s="1"/>
  <c r="O38" i="14"/>
  <c r="O45" i="14" s="1"/>
  <c r="O48" i="14" s="1"/>
  <c r="P38" i="14"/>
  <c r="P45" i="14" s="1"/>
  <c r="P48" i="14" s="1"/>
  <c r="E38" i="14"/>
  <c r="E45" i="14" s="1"/>
  <c r="E48" i="14" s="1"/>
  <c r="F38" i="14"/>
  <c r="F45" i="14" s="1"/>
  <c r="F47" i="14" s="1"/>
  <c r="R38" i="14"/>
  <c r="R45" i="14" s="1"/>
  <c r="R47" i="14" s="1"/>
  <c r="S38" i="14"/>
  <c r="S45" i="14" s="1"/>
  <c r="S48" i="14" s="1"/>
  <c r="H38" i="14"/>
  <c r="H45" i="14" s="1"/>
  <c r="H47" i="14" s="1"/>
  <c r="T38" i="14"/>
  <c r="T45" i="14" s="1"/>
  <c r="T47" i="14" s="1"/>
  <c r="U38" i="14"/>
  <c r="U45" i="14" s="1"/>
  <c r="U47" i="14" s="1"/>
  <c r="J38" i="14"/>
  <c r="J45" i="14" s="1"/>
  <c r="J48" i="14" s="1"/>
  <c r="V38" i="14"/>
  <c r="V45" i="14" s="1"/>
  <c r="V48" i="14" s="1"/>
  <c r="K38" i="14"/>
  <c r="K45" i="14" s="1"/>
  <c r="K48" i="14" s="1"/>
  <c r="W38" i="14"/>
  <c r="W45" i="14" s="1"/>
  <c r="W47" i="14" s="1"/>
  <c r="M38" i="14"/>
  <c r="M45" i="14" s="1"/>
  <c r="M47" i="14" s="1"/>
  <c r="G38" i="14"/>
  <c r="G45" i="14" s="1"/>
  <c r="G47" i="14" s="1"/>
  <c r="X38" i="14"/>
  <c r="X45" i="14" s="1"/>
  <c r="X47" i="14" s="1"/>
  <c r="Q38" i="14"/>
  <c r="Q45" i="14" s="1"/>
  <c r="Q48" i="14" s="1"/>
  <c r="L38" i="14"/>
  <c r="L45" i="14" s="1"/>
  <c r="L47" i="14" s="1"/>
  <c r="N38" i="14"/>
  <c r="N45" i="14" s="1"/>
  <c r="N48" i="14" s="1"/>
  <c r="I38" i="14"/>
  <c r="I45" i="14" s="1"/>
  <c r="I47" i="14" s="1"/>
  <c r="J12" i="13"/>
  <c r="K11" i="13"/>
  <c r="R48" i="14" l="1"/>
  <c r="R50" i="14" s="1"/>
  <c r="R51" i="14" s="1"/>
  <c r="R52" i="14" s="1"/>
  <c r="R54" i="14" s="1"/>
  <c r="F48" i="14"/>
  <c r="O47" i="14"/>
  <c r="W48" i="14"/>
  <c r="W50" i="14" s="1"/>
  <c r="W51" i="14" s="1"/>
  <c r="W52" i="14" s="1"/>
  <c r="W54" i="14" s="1"/>
  <c r="P47" i="14"/>
  <c r="P50" i="14" s="1"/>
  <c r="P51" i="14" s="1"/>
  <c r="P52" i="14" s="1"/>
  <c r="P54" i="14" s="1"/>
  <c r="X48" i="14"/>
  <c r="X50" i="14" s="1"/>
  <c r="X51" i="14" s="1"/>
  <c r="X52" i="14" s="1"/>
  <c r="X54" i="14" s="1"/>
  <c r="E47" i="14"/>
  <c r="E50" i="14" s="1"/>
  <c r="E51" i="14" s="1"/>
  <c r="E52" i="14" s="1"/>
  <c r="E54" i="14" s="1"/>
  <c r="E55" i="14" s="1"/>
  <c r="E58" i="14" s="1"/>
  <c r="M48" i="14"/>
  <c r="M50" i="14" s="1"/>
  <c r="M51" i="14" s="1"/>
  <c r="M52" i="14" s="1"/>
  <c r="M54" i="14" s="1"/>
  <c r="G48" i="14"/>
  <c r="G50" i="14" s="1"/>
  <c r="G51" i="14" s="1"/>
  <c r="G52" i="14" s="1"/>
  <c r="G54" i="14" s="1"/>
  <c r="T48" i="14"/>
  <c r="T50" i="14" s="1"/>
  <c r="T51" i="14" s="1"/>
  <c r="T52" i="14" s="1"/>
  <c r="T54" i="14" s="1"/>
  <c r="S47" i="14"/>
  <c r="S50" i="14" s="1"/>
  <c r="S51" i="14" s="1"/>
  <c r="S52" i="14" s="1"/>
  <c r="S54" i="14" s="1"/>
  <c r="Q47" i="14"/>
  <c r="Q50" i="14" s="1"/>
  <c r="Q51" i="14" s="1"/>
  <c r="Q52" i="14" s="1"/>
  <c r="Q54" i="14" s="1"/>
  <c r="L48" i="14"/>
  <c r="L50" i="14" s="1"/>
  <c r="L51" i="14" s="1"/>
  <c r="L52" i="14" s="1"/>
  <c r="L54" i="14" s="1"/>
  <c r="U48" i="14"/>
  <c r="U50" i="14" s="1"/>
  <c r="U51" i="14" s="1"/>
  <c r="U52" i="14" s="1"/>
  <c r="U54" i="14" s="1"/>
  <c r="K47" i="14"/>
  <c r="K50" i="14" s="1"/>
  <c r="K51" i="14" s="1"/>
  <c r="K52" i="14" s="1"/>
  <c r="K54" i="14" s="1"/>
  <c r="V47" i="14"/>
  <c r="V50" i="14" s="1"/>
  <c r="V51" i="14" s="1"/>
  <c r="V52" i="14" s="1"/>
  <c r="V54" i="14" s="1"/>
  <c r="J47" i="14"/>
  <c r="J50" i="14" s="1"/>
  <c r="J51" i="14" s="1"/>
  <c r="J52" i="14" s="1"/>
  <c r="J54" i="14" s="1"/>
  <c r="H48" i="14"/>
  <c r="H50" i="14" s="1"/>
  <c r="H51" i="14" s="1"/>
  <c r="H52" i="14" s="1"/>
  <c r="H54" i="14" s="1"/>
  <c r="N47" i="14"/>
  <c r="N50" i="14" s="1"/>
  <c r="N51" i="14" s="1"/>
  <c r="N52" i="14" s="1"/>
  <c r="N54" i="14" s="1"/>
  <c r="I48" i="14"/>
  <c r="I50" i="14" s="1"/>
  <c r="I51" i="14" s="1"/>
  <c r="I52" i="14" s="1"/>
  <c r="I54" i="14" s="1"/>
  <c r="H11" i="7"/>
  <c r="H14" i="7" s="1"/>
  <c r="H19" i="7" s="1"/>
  <c r="H18" i="7" s="1"/>
  <c r="H20" i="7" s="1"/>
  <c r="H22" i="7" s="1"/>
  <c r="O50" i="14"/>
  <c r="O51" i="14" s="1"/>
  <c r="O52" i="14" s="1"/>
  <c r="O54" i="14" s="1"/>
  <c r="F50" i="14"/>
  <c r="F51" i="14" s="1"/>
  <c r="F52" i="14" s="1"/>
  <c r="F54" i="14" s="1"/>
  <c r="J13" i="13"/>
  <c r="K12" i="13"/>
  <c r="R56" i="14" l="1"/>
  <c r="R59" i="14" s="1"/>
  <c r="H28" i="7"/>
  <c r="X202" i="3" s="1"/>
  <c r="H55" i="14"/>
  <c r="H58" i="14" s="1"/>
  <c r="S55" i="14"/>
  <c r="S58" i="14" s="1"/>
  <c r="V55" i="14"/>
  <c r="V58" i="14" s="1"/>
  <c r="Q55" i="14"/>
  <c r="Q58" i="14" s="1"/>
  <c r="R55" i="14"/>
  <c r="R58" i="14" s="1"/>
  <c r="S56" i="14"/>
  <c r="S59" i="14" s="1"/>
  <c r="Q56" i="14"/>
  <c r="Q59" i="14" s="1"/>
  <c r="J56" i="14"/>
  <c r="J59" i="14" s="1"/>
  <c r="K55" i="14"/>
  <c r="K58" i="14" s="1"/>
  <c r="G56" i="14"/>
  <c r="G59" i="14" s="1"/>
  <c r="K56" i="14"/>
  <c r="K59" i="14" s="1"/>
  <c r="M55" i="14"/>
  <c r="M58" i="14" s="1"/>
  <c r="O55" i="14"/>
  <c r="O58" i="14" s="1"/>
  <c r="U56" i="14"/>
  <c r="U59" i="14" s="1"/>
  <c r="F55" i="14"/>
  <c r="F58" i="14" s="1"/>
  <c r="F56" i="14"/>
  <c r="F59" i="14" s="1"/>
  <c r="H56" i="14"/>
  <c r="H59" i="14" s="1"/>
  <c r="I55" i="14"/>
  <c r="I58" i="14" s="1"/>
  <c r="W55" i="14"/>
  <c r="W58" i="14" s="1"/>
  <c r="G55" i="14"/>
  <c r="G58" i="14" s="1"/>
  <c r="T55" i="14"/>
  <c r="T58" i="14" s="1"/>
  <c r="T56" i="14"/>
  <c r="T59" i="14" s="1"/>
  <c r="W56" i="14"/>
  <c r="W59" i="14" s="1"/>
  <c r="X56" i="14"/>
  <c r="X59" i="14" s="1"/>
  <c r="X55" i="14"/>
  <c r="X58" i="14" s="1"/>
  <c r="J55" i="14"/>
  <c r="J58" i="14" s="1"/>
  <c r="V56" i="14"/>
  <c r="V59" i="14" s="1"/>
  <c r="N55" i="14"/>
  <c r="N58" i="14" s="1"/>
  <c r="N56" i="14"/>
  <c r="N59" i="14" s="1"/>
  <c r="L55" i="14"/>
  <c r="L58" i="14" s="1"/>
  <c r="L56" i="14"/>
  <c r="L59" i="14" s="1"/>
  <c r="O56" i="14"/>
  <c r="O59" i="14" s="1"/>
  <c r="P55" i="14"/>
  <c r="P58" i="14" s="1"/>
  <c r="P56" i="14"/>
  <c r="P59" i="14" s="1"/>
  <c r="I56" i="14"/>
  <c r="I59" i="14" s="1"/>
  <c r="U55" i="14"/>
  <c r="U58" i="14" s="1"/>
  <c r="M56" i="14"/>
  <c r="M59" i="14" s="1"/>
  <c r="J14" i="13"/>
  <c r="K13" i="13"/>
  <c r="V222" i="3" l="1"/>
  <c r="V234" i="3"/>
  <c r="V246" i="3"/>
  <c r="V258" i="3"/>
  <c r="V270" i="3"/>
  <c r="V282" i="3"/>
  <c r="V294" i="3"/>
  <c r="V306" i="3"/>
  <c r="V223" i="3"/>
  <c r="V235" i="3"/>
  <c r="V247" i="3"/>
  <c r="V259" i="3"/>
  <c r="V271" i="3"/>
  <c r="V283" i="3"/>
  <c r="V295" i="3"/>
  <c r="V224" i="3"/>
  <c r="V236" i="3"/>
  <c r="V248" i="3"/>
  <c r="V260" i="3"/>
  <c r="V272" i="3"/>
  <c r="V284" i="3"/>
  <c r="V296" i="3"/>
  <c r="V225" i="3"/>
  <c r="V237" i="3"/>
  <c r="V249" i="3"/>
  <c r="V261" i="3"/>
  <c r="V273" i="3"/>
  <c r="V285" i="3"/>
  <c r="V297" i="3"/>
  <c r="V230" i="3"/>
  <c r="V242" i="3"/>
  <c r="V254" i="3"/>
  <c r="V266" i="3"/>
  <c r="V278" i="3"/>
  <c r="V290" i="3"/>
  <c r="V302" i="3"/>
  <c r="V231" i="3"/>
  <c r="V243" i="3"/>
  <c r="V255" i="3"/>
  <c r="V267" i="3"/>
  <c r="V279" i="3"/>
  <c r="V291" i="3"/>
  <c r="V303" i="3"/>
  <c r="V232" i="3"/>
  <c r="V244" i="3"/>
  <c r="V256" i="3"/>
  <c r="V268" i="3"/>
  <c r="V280" i="3"/>
  <c r="V292" i="3"/>
  <c r="V304" i="3"/>
  <c r="V233" i="3"/>
  <c r="V245" i="3"/>
  <c r="V257" i="3"/>
  <c r="V269" i="3"/>
  <c r="V281" i="3"/>
  <c r="V293" i="3"/>
  <c r="V305" i="3"/>
  <c r="V241" i="3"/>
  <c r="V277" i="3"/>
  <c r="V250" i="3"/>
  <c r="V286" i="3"/>
  <c r="V251" i="3"/>
  <c r="V287" i="3"/>
  <c r="V252" i="3"/>
  <c r="V288" i="3"/>
  <c r="V264" i="3"/>
  <c r="V229" i="3"/>
  <c r="V238" i="3"/>
  <c r="V275" i="3"/>
  <c r="V240" i="3"/>
  <c r="V253" i="3"/>
  <c r="V289" i="3"/>
  <c r="V226" i="3"/>
  <c r="V262" i="3"/>
  <c r="V298" i="3"/>
  <c r="V227" i="3"/>
  <c r="V263" i="3"/>
  <c r="V299" i="3"/>
  <c r="V228" i="3"/>
  <c r="V300" i="3"/>
  <c r="V265" i="3"/>
  <c r="V301" i="3"/>
  <c r="V274" i="3"/>
  <c r="V239" i="3"/>
  <c r="V276" i="3"/>
  <c r="V218" i="3"/>
  <c r="V213" i="3"/>
  <c r="V216" i="3"/>
  <c r="V220" i="3"/>
  <c r="V209" i="3"/>
  <c r="V210" i="3"/>
  <c r="V203" i="3"/>
  <c r="V202" i="3"/>
  <c r="V215" i="3"/>
  <c r="V211" i="3"/>
  <c r="V207" i="3"/>
  <c r="V217" i="3"/>
  <c r="V219" i="3"/>
  <c r="V205" i="3"/>
  <c r="V208" i="3"/>
  <c r="V206" i="3"/>
  <c r="V204" i="3"/>
  <c r="V214" i="3"/>
  <c r="V221" i="3"/>
  <c r="V212" i="3"/>
  <c r="F79" i="3"/>
  <c r="F80" i="3" s="1"/>
  <c r="F75" i="1" s="1"/>
  <c r="H40" i="7"/>
  <c r="H39" i="7"/>
  <c r="H41" i="7"/>
  <c r="O215" i="3"/>
  <c r="O216" i="3" s="1"/>
  <c r="O206" i="3"/>
  <c r="O210" i="3"/>
  <c r="I29" i="14"/>
  <c r="J29" i="14" s="1"/>
  <c r="I28" i="14"/>
  <c r="J28" i="14" s="1"/>
  <c r="J15" i="13"/>
  <c r="K14" i="13"/>
  <c r="O209" i="3" l="1"/>
  <c r="O213" i="3"/>
  <c r="O207" i="3"/>
  <c r="O208" i="3"/>
  <c r="O212" i="3"/>
  <c r="O217" i="3"/>
  <c r="O218" i="3"/>
  <c r="O214" i="3"/>
  <c r="O211" i="3"/>
  <c r="O219" i="3"/>
  <c r="J16" i="13"/>
  <c r="K15" i="13"/>
  <c r="J17" i="13" l="1"/>
  <c r="K16" i="13"/>
  <c r="J18" i="13" l="1"/>
  <c r="K17" i="13"/>
  <c r="J19" i="13" l="1"/>
  <c r="K18" i="13"/>
  <c r="J20" i="13" l="1"/>
  <c r="K19" i="13"/>
  <c r="J21" i="13" l="1"/>
  <c r="K20" i="13"/>
  <c r="J22" i="13" l="1"/>
  <c r="K21" i="13"/>
  <c r="J23" i="13" l="1"/>
  <c r="K22" i="13"/>
  <c r="J24" i="13" l="1"/>
  <c r="K23" i="13"/>
  <c r="J25" i="13" l="1"/>
  <c r="K24" i="13"/>
  <c r="J26" i="13" l="1"/>
  <c r="K25" i="13"/>
  <c r="J27" i="13" l="1"/>
  <c r="K26" i="13"/>
  <c r="J28" i="13" l="1"/>
  <c r="K27" i="13"/>
  <c r="J29" i="13" l="1"/>
  <c r="K28" i="13"/>
  <c r="J30" i="13" l="1"/>
  <c r="K29" i="13"/>
  <c r="J31" i="13" l="1"/>
  <c r="K30" i="13"/>
  <c r="J32" i="13" l="1"/>
  <c r="K31" i="13"/>
  <c r="J33" i="13" l="1"/>
  <c r="K32" i="13"/>
  <c r="J34" i="13" l="1"/>
  <c r="K33" i="13"/>
  <c r="J35" i="13" l="1"/>
  <c r="K34" i="13"/>
  <c r="J36" i="13" l="1"/>
  <c r="K35" i="13"/>
  <c r="J37" i="13" l="1"/>
  <c r="K36" i="13"/>
  <c r="J38" i="13" l="1"/>
  <c r="K37" i="13"/>
  <c r="J39" i="13" l="1"/>
  <c r="K38" i="13"/>
  <c r="J40" i="13" l="1"/>
  <c r="K39" i="13"/>
  <c r="J41" i="13" l="1"/>
  <c r="K40" i="13"/>
  <c r="J42" i="13" l="1"/>
  <c r="K41" i="13"/>
  <c r="J43" i="13" l="1"/>
  <c r="K42" i="13"/>
  <c r="J44" i="13" l="1"/>
  <c r="K43" i="13"/>
  <c r="J45" i="13" l="1"/>
  <c r="K44" i="13"/>
  <c r="J46" i="13" l="1"/>
  <c r="K45" i="13"/>
  <c r="J47" i="13" l="1"/>
  <c r="K46" i="13"/>
  <c r="J48" i="13" l="1"/>
  <c r="K47" i="13"/>
  <c r="J49" i="13" l="1"/>
  <c r="K48" i="13"/>
  <c r="J50" i="13" l="1"/>
  <c r="K49" i="13"/>
  <c r="J51" i="13" l="1"/>
  <c r="K50" i="13"/>
  <c r="J52" i="13" l="1"/>
  <c r="K51" i="13"/>
  <c r="J53" i="13" l="1"/>
  <c r="K52" i="13"/>
  <c r="J54" i="13" l="1"/>
  <c r="K53" i="13"/>
  <c r="J55" i="13" l="1"/>
  <c r="K54" i="13"/>
  <c r="J56" i="13" l="1"/>
  <c r="K55" i="13"/>
  <c r="J57" i="13" l="1"/>
  <c r="K56" i="13"/>
  <c r="J58" i="13" l="1"/>
  <c r="K57" i="13"/>
  <c r="J59" i="13" l="1"/>
  <c r="K58" i="13"/>
  <c r="J60" i="13" l="1"/>
  <c r="K59" i="13"/>
  <c r="J61" i="13" l="1"/>
  <c r="K60" i="13"/>
  <c r="J62" i="13" l="1"/>
  <c r="K61" i="13"/>
  <c r="J63" i="13" l="1"/>
  <c r="K62" i="13"/>
  <c r="J64" i="13" l="1"/>
  <c r="K63" i="13"/>
  <c r="J65" i="13" l="1"/>
  <c r="K64" i="13"/>
  <c r="J66" i="13" l="1"/>
  <c r="K65" i="13"/>
  <c r="J67" i="13" l="1"/>
  <c r="K66" i="13"/>
  <c r="J68" i="13" l="1"/>
  <c r="K67" i="13"/>
  <c r="J69" i="13" l="1"/>
  <c r="K68" i="13"/>
  <c r="J70" i="13" l="1"/>
  <c r="K69" i="13"/>
  <c r="J71" i="13" l="1"/>
  <c r="K70" i="13"/>
  <c r="J72" i="13" l="1"/>
  <c r="K71" i="13"/>
  <c r="J73" i="13" l="1"/>
  <c r="K72" i="13"/>
  <c r="J74" i="13" l="1"/>
  <c r="K73" i="13"/>
  <c r="J75" i="13" l="1"/>
  <c r="K74" i="13"/>
  <c r="J76" i="13" l="1"/>
  <c r="K75" i="13"/>
  <c r="J77" i="13" l="1"/>
  <c r="K76" i="13"/>
  <c r="J78" i="13" l="1"/>
  <c r="K77" i="13"/>
  <c r="J79" i="13" l="1"/>
  <c r="K78" i="13"/>
  <c r="J80" i="13" l="1"/>
  <c r="K79" i="13"/>
  <c r="J81" i="13" l="1"/>
  <c r="K80" i="13"/>
  <c r="J82" i="13" l="1"/>
  <c r="K81" i="13"/>
  <c r="J83" i="13" l="1"/>
  <c r="K82" i="13"/>
  <c r="J84" i="13" l="1"/>
  <c r="K83" i="13"/>
  <c r="J85" i="13" l="1"/>
  <c r="K84" i="13"/>
  <c r="J86" i="13" l="1"/>
  <c r="K85" i="13"/>
  <c r="J87" i="13" l="1"/>
  <c r="K86" i="13"/>
  <c r="J88" i="13" l="1"/>
  <c r="K87" i="13"/>
  <c r="J89" i="13" l="1"/>
  <c r="K88" i="13"/>
  <c r="J90" i="13" l="1"/>
  <c r="K89" i="13"/>
  <c r="J91" i="13" l="1"/>
  <c r="K90" i="13"/>
  <c r="J92" i="13" l="1"/>
  <c r="K91" i="13"/>
  <c r="J93" i="13" l="1"/>
  <c r="K92" i="13"/>
  <c r="J94" i="13" l="1"/>
  <c r="K93" i="13"/>
  <c r="J95" i="13" l="1"/>
  <c r="K94" i="13"/>
  <c r="J96" i="13" l="1"/>
  <c r="K95" i="13"/>
  <c r="J97" i="13" l="1"/>
  <c r="K96" i="13"/>
  <c r="J98" i="13" l="1"/>
  <c r="K97" i="13"/>
  <c r="J99" i="13" l="1"/>
  <c r="K98" i="13"/>
  <c r="J100" i="13" l="1"/>
  <c r="K99" i="13"/>
  <c r="J101" i="13" l="1"/>
  <c r="K100" i="13"/>
  <c r="J102" i="13" l="1"/>
  <c r="K101" i="13"/>
  <c r="J103" i="13" l="1"/>
  <c r="K102" i="13"/>
  <c r="J104" i="13" l="1"/>
  <c r="K103" i="13"/>
  <c r="J105" i="13" l="1"/>
  <c r="K104" i="13"/>
  <c r="J106" i="13" l="1"/>
  <c r="K105" i="13"/>
  <c r="J107" i="13" l="1"/>
  <c r="K106" i="13"/>
  <c r="J108" i="13" l="1"/>
  <c r="K107" i="13"/>
  <c r="J109" i="13" l="1"/>
  <c r="K108" i="13"/>
  <c r="J110" i="13" l="1"/>
  <c r="K109" i="13"/>
  <c r="J111" i="13" l="1"/>
  <c r="K110" i="13"/>
  <c r="J112" i="13" l="1"/>
  <c r="K111" i="13"/>
  <c r="J113" i="13" l="1"/>
  <c r="K112" i="13"/>
  <c r="J114" i="13" l="1"/>
  <c r="K113" i="13"/>
  <c r="M2" i="13" l="1"/>
  <c r="K114" i="13"/>
  <c r="K115" i="13" s="1"/>
  <c r="F58" i="3" l="1"/>
  <c r="F60" i="3" s="1"/>
  <c r="F61" i="3" l="1"/>
  <c r="F21" i="3" l="1"/>
  <c r="F25" i="3" l="1"/>
  <c r="F22" i="3"/>
  <c r="F43" i="3" l="1"/>
  <c r="F24" i="3"/>
  <c r="F26" i="3"/>
  <c r="I2" i="13"/>
  <c r="E223" i="3"/>
  <c r="F45" i="3"/>
  <c r="F47" i="3"/>
  <c r="F52" i="3" s="1"/>
  <c r="F36" i="1"/>
  <c r="F39" i="1" s="1"/>
  <c r="AN49" i="1" l="1"/>
  <c r="F27" i="3"/>
  <c r="F89" i="3"/>
  <c r="F193" i="3"/>
  <c r="F64" i="3"/>
  <c r="F53" i="3"/>
  <c r="F194" i="3" s="1"/>
  <c r="F51" i="3"/>
  <c r="F192" i="3" s="1"/>
  <c r="C2" i="13" l="1"/>
  <c r="M111" i="13" s="1"/>
  <c r="AS38" i="1"/>
  <c r="AS30" i="1" s="1"/>
  <c r="F212" i="3"/>
  <c r="F208" i="3"/>
  <c r="F216" i="3"/>
  <c r="F217" i="3"/>
  <c r="F210" i="3"/>
  <c r="F213" i="3"/>
  <c r="F209" i="3"/>
  <c r="F205" i="3"/>
  <c r="F211" i="3"/>
  <c r="F206" i="3"/>
  <c r="F214" i="3"/>
  <c r="F215" i="3"/>
  <c r="F218" i="3"/>
  <c r="F207" i="3"/>
  <c r="F202" i="3"/>
  <c r="F203" i="3"/>
  <c r="F204" i="3"/>
  <c r="M20" i="13"/>
  <c r="M52" i="13"/>
  <c r="M44" i="13"/>
  <c r="M90" i="13"/>
  <c r="M65" i="13"/>
  <c r="M67" i="13"/>
  <c r="M24" i="13"/>
  <c r="M66" i="13"/>
  <c r="M16" i="13"/>
  <c r="M71" i="13"/>
  <c r="M46" i="13"/>
  <c r="M31" i="13"/>
  <c r="M75" i="13"/>
  <c r="M68" i="13"/>
  <c r="M62" i="13"/>
  <c r="M110" i="13"/>
  <c r="M10" i="13"/>
  <c r="M91" i="13"/>
  <c r="M21" i="13"/>
  <c r="M13" i="13"/>
  <c r="M94" i="13"/>
  <c r="M107" i="13"/>
  <c r="M11" i="13"/>
  <c r="M93" i="13"/>
  <c r="M85" i="13"/>
  <c r="M26" i="13"/>
  <c r="M86" i="13"/>
  <c r="M104" i="13"/>
  <c r="M89" i="13"/>
  <c r="M88" i="13"/>
  <c r="M102" i="13"/>
  <c r="M57" i="13"/>
  <c r="M17" i="13"/>
  <c r="M79" i="13"/>
  <c r="M43" i="13"/>
  <c r="M76" i="13"/>
  <c r="M33" i="13"/>
  <c r="M36" i="13"/>
  <c r="M108" i="13"/>
  <c r="M105" i="13"/>
  <c r="M98" i="13"/>
  <c r="M106" i="13"/>
  <c r="M70" i="13"/>
  <c r="M37" i="13"/>
  <c r="M22" i="13"/>
  <c r="M92" i="13"/>
  <c r="M87" i="13"/>
  <c r="M42" i="13"/>
  <c r="M72" i="13"/>
  <c r="M63" i="13"/>
  <c r="M83" i="13"/>
  <c r="M41" i="13"/>
  <c r="M15" i="13"/>
  <c r="M54" i="13"/>
  <c r="M69" i="13"/>
  <c r="M14" i="13"/>
  <c r="M74" i="13"/>
  <c r="M49" i="13"/>
  <c r="M45" i="13"/>
  <c r="M81" i="13"/>
  <c r="M101" i="13"/>
  <c r="M25" i="13"/>
  <c r="M100" i="13"/>
  <c r="M73" i="13"/>
  <c r="M53" i="13"/>
  <c r="M95" i="13"/>
  <c r="M51" i="13"/>
  <c r="M47" i="13"/>
  <c r="M39" i="13"/>
  <c r="M77" i="13"/>
  <c r="M60" i="13"/>
  <c r="M18" i="13"/>
  <c r="M32" i="13"/>
  <c r="M109" i="13"/>
  <c r="M23" i="13"/>
  <c r="M97" i="13"/>
  <c r="M50" i="13"/>
  <c r="M58" i="13"/>
  <c r="M29" i="13"/>
  <c r="M82" i="13"/>
  <c r="M27" i="13"/>
  <c r="M35" i="13"/>
  <c r="M59" i="13"/>
  <c r="M78" i="13"/>
  <c r="M12" i="13"/>
  <c r="M64" i="13"/>
  <c r="M55" i="13"/>
  <c r="M38" i="13"/>
  <c r="M61" i="13"/>
  <c r="M99" i="13"/>
  <c r="M84" i="13"/>
  <c r="M103" i="13"/>
  <c r="M48" i="13"/>
  <c r="M19" i="13"/>
  <c r="M96" i="13"/>
  <c r="M56" i="13"/>
  <c r="M34" i="13"/>
  <c r="M80" i="13"/>
  <c r="M40" i="13"/>
  <c r="M28" i="13"/>
  <c r="M30" i="13"/>
  <c r="M113" i="13" l="1"/>
  <c r="M114" i="13"/>
  <c r="M112" i="13"/>
  <c r="AS36" i="1"/>
  <c r="B203" i="3"/>
  <c r="K203" i="3"/>
  <c r="G203" i="3"/>
  <c r="L203" i="3" s="1"/>
  <c r="U203" i="3" s="1"/>
  <c r="E203" i="3"/>
  <c r="J203" i="3" s="1"/>
  <c r="S203" i="3" s="1"/>
  <c r="B205" i="3"/>
  <c r="G205" i="3"/>
  <c r="L205" i="3" s="1"/>
  <c r="U205" i="3" s="1"/>
  <c r="E205" i="3"/>
  <c r="J205" i="3" s="1"/>
  <c r="S205" i="3" s="1"/>
  <c r="K205" i="3"/>
  <c r="K202" i="3"/>
  <c r="E202" i="3"/>
  <c r="J202" i="3" s="1"/>
  <c r="S202" i="3" s="1"/>
  <c r="B202" i="3"/>
  <c r="G202" i="3"/>
  <c r="L202" i="3" s="1"/>
  <c r="U202" i="3" s="1"/>
  <c r="B209" i="3"/>
  <c r="G209" i="3"/>
  <c r="L209" i="3" s="1"/>
  <c r="U209" i="3" s="1"/>
  <c r="K209" i="3"/>
  <c r="E209" i="3"/>
  <c r="J209" i="3" s="1"/>
  <c r="S209" i="3" s="1"/>
  <c r="K207" i="3"/>
  <c r="G207" i="3"/>
  <c r="L207" i="3" s="1"/>
  <c r="U207" i="3" s="1"/>
  <c r="B207" i="3"/>
  <c r="E207" i="3"/>
  <c r="J207" i="3" s="1"/>
  <c r="S207" i="3" s="1"/>
  <c r="E213" i="3"/>
  <c r="J213" i="3" s="1"/>
  <c r="S213" i="3" s="1"/>
  <c r="B213" i="3"/>
  <c r="G213" i="3"/>
  <c r="L213" i="3" s="1"/>
  <c r="U213" i="3" s="1"/>
  <c r="K213" i="3"/>
  <c r="G218" i="3"/>
  <c r="L218" i="3" s="1"/>
  <c r="U218" i="3" s="1"/>
  <c r="K218" i="3"/>
  <c r="E218" i="3"/>
  <c r="J218" i="3" s="1"/>
  <c r="S218" i="3" s="1"/>
  <c r="B218" i="3"/>
  <c r="B210" i="3"/>
  <c r="E210" i="3"/>
  <c r="J210" i="3" s="1"/>
  <c r="S210" i="3" s="1"/>
  <c r="K210" i="3"/>
  <c r="G210" i="3"/>
  <c r="L210" i="3" s="1"/>
  <c r="U210" i="3" s="1"/>
  <c r="G215" i="3"/>
  <c r="L215" i="3" s="1"/>
  <c r="U215" i="3" s="1"/>
  <c r="B215" i="3"/>
  <c r="E215" i="3"/>
  <c r="J215" i="3" s="1"/>
  <c r="S215" i="3" s="1"/>
  <c r="K215" i="3"/>
  <c r="E217" i="3"/>
  <c r="J217" i="3" s="1"/>
  <c r="S217" i="3" s="1"/>
  <c r="G217" i="3"/>
  <c r="L217" i="3" s="1"/>
  <c r="U217" i="3" s="1"/>
  <c r="K217" i="3"/>
  <c r="B217" i="3"/>
  <c r="N4" i="13"/>
  <c r="B214" i="3"/>
  <c r="E214" i="3"/>
  <c r="J214" i="3" s="1"/>
  <c r="S214" i="3" s="1"/>
  <c r="K214" i="3"/>
  <c r="G214" i="3"/>
  <c r="L214" i="3" s="1"/>
  <c r="U214" i="3" s="1"/>
  <c r="K216" i="3"/>
  <c r="E216" i="3"/>
  <c r="J216" i="3" s="1"/>
  <c r="S216" i="3" s="1"/>
  <c r="B216" i="3"/>
  <c r="G216" i="3"/>
  <c r="L216" i="3" s="1"/>
  <c r="U216" i="3" s="1"/>
  <c r="G206" i="3"/>
  <c r="L206" i="3" s="1"/>
  <c r="U206" i="3" s="1"/>
  <c r="B206" i="3"/>
  <c r="K206" i="3"/>
  <c r="E206" i="3"/>
  <c r="J206" i="3" s="1"/>
  <c r="S206" i="3" s="1"/>
  <c r="E208" i="3"/>
  <c r="J208" i="3" s="1"/>
  <c r="S208" i="3" s="1"/>
  <c r="K208" i="3"/>
  <c r="B208" i="3"/>
  <c r="G208" i="3"/>
  <c r="L208" i="3" s="1"/>
  <c r="U208" i="3" s="1"/>
  <c r="G204" i="3"/>
  <c r="L204" i="3" s="1"/>
  <c r="U204" i="3" s="1"/>
  <c r="B204" i="3"/>
  <c r="K204" i="3"/>
  <c r="E204" i="3"/>
  <c r="J204" i="3" s="1"/>
  <c r="S204" i="3" s="1"/>
  <c r="K211" i="3"/>
  <c r="E211" i="3"/>
  <c r="J211" i="3" s="1"/>
  <c r="S211" i="3" s="1"/>
  <c r="B211" i="3"/>
  <c r="G211" i="3"/>
  <c r="L211" i="3" s="1"/>
  <c r="U211" i="3" s="1"/>
  <c r="E212" i="3"/>
  <c r="J212" i="3" s="1"/>
  <c r="S212" i="3" s="1"/>
  <c r="B212" i="3"/>
  <c r="G212" i="3"/>
  <c r="L212" i="3" s="1"/>
  <c r="U212" i="3" s="1"/>
  <c r="K2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Vashisht, Kartik</author>
    <author>GD, Praveen</author>
    <author>a0272042</author>
    <author>Alex Triano</author>
    <author>TI User</author>
    <author>bdemsc</author>
  </authors>
  <commentList>
    <comment ref="F18" authorId="0" shapeId="0" xr:uid="{00000000-0006-0000-0100-000003000000}">
      <text>
        <r>
          <rPr>
            <b/>
            <sz val="8"/>
            <color indexed="81"/>
            <rFont val="Tahoma"/>
            <family val="2"/>
          </rPr>
          <t xml:space="preserve">This is the capacitance at Vout. This should not be zero. A minimum of 100 </t>
        </r>
        <r>
          <rPr>
            <b/>
            <sz val="8"/>
            <color indexed="81"/>
            <rFont val="Arial"/>
            <family val="2"/>
          </rPr>
          <t>n</t>
        </r>
        <r>
          <rPr>
            <b/>
            <sz val="8"/>
            <color indexed="81"/>
            <rFont val="Tahoma"/>
            <family val="2"/>
          </rPr>
          <t>F is recommended.</t>
        </r>
      </text>
    </comment>
    <comment ref="F23" authorId="1" shapeId="0" xr:uid="{F8166991-100C-4B7E-900F-EDF7CF4C0DAE}">
      <text>
        <r>
          <rPr>
            <b/>
            <sz val="9"/>
            <color indexed="81"/>
            <rFont val="Tahoma"/>
            <family val="2"/>
          </rPr>
          <t xml:space="preserve">Min current limit has to be greater than max load current
</t>
        </r>
      </text>
    </comment>
    <comment ref="F24" authorId="1" shapeId="0" xr:uid="{DFDDF1E0-CA55-403A-BB90-C153699B19C0}">
      <text>
        <r>
          <rPr>
            <b/>
            <sz val="9"/>
            <color indexed="81"/>
            <rFont val="Tahoma"/>
            <family val="2"/>
          </rPr>
          <t xml:space="preserve">Value depends on Rsense, should not be less than 20mV/Rsense </t>
        </r>
      </text>
    </comment>
    <comment ref="F25" authorId="2" shapeId="0" xr:uid="{FE6AEE9D-D6CF-4542-9DDF-C74E39E4A10D}">
      <text>
        <r>
          <rPr>
            <b/>
            <sz val="9"/>
            <color indexed="81"/>
            <rFont val="Tahoma"/>
            <family val="2"/>
          </rPr>
          <t>Refer to controller datasheet for Load switch FET - 'GATE Source Current' paramter</t>
        </r>
      </text>
    </comment>
    <comment ref="F30" authorId="1" shapeId="0" xr:uid="{40F3999C-44EE-4B8C-ABEC-59F335AB1338}">
      <text>
        <r>
          <rPr>
            <b/>
            <sz val="9"/>
            <color indexed="81"/>
            <rFont val="Tahoma"/>
            <family val="2"/>
          </rPr>
          <t xml:space="preserve">Recommended range is 50 to 100 ohm
</t>
        </r>
      </text>
    </comment>
    <comment ref="F33" authorId="3" shapeId="0" xr:uid="{00000000-0006-0000-0100-000008000000}">
      <text>
        <r>
          <rPr>
            <b/>
            <sz val="9"/>
            <color indexed="81"/>
            <rFont val="Tahoma"/>
            <family val="2"/>
          </rPr>
          <t xml:space="preserve">Ensure that the minimum current limit is above maximum load. </t>
        </r>
      </text>
    </comment>
    <comment ref="F49" authorId="4" shapeId="0" xr:uid="{00000000-0006-0000-0100-00000C000000}">
      <text>
        <r>
          <rPr>
            <b/>
            <sz val="9"/>
            <color indexed="81"/>
            <rFont val="Tahoma"/>
            <family val="2"/>
          </rPr>
          <t xml:space="preserve">Note that this parameter is heavily dependent on the board layout and amount of copper connected to the Drain of the FET. 
~40 C/W number and is a good starting point. It's recommended to measure this value again once the boards are built and plugging this back into the calculator. 
</t>
        </r>
      </text>
    </comment>
    <comment ref="F51" authorId="3" shapeId="0" xr:uid="{00000000-0006-0000-0100-00000D000000}">
      <text>
        <r>
          <rPr>
            <b/>
            <sz val="9"/>
            <color indexed="81"/>
            <rFont val="Tahoma"/>
            <family val="2"/>
          </rPr>
          <t>This number may need to be adjusted iteratively.</t>
        </r>
        <r>
          <rPr>
            <sz val="9"/>
            <color indexed="81"/>
            <rFont val="Tahoma"/>
            <family val="2"/>
          </rPr>
          <t xml:space="preserve">
</t>
        </r>
      </text>
    </comment>
    <comment ref="F59" authorId="3" shapeId="0" xr:uid="{00000000-0006-0000-0100-00000E000000}">
      <text>
        <r>
          <rPr>
            <sz val="9"/>
            <color indexed="81"/>
            <rFont val="Tahoma"/>
            <family val="2"/>
          </rPr>
          <t xml:space="preserve">If FET temperature is too high, increase the # of FETs, reduce the load, or reduce the RθJA by adding more heat sinking to MOSFETs. 
</t>
        </r>
      </text>
    </comment>
    <comment ref="I65" authorId="5" shapeId="0" xr:uid="{00000000-0006-0000-0100-000011000000}">
      <text>
        <r>
          <rPr>
            <sz val="8"/>
            <color indexed="81"/>
            <rFont val="Tahoma"/>
            <family val="2"/>
          </rPr>
          <t xml:space="preserve">3 Parameters:
Step 1: Max Ambrient Operating Temperature 
Step 3: Estimated MOSFET RQJA
Step 3: FET Power Dissipation at full load 
**This includes air flow
</t>
        </r>
      </text>
    </comment>
    <comment ref="F67" authorId="6" shapeId="0" xr:uid="{00000000-0006-0000-0100-000012000000}">
      <text>
        <r>
          <rPr>
            <b/>
            <sz val="8"/>
            <color indexed="81"/>
            <rFont val="Tahoma"/>
            <family val="2"/>
          </rPr>
          <t>Select if the load will draw current during start-up. 
For no Load, choose constant current and set to zero</t>
        </r>
      </text>
    </comment>
    <comment ref="F69" authorId="6" shapeId="0" xr:uid="{00000000-0006-0000-0100-000013000000}">
      <text>
        <r>
          <rPr>
            <b/>
            <sz val="8"/>
            <color indexed="81"/>
            <rFont val="Tahoma"/>
            <family val="2"/>
          </rPr>
          <t xml:space="preserve">Yes or No.  
DV/DT control can be useful in high current applications or applications were COUT is large.
</t>
        </r>
      </text>
    </comment>
    <comment ref="F74" authorId="1" shapeId="0" xr:uid="{8C55EF09-5B26-43B0-A394-29820E4E34F7}">
      <text>
        <r>
          <rPr>
            <b/>
            <sz val="9"/>
            <color indexed="81"/>
            <rFont val="Tahoma"/>
            <family val="2"/>
          </rPr>
          <t>Should be less than the user specified Inrush current value, vary the slew rate and SS Capacitor to get it below max value</t>
        </r>
      </text>
    </comment>
    <comment ref="F75" authorId="3" shapeId="0" xr:uid="{00000000-0006-0000-0100-00001D000000}">
      <text>
        <r>
          <rPr>
            <sz val="9"/>
            <color indexed="81"/>
            <rFont val="Tahoma"/>
            <family val="2"/>
          </rPr>
          <t>A margin of &gt;1.1 is required and a margin of &gt;1.3 is recommended to account for the variation in the gate current. 
Reduce dv/dt rate to reduce inrush current and increase SOA margin</t>
        </r>
      </text>
    </comment>
    <comment ref="F80" authorId="6" shapeId="0" xr:uid="{00000000-0006-0000-0100-000020000000}">
      <text>
        <r>
          <rPr>
            <b/>
            <sz val="8"/>
            <color indexed="81"/>
            <rFont val="Tahoma"/>
            <family val="2"/>
          </rPr>
          <t>See the schematics on the right to select the appropriate option for setting the input voltage UVLO and OVLO thresholds.</t>
        </r>
      </text>
    </comment>
    <comment ref="F81" authorId="0" shapeId="0" xr:uid="{00000000-0006-0000-0100-000021000000}">
      <text>
        <r>
          <rPr>
            <b/>
            <sz val="8"/>
            <color indexed="81"/>
            <rFont val="Tahoma"/>
            <family val="2"/>
          </rPr>
          <t>This threshold must be between 3V and 65V.</t>
        </r>
      </text>
    </comment>
    <comment ref="F83" authorId="0" shapeId="0" xr:uid="{00000000-0006-0000-0100-000023000000}">
      <text>
        <r>
          <rPr>
            <b/>
            <sz val="8"/>
            <color indexed="81"/>
            <rFont val="Tahoma"/>
            <family val="2"/>
          </rPr>
          <t>This threshold must be greater than the UVLO Threshold, and less than 65V.</t>
        </r>
      </text>
    </comment>
    <comment ref="F119" authorId="4" shapeId="0" xr:uid="{00000000-0006-0000-0100-000024000000}">
      <text>
        <r>
          <rPr>
            <sz val="9"/>
            <color indexed="81"/>
            <rFont val="Tahoma"/>
            <family val="2"/>
          </rPr>
          <t xml:space="preserve">TI recommended. Same as EVM
</t>
        </r>
      </text>
    </comment>
    <comment ref="F120" authorId="4" shapeId="0" xr:uid="{00000000-0006-0000-0100-000025000000}">
      <text>
        <r>
          <rPr>
            <sz val="9"/>
            <color indexed="81"/>
            <rFont val="Tahoma"/>
            <family val="2"/>
          </rPr>
          <t xml:space="preserve">TI recomends the SMBJxx TVS, which are used on the EVM. 
Pick the proper value based on the input voltage.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bdemsc</author>
  </authors>
  <commentList>
    <comment ref="C39" authorId="0" shapeId="0" xr:uid="{00000000-0006-0000-0500-000001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H39" authorId="0" shapeId="0" xr:uid="{3E60E5E3-414E-4DEC-A18D-30DB69B92CD3}">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0" authorId="0" shapeId="0" xr:uid="{00000000-0006-0000-0500-000002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H40" authorId="0" shapeId="0" xr:uid="{E17E537B-A53D-4C98-98BF-FC59F876C2E5}">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1" authorId="0" shapeId="0" xr:uid="{00000000-0006-0000-0500-000003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H41" authorId="0" shapeId="0" xr:uid="{47E5052C-6734-4D21-87C6-1FE1D3D6A518}">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List>
</comments>
</file>

<file path=xl/sharedStrings.xml><?xml version="1.0" encoding="utf-8"?>
<sst xmlns="http://schemas.openxmlformats.org/spreadsheetml/2006/main" count="718" uniqueCount="494">
  <si>
    <t>Max Rs =</t>
  </si>
  <si>
    <t>Min. Current limit =</t>
  </si>
  <si>
    <t>Typ. Current limit =</t>
  </si>
  <si>
    <t>Max. Current limit =</t>
  </si>
  <si>
    <t>Rs Power Diss. =</t>
  </si>
  <si>
    <t>Resulting Typical Power Limit =</t>
  </si>
  <si>
    <t>Resulting Minimum Power Limit =</t>
  </si>
  <si>
    <t>Resulting Maximum Power Limit =</t>
  </si>
  <si>
    <t>ms</t>
  </si>
  <si>
    <t>(V)</t>
  </si>
  <si>
    <t>(A)</t>
  </si>
  <si>
    <t>Typ. Insertion time =</t>
  </si>
  <si>
    <t>Typ. Restart time =</t>
  </si>
  <si>
    <t>R1 =</t>
  </si>
  <si>
    <t>R2 =</t>
  </si>
  <si>
    <t>R3 =</t>
  </si>
  <si>
    <t>R4 =</t>
  </si>
  <si>
    <t xml:space="preserve">   24% tolerance used in this calculation.</t>
  </si>
  <si>
    <t xml:space="preserve">  10% margin added in this calculation</t>
  </si>
  <si>
    <r>
      <t>C</t>
    </r>
    <r>
      <rPr>
        <vertAlign val="subscript"/>
        <sz val="10"/>
        <rFont val="Arial"/>
        <family val="2"/>
      </rPr>
      <t>T</t>
    </r>
    <r>
      <rPr>
        <sz val="10"/>
        <rFont val="Arial"/>
        <family val="2"/>
      </rPr>
      <t xml:space="preserve"> =</t>
    </r>
  </si>
  <si>
    <t>Notes:</t>
  </si>
  <si>
    <t>Option A</t>
  </si>
  <si>
    <t>Option B</t>
  </si>
  <si>
    <t>Select Option A or Option B</t>
  </si>
  <si>
    <t>R2</t>
  </si>
  <si>
    <t>R3</t>
  </si>
  <si>
    <t>R4</t>
  </si>
  <si>
    <t>A</t>
  </si>
  <si>
    <t>B</t>
  </si>
  <si>
    <t>UVLO upper is F40</t>
  </si>
  <si>
    <t xml:space="preserve">R3 = </t>
  </si>
  <si>
    <t xml:space="preserve">R2 = </t>
  </si>
  <si>
    <t xml:space="preserve">R1 = </t>
  </si>
  <si>
    <t xml:space="preserve">R4 = </t>
  </si>
  <si>
    <t>R1 is F48</t>
  </si>
  <si>
    <t>Resulting Thresholds:</t>
  </si>
  <si>
    <r>
      <t>C</t>
    </r>
    <r>
      <rPr>
        <vertAlign val="subscript"/>
        <sz val="10"/>
        <rFont val="Arial"/>
        <family val="2"/>
      </rPr>
      <t>IN</t>
    </r>
    <r>
      <rPr>
        <sz val="10"/>
        <rFont val="Arial"/>
        <family val="2"/>
      </rPr>
      <t xml:space="preserve"> = </t>
    </r>
  </si>
  <si>
    <r>
      <t>V</t>
    </r>
    <r>
      <rPr>
        <b/>
        <vertAlign val="subscript"/>
        <sz val="10"/>
        <rFont val="Arial"/>
        <family val="2"/>
      </rPr>
      <t>DS</t>
    </r>
  </si>
  <si>
    <t>GRAPH:</t>
  </si>
  <si>
    <t>Selected Rs =</t>
  </si>
  <si>
    <r>
      <t>Selected R</t>
    </r>
    <r>
      <rPr>
        <vertAlign val="subscript"/>
        <sz val="10"/>
        <rFont val="Arial"/>
        <family val="2"/>
      </rPr>
      <t>PWR</t>
    </r>
    <r>
      <rPr>
        <sz val="10"/>
        <rFont val="Arial"/>
        <family val="2"/>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</si>
  <si>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</si>
  <si>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</si>
  <si>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</si>
  <si>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</si>
  <si>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</si>
  <si>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</si>
  <si>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</si>
  <si>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</si>
  <si>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</si>
  <si>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</si>
  <si>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</si>
  <si>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</si>
  <si>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</si>
  <si>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</si>
  <si>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</si>
  <si>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</si>
  <si>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</si>
  <si>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</si>
  <si>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</si>
  <si>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</si>
  <si>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</si>
  <si>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</si>
  <si>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</si>
  <si>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</si>
  <si>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</si>
  <si>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</si>
  <si>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</si>
  <si>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</si>
  <si>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</si>
  <si>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</si>
  <si>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</si>
  <si>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</si>
  <si>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Resulting Minimum Current Limit</t>
  </si>
  <si>
    <t>Resulting Typical Current Limit</t>
  </si>
  <si>
    <t>Resulting Maximum Current Limit</t>
  </si>
  <si>
    <t xml:space="preserve">Enter the Resistance for R1 </t>
  </si>
  <si>
    <t xml:space="preserve">Enter the Resistance for R2 </t>
  </si>
  <si>
    <t xml:space="preserve">Enter the Resistance for R3 </t>
  </si>
  <si>
    <t xml:space="preserve">Enter the Resistance for R4 </t>
  </si>
  <si>
    <t>2. A TVS clamp from VIN to GND is absolutely mandatory to clamp the voltage overshoot upon MOSFET turn-off, e.g. during circuit breaker</t>
  </si>
  <si>
    <r>
      <t>I</t>
    </r>
    <r>
      <rPr>
        <b/>
        <vertAlign val="subscript"/>
        <sz val="10"/>
        <rFont val="Arial"/>
        <family val="2"/>
      </rPr>
      <t>D</t>
    </r>
  </si>
  <si>
    <t>Ramp time for output voltage</t>
  </si>
  <si>
    <t>Nominal output voltage</t>
  </si>
  <si>
    <t>Required soft-start capacitance</t>
  </si>
  <si>
    <t>nF</t>
  </si>
  <si>
    <r>
      <t>Maximum Ambient Operating Temperature: T</t>
    </r>
    <r>
      <rPr>
        <vertAlign val="subscript"/>
        <sz val="10"/>
        <rFont val="Arial"/>
        <family val="2"/>
      </rPr>
      <t>MAX</t>
    </r>
  </si>
  <si>
    <r>
      <t>Maximum Load Current: I</t>
    </r>
    <r>
      <rPr>
        <vertAlign val="subscript"/>
        <sz val="10"/>
        <rFont val="Arial"/>
        <family val="2"/>
      </rPr>
      <t>OUT(MAX)</t>
    </r>
  </si>
  <si>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</si>
  <si>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</si>
  <si>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</si>
  <si>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</si>
  <si>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</si>
  <si>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</si>
  <si>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</si>
  <si>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</si>
  <si>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</si>
  <si>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</si>
  <si>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</si>
  <si>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</si>
  <si>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</si>
  <si>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</si>
  <si>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</si>
  <si>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</si>
  <si>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</si>
  <si>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</si>
  <si>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</si>
  <si>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</si>
  <si>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</si>
  <si>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</si>
  <si>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</si>
  <si>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</si>
  <si>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</si>
  <si>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</si>
  <si>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</si>
  <si>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</si>
  <si>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</si>
  <si>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</si>
  <si>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</si>
  <si>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</si>
  <si>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Sense input Current</t>
  </si>
  <si>
    <t>Units</t>
  </si>
  <si>
    <t>uA</t>
  </si>
  <si>
    <t>Circuit Breaker</t>
  </si>
  <si>
    <t>Timer</t>
  </si>
  <si>
    <t>Upper Threshold</t>
  </si>
  <si>
    <t>Insertion Time Current</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</si>
  <si>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</si>
  <si>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</si>
  <si>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</si>
  <si>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</si>
  <si>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</si>
  <si>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</si>
  <si>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</si>
  <si>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</si>
  <si>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</si>
  <si>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</si>
  <si>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</si>
  <si>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</si>
  <si>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</si>
  <si>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</si>
  <si>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</si>
  <si>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</si>
  <si>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</si>
  <si>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</si>
  <si>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</si>
  <si>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</si>
  <si>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</si>
  <si>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</si>
  <si>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r>
      <rPr>
        <vertAlign val="superscript"/>
        <sz val="10"/>
        <rFont val="Arial"/>
        <family val="2"/>
      </rPr>
      <t>o</t>
    </r>
    <r>
      <rPr>
        <sz val="10"/>
        <rFont val="Arial"/>
        <family val="2"/>
      </rPr>
      <t>C</t>
    </r>
  </si>
  <si>
    <t>Interpolated Power=</t>
  </si>
  <si>
    <t xml:space="preserve">Max Power with Temp Derating = </t>
  </si>
  <si>
    <t>Load Turn-On Threshold</t>
  </si>
  <si>
    <t>a = iSOA1/tSOA1^m</t>
  </si>
  <si>
    <t>m = log(iSOA1/iSOA2)/log(tSOA1/tSOA2)</t>
  </si>
  <si>
    <t>I = a * t^m</t>
  </si>
  <si>
    <t>Derating factor =</t>
  </si>
  <si>
    <t>No</t>
  </si>
  <si>
    <t>Use External Soft-Start Control</t>
  </si>
  <si>
    <t>Yes</t>
  </si>
  <si>
    <t>Gate</t>
  </si>
  <si>
    <t>V/S</t>
  </si>
  <si>
    <t>Gate Sourcing Current</t>
  </si>
  <si>
    <t>CLMAX =</t>
  </si>
  <si>
    <t xml:space="preserve">CLNOM = </t>
  </si>
  <si>
    <t>CLMIN =</t>
  </si>
  <si>
    <t>RCL1 Recommended  =</t>
  </si>
  <si>
    <t>RCL2 Recommmended =</t>
  </si>
  <si>
    <t>Effective Rs =</t>
  </si>
  <si>
    <t>Step 5: UVLO, OVLO &amp; PGD Thresholds</t>
  </si>
  <si>
    <t>Design Summary</t>
  </si>
  <si>
    <t>100us</t>
  </si>
  <si>
    <t>Step 2: Current Limit and Circuit Breaker</t>
  </si>
  <si>
    <t>1.8 x Threshold</t>
  </si>
  <si>
    <t>1.8x CB:CL Ratio</t>
  </si>
  <si>
    <t>3.6 x Threshold</t>
  </si>
  <si>
    <t>3.6x CB:CL Ratio</t>
  </si>
  <si>
    <t>Min Insertion time =</t>
  </si>
  <si>
    <t>Max Insertion time =</t>
  </si>
  <si>
    <t xml:space="preserve">Min Restart time = </t>
  </si>
  <si>
    <t>Timer Pin</t>
  </si>
  <si>
    <t>Lower Threshold (Restart)</t>
  </si>
  <si>
    <t>End of Cycle</t>
  </si>
  <si>
    <t>Re-enable threshold</t>
  </si>
  <si>
    <t>Insertion time current</t>
  </si>
  <si>
    <t>Sink current, end of insertion</t>
  </si>
  <si>
    <t>Fault sink current</t>
  </si>
  <si>
    <t>Power Good</t>
  </si>
  <si>
    <t>PGVOL</t>
  </si>
  <si>
    <t>mA sinking</t>
  </si>
  <si>
    <t>FB Pin</t>
  </si>
  <si>
    <t>FB Threshold</t>
  </si>
  <si>
    <t>FB Hysteresis Current</t>
  </si>
  <si>
    <t>Max PG Threshold =</t>
  </si>
  <si>
    <t>Nom PG Threshold =</t>
  </si>
  <si>
    <t>Min PG Threshold =</t>
  </si>
  <si>
    <t>Max Restart time =</t>
  </si>
  <si>
    <t>Min PG Hysteresis =</t>
  </si>
  <si>
    <t>Nom PG Hysteresis =</t>
  </si>
  <si>
    <t>Max PG Hysteresis =</t>
  </si>
  <si>
    <t>Recommended Resistance for:  R1</t>
  </si>
  <si>
    <r>
      <t>Estimated MOSFET R</t>
    </r>
    <r>
      <rPr>
        <sz val="10"/>
        <rFont val="Symbol"/>
        <family val="1"/>
        <charset val="2"/>
      </rPr>
      <t>Q</t>
    </r>
    <r>
      <rPr>
        <vertAlign val="subscript"/>
        <sz val="10"/>
        <rFont val="Arial"/>
        <family val="2"/>
      </rPr>
      <t>JA</t>
    </r>
  </si>
  <si>
    <t>Values Used</t>
  </si>
  <si>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</si>
  <si>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</si>
  <si>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Systematic Offset</t>
  </si>
  <si>
    <t>Minimum Recommended Vsns</t>
  </si>
  <si>
    <t>&lt;= I am assuming this would have +/- 50% error at best</t>
  </si>
  <si>
    <t>A_coeff</t>
  </si>
  <si>
    <t>Vsns = Rpwr / (A*Vds) + Vos,syst</t>
  </si>
  <si>
    <t>Plim (Vds) = 1/Rs * [ Rpwr/A + Vds * Vos, syst]</t>
  </si>
  <si>
    <t xml:space="preserve">Example: </t>
  </si>
  <si>
    <t>Rpwr</t>
  </si>
  <si>
    <t>Plim</t>
  </si>
  <si>
    <t>Rsns (m-ohm)</t>
  </si>
  <si>
    <t>Vsns (mV)</t>
  </si>
  <si>
    <t>Rpwr =  A * [PLIM(Vds) * Rs - Vds*Vos,syst]</t>
  </si>
  <si>
    <t xml:space="preserve">Key Equations: </t>
  </si>
  <si>
    <t>How Plim varries vs Vds:</t>
  </si>
  <si>
    <t>Plim (Vds) = Plim (Vin,max) + (Vds - Vin,max)*Vos,syst/Rs</t>
  </si>
  <si>
    <t>Ex: Plim @ 13V = 100W, Rs = 0.5; Plim @ (Vds = 5V) = 100W - 7V * 1mV/0.5mili-ohm = 100W - 14W = 86W</t>
  </si>
  <si>
    <t>Target PLIM</t>
  </si>
  <si>
    <t>k-ohm</t>
  </si>
  <si>
    <t>Rpwr actual</t>
  </si>
  <si>
    <t>Final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</si>
  <si>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</si>
  <si>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</si>
  <si>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</si>
  <si>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</si>
  <si>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</si>
  <si>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</si>
  <si>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</si>
  <si>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</si>
  <si>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</si>
  <si>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</si>
  <si>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</si>
  <si>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</si>
  <si>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</si>
  <si>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</si>
  <si>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</si>
  <si>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t>
  </si>
  <si>
    <t>Start-slop</t>
  </si>
  <si>
    <t>Target Fault Timer</t>
  </si>
  <si>
    <t>Target Timer capacitance</t>
  </si>
  <si>
    <t>Selected Timer capacitance</t>
  </si>
  <si>
    <t>Final Fault Timer</t>
  </si>
  <si>
    <t>Note: I added an adjustment for the systematic offset</t>
  </si>
  <si>
    <t>Vos syst</t>
  </si>
  <si>
    <t>Rs (ohm)</t>
  </si>
  <si>
    <t>Vin, max</t>
  </si>
  <si>
    <t>Plim tolerance</t>
  </si>
  <si>
    <t>Temp Derated SOA</t>
  </si>
  <si>
    <t>SOA / PLIM</t>
  </si>
  <si>
    <t>I_FET_SS</t>
  </si>
  <si>
    <t>SS</t>
  </si>
  <si>
    <t>FET Power dissapation at full load (per FET)</t>
  </si>
  <si>
    <t>With PLIM</t>
  </si>
  <si>
    <t>dv/dt rate</t>
  </si>
  <si>
    <t>V/ms</t>
  </si>
  <si>
    <t>I_Cout</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</si>
  <si>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</si>
  <si>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</si>
  <si>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</si>
  <si>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</si>
  <si>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</si>
  <si>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</si>
  <si>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</si>
  <si>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</si>
  <si>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</si>
  <si>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</si>
  <si>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</si>
  <si>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</si>
  <si>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</si>
  <si>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</si>
  <si>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</si>
  <si>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</si>
  <si>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</si>
  <si>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</si>
  <si>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</si>
  <si>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</si>
  <si>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</si>
  <si>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</si>
  <si>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</si>
  <si>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</si>
  <si>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</si>
  <si>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</si>
  <si>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</si>
  <si>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</si>
  <si>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</si>
  <si>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t>Available derated SOA for Tfault</t>
  </si>
  <si>
    <t>Actual Fault Time (Tfault)</t>
  </si>
  <si>
    <t>SOA Check - Based on Timer</t>
  </si>
  <si>
    <t>timer_constant</t>
  </si>
  <si>
    <t>Enter Values in Green Shaded Cells</t>
  </si>
  <si>
    <t>1s/DC</t>
  </si>
  <si>
    <t>Temp for derating</t>
  </si>
  <si>
    <t>board hot?</t>
  </si>
  <si>
    <t>FET_Energy</t>
  </si>
  <si>
    <t>Tiime (ms)</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</si>
  <si>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</si>
  <si>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</si>
  <si>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</si>
  <si>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r>
      <t>100ms  Current at @ V</t>
    </r>
    <r>
      <rPr>
        <vertAlign val="subscript"/>
        <sz val="10"/>
        <rFont val="Arial"/>
        <family val="2"/>
      </rPr>
      <t>IN(MAX)</t>
    </r>
    <r>
      <rPr>
        <sz val="10"/>
        <rFont val="Arial"/>
        <family val="2"/>
      </rPr>
      <t xml:space="preserve"> (use DC if 100ms not available)</t>
    </r>
  </si>
  <si>
    <r>
      <t>1s or DC SOA Current at @ V</t>
    </r>
    <r>
      <rPr>
        <vertAlign val="subscript"/>
        <sz val="10"/>
        <rFont val="Arial"/>
        <family val="2"/>
      </rPr>
      <t>IN(MAX)</t>
    </r>
    <r>
      <rPr>
        <sz val="10"/>
        <rFont val="Arial"/>
        <family val="2"/>
      </rPr>
      <t xml:space="preserve"> (use DC if 1s not available)</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</si>
  <si>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</si>
  <si>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</si>
  <si>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</si>
  <si>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</si>
  <si>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</si>
  <si>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</si>
  <si>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</si>
  <si>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</si>
  <si>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</si>
  <si>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</si>
  <si>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</si>
  <si>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</si>
  <si>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</si>
  <si>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</si>
  <si>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</si>
  <si>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</si>
  <si>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</si>
  <si>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</si>
  <si>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</si>
  <si>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</si>
  <si>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</si>
  <si>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</si>
  <si>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</si>
  <si>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</si>
  <si>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</si>
  <si>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</si>
  <si>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</si>
  <si>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</si>
  <si>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</si>
  <si>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</si>
  <si>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</si>
  <si>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</si>
  <si>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</si>
  <si>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</si>
  <si>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</si>
  <si>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</si>
  <si>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</si>
  <si>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</si>
  <si>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</si>
  <si>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</si>
  <si>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</si>
  <si>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</si>
  <si>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</si>
  <si>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</si>
  <si>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 xml:space="preserve">Yellow and Red cells highlight pottential issues with the design. Red highlights items that are higher risk. </t>
  </si>
  <si>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</si>
  <si>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</si>
  <si>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</si>
  <si>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</si>
  <si>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1. Enter operating conditions.</t>
  </si>
  <si>
    <t>2. Select current limit parameters.</t>
  </si>
  <si>
    <t xml:space="preserve">    If not, try changing start-up conditions (soft start values, timer values), add more FETs in parallel, or switch to FET with better SOA.</t>
  </si>
  <si>
    <t>5. Enter desired UVLO and OVLO values to get recommended resistor values.</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</si>
  <si>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</si>
  <si>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</si>
  <si>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</si>
  <si>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</si>
  <si>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</si>
  <si>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Note: TI recommends choosing a FET with SOA current specified for 100ms and/or 1s or DC. If choosing a FET without these parameters, this calculator will estimate the values via extrapolation, which leaves an inherent associated risk.</t>
  </si>
  <si>
    <t>Lower time (adjusted)</t>
  </si>
  <si>
    <t>Higher time</t>
  </si>
  <si>
    <t>Higher time (adjusted)</t>
  </si>
  <si>
    <t>Upper bound Slew Rate (4ms start-up) (V/ms)</t>
  </si>
  <si>
    <t>Min Slew Rate (400 ms start - up) (V/ms)</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</si>
  <si>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</si>
  <si>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</si>
  <si>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</si>
  <si>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&lt;-- Cannot plot zero on a log graph. If slope ~=0, then use 1e-12 as value</t>
  </si>
  <si>
    <t>MOSFET's SOA</t>
  </si>
  <si>
    <r>
      <t>C</t>
    </r>
    <r>
      <rPr>
        <vertAlign val="subscript"/>
        <sz val="10"/>
        <rFont val="Arial"/>
        <family val="2"/>
      </rPr>
      <t>dv/dt</t>
    </r>
    <r>
      <rPr>
        <sz val="10"/>
        <rFont val="Arial"/>
        <family val="2"/>
      </rPr>
      <t xml:space="preserve"> =</t>
    </r>
  </si>
  <si>
    <t>Q1 =</t>
  </si>
  <si>
    <t>Q2 =</t>
  </si>
  <si>
    <t>Z1 =</t>
  </si>
  <si>
    <r>
      <rPr>
        <b/>
        <u/>
        <sz val="9"/>
        <color rgb="FFFF0000"/>
        <rFont val="Arial"/>
        <family val="2"/>
      </rPr>
      <t>Note:</t>
    </r>
    <r>
      <rPr>
        <b/>
        <sz val="9"/>
        <color rgb="FFFF0000"/>
        <rFont val="Arial"/>
        <family val="2"/>
      </rPr>
      <t xml:space="preserve"> Hover here to see the 3 values affecting this curve, consult a thermal expert if you are unsure! </t>
    </r>
  </si>
  <si>
    <t>Inrush Current</t>
  </si>
  <si>
    <t>mA</t>
  </si>
  <si>
    <r>
      <t>SCP Threshold R</t>
    </r>
    <r>
      <rPr>
        <sz val="7"/>
        <rFont val="Arial"/>
        <family val="2"/>
      </rPr>
      <t>ISCP</t>
    </r>
    <r>
      <rPr>
        <sz val="10"/>
        <rFont val="Arial"/>
        <family val="2"/>
      </rPr>
      <t>=0</t>
    </r>
  </si>
  <si>
    <r>
      <t>SCP Threshold for given R</t>
    </r>
    <r>
      <rPr>
        <sz val="7"/>
        <rFont val="Arial"/>
        <family val="2"/>
      </rPr>
      <t>ISCP</t>
    </r>
  </si>
  <si>
    <r>
      <t>R</t>
    </r>
    <r>
      <rPr>
        <sz val="6"/>
        <rFont val="Arial"/>
        <family val="2"/>
      </rPr>
      <t>ILIM</t>
    </r>
    <r>
      <rPr>
        <sz val="10"/>
        <rFont val="Arial"/>
        <family val="2"/>
      </rPr>
      <t>=</t>
    </r>
  </si>
  <si>
    <r>
      <t>R</t>
    </r>
    <r>
      <rPr>
        <sz val="6"/>
        <rFont val="Arial"/>
        <family val="2"/>
      </rPr>
      <t>IMON</t>
    </r>
    <r>
      <rPr>
        <sz val="10"/>
        <rFont val="Arial"/>
        <family val="2"/>
      </rPr>
      <t>=</t>
    </r>
  </si>
  <si>
    <r>
      <t>C</t>
    </r>
    <r>
      <rPr>
        <sz val="6"/>
        <rFont val="Arial"/>
        <family val="2"/>
      </rPr>
      <t>TMR</t>
    </r>
    <r>
      <rPr>
        <sz val="10"/>
        <rFont val="Arial"/>
        <family val="2"/>
      </rPr>
      <t>=</t>
    </r>
  </si>
  <si>
    <t>DELAY TIMER</t>
  </si>
  <si>
    <t>TMR source current</t>
  </si>
  <si>
    <t xml:space="preserve">TMR sink current </t>
  </si>
  <si>
    <t>Voltage at TMR pin for IWRN shut off</t>
  </si>
  <si>
    <t>Auto Retry Time</t>
  </si>
  <si>
    <r>
      <t>T</t>
    </r>
    <r>
      <rPr>
        <sz val="6"/>
        <rFont val="Arial"/>
        <family val="2"/>
      </rPr>
      <t>retry</t>
    </r>
    <r>
      <rPr>
        <sz val="10"/>
        <rFont val="Arial"/>
        <family val="2"/>
      </rPr>
      <t>=</t>
    </r>
  </si>
  <si>
    <t>Inrush Duration</t>
  </si>
  <si>
    <t>Desired UVLO Threshold</t>
  </si>
  <si>
    <t>Desired OVLO Threshold</t>
  </si>
  <si>
    <t>OV UV</t>
  </si>
  <si>
    <t>UVLOF</t>
  </si>
  <si>
    <t>OVR</t>
  </si>
  <si>
    <t>UVLOR</t>
  </si>
  <si>
    <r>
      <t>I</t>
    </r>
    <r>
      <rPr>
        <sz val="6"/>
        <rFont val="Arial"/>
        <family val="2"/>
      </rPr>
      <t>UVLO</t>
    </r>
  </si>
  <si>
    <t>nA</t>
  </si>
  <si>
    <t>OVF</t>
  </si>
  <si>
    <t>IOV</t>
  </si>
  <si>
    <t>Resulting UVLO=</t>
  </si>
  <si>
    <t>Resulting OVLO=</t>
  </si>
  <si>
    <r>
      <t>R</t>
    </r>
    <r>
      <rPr>
        <vertAlign val="subscript"/>
        <sz val="11"/>
        <color theme="1"/>
        <rFont val="Arial"/>
        <family val="2"/>
      </rPr>
      <t>SENSE</t>
    </r>
    <r>
      <rPr>
        <sz val="11"/>
        <color theme="1"/>
        <rFont val="Arial"/>
        <family val="2"/>
      </rPr>
      <t xml:space="preserve"> =</t>
    </r>
  </si>
  <si>
    <r>
      <t>R</t>
    </r>
    <r>
      <rPr>
        <sz val="7"/>
        <color theme="1"/>
        <rFont val="Arial"/>
        <family val="2"/>
      </rPr>
      <t>SET</t>
    </r>
    <r>
      <rPr>
        <sz val="11"/>
        <color theme="1"/>
        <rFont val="Arial"/>
        <family val="2"/>
      </rPr>
      <t>=</t>
    </r>
  </si>
  <si>
    <r>
      <t>R</t>
    </r>
    <r>
      <rPr>
        <sz val="7"/>
        <color theme="1"/>
        <rFont val="Arial"/>
        <family val="2"/>
      </rPr>
      <t>SCP</t>
    </r>
    <r>
      <rPr>
        <sz val="11"/>
        <color theme="1"/>
        <rFont val="Arial"/>
        <family val="2"/>
      </rPr>
      <t>=</t>
    </r>
  </si>
  <si>
    <r>
      <t>R</t>
    </r>
    <r>
      <rPr>
        <sz val="7"/>
        <rFont val="Arial"/>
        <family val="2"/>
      </rPr>
      <t>ILIM</t>
    </r>
    <r>
      <rPr>
        <sz val="10"/>
        <rFont val="Arial"/>
        <family val="2"/>
      </rPr>
      <t>=</t>
    </r>
  </si>
  <si>
    <r>
      <t>R</t>
    </r>
    <r>
      <rPr>
        <sz val="7"/>
        <rFont val="Arial"/>
        <family val="2"/>
      </rPr>
      <t>IMON</t>
    </r>
    <r>
      <rPr>
        <sz val="10"/>
        <rFont val="Arial"/>
        <family val="2"/>
      </rPr>
      <t>=</t>
    </r>
  </si>
  <si>
    <t>© 2023</t>
  </si>
  <si>
    <r>
      <t>Enter R</t>
    </r>
    <r>
      <rPr>
        <sz val="7"/>
        <rFont val="Arial"/>
        <family val="2"/>
      </rPr>
      <t>ILIM</t>
    </r>
  </si>
  <si>
    <t>Actual Current limit=</t>
  </si>
  <si>
    <r>
      <t>Enter R</t>
    </r>
    <r>
      <rPr>
        <sz val="6"/>
        <rFont val="Arial"/>
        <family val="2"/>
      </rPr>
      <t>IMON</t>
    </r>
  </si>
  <si>
    <r>
      <t>Actual V</t>
    </r>
    <r>
      <rPr>
        <sz val="6"/>
        <rFont val="Arial"/>
        <family val="2"/>
      </rPr>
      <t>IMON</t>
    </r>
    <r>
      <rPr>
        <sz val="10"/>
        <rFont val="Arial"/>
        <family val="2"/>
      </rPr>
      <t>=</t>
    </r>
  </si>
  <si>
    <t>Standard EIA Decade Resistor Values</t>
  </si>
  <si>
    <t>0.5%, 0.25%, 0.1%</t>
  </si>
  <si>
    <t>E6</t>
  </si>
  <si>
    <t>E12</t>
  </si>
  <si>
    <t>E24</t>
  </si>
  <si>
    <t>E48</t>
  </si>
  <si>
    <t>E96</t>
  </si>
  <si>
    <t>E192</t>
  </si>
  <si>
    <t>End Values Required for Processing</t>
  </si>
  <si>
    <t>Standard Capacitor Values</t>
  </si>
  <si>
    <t>pF</t>
  </si>
  <si>
    <t>mF</t>
  </si>
  <si>
    <r>
      <t>Selected C</t>
    </r>
    <r>
      <rPr>
        <sz val="7"/>
        <rFont val="Arial"/>
        <family val="2"/>
      </rPr>
      <t>TMR</t>
    </r>
    <r>
      <rPr>
        <sz val="10"/>
        <rFont val="Arial"/>
        <family val="2"/>
      </rPr>
      <t>=</t>
    </r>
  </si>
  <si>
    <t>OC time=</t>
  </si>
  <si>
    <r>
      <t>Max R</t>
    </r>
    <r>
      <rPr>
        <sz val="6"/>
        <rFont val="Arial"/>
        <family val="2"/>
      </rPr>
      <t>IMON</t>
    </r>
    <r>
      <rPr>
        <sz val="10"/>
        <rFont val="Arial"/>
        <family val="2"/>
      </rPr>
      <t>=</t>
    </r>
  </si>
  <si>
    <r>
      <t>Max R</t>
    </r>
    <r>
      <rPr>
        <sz val="6"/>
        <rFont val="Arial"/>
        <family val="2"/>
      </rPr>
      <t>IMON</t>
    </r>
  </si>
  <si>
    <r>
      <t>Suggested R</t>
    </r>
    <r>
      <rPr>
        <sz val="6"/>
        <rFont val="Arial"/>
        <family val="2"/>
      </rPr>
      <t>IMON</t>
    </r>
  </si>
  <si>
    <r>
      <t>Suggested C</t>
    </r>
    <r>
      <rPr>
        <sz val="6"/>
        <rFont val="Arial"/>
        <family val="2"/>
      </rPr>
      <t>TMR</t>
    </r>
  </si>
  <si>
    <r>
      <t>Enter R</t>
    </r>
    <r>
      <rPr>
        <sz val="7"/>
        <rFont val="Arial"/>
        <family val="2"/>
      </rPr>
      <t>scp</t>
    </r>
  </si>
  <si>
    <r>
      <t>Suggested R</t>
    </r>
    <r>
      <rPr>
        <sz val="7"/>
        <rFont val="Arial"/>
        <family val="2"/>
      </rPr>
      <t>scp</t>
    </r>
  </si>
  <si>
    <r>
      <t>R</t>
    </r>
    <r>
      <rPr>
        <sz val="7"/>
        <rFont val="Arial"/>
        <family val="2"/>
      </rPr>
      <t>SCP</t>
    </r>
  </si>
  <si>
    <r>
      <t>I</t>
    </r>
    <r>
      <rPr>
        <sz val="7"/>
        <rFont val="Arial"/>
        <family val="2"/>
      </rPr>
      <t>SCP</t>
    </r>
    <r>
      <rPr>
        <sz val="10"/>
        <rFont val="Arial"/>
        <family val="2"/>
      </rPr>
      <t>=</t>
    </r>
  </si>
  <si>
    <t>Resulting Short circuit current limit</t>
  </si>
  <si>
    <r>
      <t>Minimum Input DC Operating Voltage: V</t>
    </r>
    <r>
      <rPr>
        <vertAlign val="subscript"/>
        <sz val="10"/>
        <rFont val="Arial"/>
        <family val="2"/>
      </rPr>
      <t>IN(MIN)</t>
    </r>
  </si>
  <si>
    <r>
      <t>Nominal Input DC Operating Voltage: V</t>
    </r>
    <r>
      <rPr>
        <vertAlign val="subscript"/>
        <sz val="10"/>
        <rFont val="Arial"/>
        <family val="2"/>
      </rPr>
      <t>IN(NOM)</t>
    </r>
  </si>
  <si>
    <r>
      <t>Maximum Input DC Operating Voltage: V</t>
    </r>
    <r>
      <rPr>
        <vertAlign val="subscript"/>
        <sz val="10"/>
        <rFont val="Arial"/>
        <family val="2"/>
      </rPr>
      <t>IN(MAX)</t>
    </r>
  </si>
  <si>
    <r>
      <t>Enter value of R</t>
    </r>
    <r>
      <rPr>
        <sz val="6"/>
        <rFont val="Arial"/>
        <family val="2"/>
      </rPr>
      <t>SET</t>
    </r>
  </si>
  <si>
    <r>
      <t>Suggested value of R</t>
    </r>
    <r>
      <rPr>
        <sz val="6"/>
        <rFont val="Arial"/>
        <family val="2"/>
      </rPr>
      <t>ILIM</t>
    </r>
  </si>
  <si>
    <t>Actual Overcurrent Fault Time</t>
  </si>
  <si>
    <t>Typical Current Limit Required</t>
  </si>
  <si>
    <r>
      <t>Suggested C</t>
    </r>
    <r>
      <rPr>
        <sz val="7"/>
        <rFont val="Arial"/>
        <family val="2"/>
      </rPr>
      <t>TMR</t>
    </r>
    <r>
      <rPr>
        <sz val="10"/>
        <rFont val="Arial"/>
        <family val="2"/>
      </rPr>
      <t>=</t>
    </r>
  </si>
  <si>
    <r>
      <t>Selected C</t>
    </r>
    <r>
      <rPr>
        <sz val="6"/>
        <rFont val="Arial"/>
        <family val="2"/>
      </rPr>
      <t>TMR</t>
    </r>
  </si>
  <si>
    <t>dv/dt rate on Vout for above capacitor</t>
  </si>
  <si>
    <t>If any of the above cells is red, see the  Instructions Worksheet</t>
  </si>
  <si>
    <t>Calculated/Suggested Values are shown in White Cells</t>
  </si>
  <si>
    <r>
      <t>Maximum Output Load Capacitance: C</t>
    </r>
    <r>
      <rPr>
        <vertAlign val="subscript"/>
        <sz val="10"/>
        <rFont val="Arial"/>
        <family val="2"/>
      </rPr>
      <t>OUT</t>
    </r>
  </si>
  <si>
    <r>
      <t>Voltage at IMON pin at max load for above R</t>
    </r>
    <r>
      <rPr>
        <sz val="7"/>
        <rFont val="Arial"/>
        <family val="2"/>
      </rPr>
      <t>IMON</t>
    </r>
    <r>
      <rPr>
        <sz val="10"/>
        <rFont val="Arial"/>
        <family val="2"/>
      </rPr>
      <t>, V</t>
    </r>
    <r>
      <rPr>
        <sz val="6"/>
        <rFont val="Arial"/>
        <family val="2"/>
      </rPr>
      <t>IMON</t>
    </r>
  </si>
  <si>
    <r>
      <t>C</t>
    </r>
    <r>
      <rPr>
        <sz val="7"/>
        <rFont val="Arial"/>
        <family val="2"/>
      </rPr>
      <t>OUT</t>
    </r>
    <r>
      <rPr>
        <sz val="10"/>
        <rFont val="Arial"/>
        <family val="2"/>
      </rPr>
      <t>=</t>
    </r>
  </si>
  <si>
    <t>3. Component tolerances not accounted for in Min/Max Calculations.</t>
  </si>
  <si>
    <r>
      <t>Calculated SS capacitance C</t>
    </r>
    <r>
      <rPr>
        <sz val="8"/>
        <rFont val="Arial"/>
        <family val="2"/>
      </rPr>
      <t>dv/dt</t>
    </r>
  </si>
  <si>
    <r>
      <t>Select SS capacitance C</t>
    </r>
    <r>
      <rPr>
        <sz val="8"/>
        <rFont val="Arial"/>
        <family val="2"/>
      </rPr>
      <t>dv/dt</t>
    </r>
  </si>
  <si>
    <t>Required Maximum allowed Inrush Current</t>
  </si>
  <si>
    <r>
      <t>Voltage required at IMON pin at max load, V</t>
    </r>
    <r>
      <rPr>
        <sz val="6"/>
        <rFont val="Arial"/>
        <family val="2"/>
      </rPr>
      <t>IMON</t>
    </r>
  </si>
  <si>
    <t>Required Short circuit current limit</t>
  </si>
  <si>
    <t>Actual  Inrush Current</t>
  </si>
  <si>
    <t xml:space="preserve">Resulting UVLO Rising Threshold = </t>
  </si>
  <si>
    <t xml:space="preserve">Resulting UVLO Falling Threshold = </t>
  </si>
  <si>
    <t xml:space="preserve">Resulting OVLO Rising Threshold = </t>
  </si>
  <si>
    <t xml:space="preserve">Resulting OVLO Falling Threshold = </t>
  </si>
  <si>
    <t>Steps 1 &amp; 2: Operating Conditions, Current Limit, &amp; Circuit Breaker</t>
  </si>
  <si>
    <r>
      <t>Enter the Value of Sense Resistor R</t>
    </r>
    <r>
      <rPr>
        <sz val="6"/>
        <rFont val="Arial"/>
        <family val="2"/>
      </rPr>
      <t>SNS</t>
    </r>
  </si>
  <si>
    <t>Required Overcurrent Timer Duration</t>
  </si>
  <si>
    <t>Number of MosFETs in parallel driven by HGATE</t>
  </si>
  <si>
    <t xml:space="preserve">Enter Crss of Q2 FET/s Driven by HGATE </t>
  </si>
  <si>
    <t>IFET_Crss</t>
  </si>
  <si>
    <t>SMBJ33CA</t>
  </si>
  <si>
    <t>Device</t>
  </si>
  <si>
    <t>GATE Source Current</t>
  </si>
  <si>
    <t>µA</t>
  </si>
  <si>
    <t>FET driven by GATE</t>
  </si>
  <si>
    <t>Enter GATE Source Current of the controller</t>
  </si>
  <si>
    <t>2. Enter MOSTFET SOA characteristics</t>
  </si>
  <si>
    <t>3. Select start up conditions (load and/or soft start). Check whether FET is operating with reasonable margin, within the SOA curve.</t>
  </si>
  <si>
    <t>4. Done</t>
  </si>
  <si>
    <t>Step 2: MOSFET Selection</t>
  </si>
  <si>
    <t>Step 3: Startup FET SOA Margin calculations</t>
  </si>
  <si>
    <t xml:space="preserve">                      Mosfet SOA Margin Calculator during dvdt/Inrush limit Startup</t>
  </si>
  <si>
    <t>LM74502-Q1</t>
  </si>
  <si>
    <t>LM7480x-Q1</t>
  </si>
  <si>
    <t>LM749x0-Q1</t>
  </si>
  <si>
    <t>LM7472x-Q1</t>
  </si>
  <si>
    <t>Step 3: Startup</t>
  </si>
  <si>
    <t xml:space="preserve">TEXAS INSTRUMENTS TEXT FILE LICENSE
Copyright (c) 2023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</si>
  <si>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Start-up time</t>
  </si>
  <si>
    <t>TPS48xx-Q1, TPS12xx-Q1</t>
  </si>
  <si>
    <r>
      <t>R1 = 100k</t>
    </r>
    <r>
      <rPr>
        <sz val="9"/>
        <rFont val="Calibri"/>
        <family val="2"/>
      </rPr>
      <t>Ω</t>
    </r>
    <r>
      <rPr>
        <sz val="9"/>
        <rFont val="Arial"/>
        <family val="2"/>
      </rPr>
      <t>; R2 = 10Ω</t>
    </r>
  </si>
  <si>
    <t>Pre-charge GATE; Rg = 220Ω</t>
  </si>
  <si>
    <t>Inrush FET SOA Margin Design Calculator- Rev. B</t>
  </si>
  <si>
    <t>`</t>
  </si>
  <si>
    <t>SM1A14NHLD</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</si>
</sst>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0E+0"/>
    <numFmt numFmtId="179" formatCode="0.0000"/>
  </numFmts>
  <fonts count="60" x14ac:knownFonts="1">
    <font>
      <sz val="10"/>
      <name val="Arial"/>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b/>
      <vertAlign val="subscript"/>
      <sz val="10"/>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10"/>
      <name val="Tahoma"/>
      <family val="2"/>
    </font>
    <font>
      <b/>
      <sz val="8"/>
      <color indexed="81"/>
      <name val="Arial"/>
      <family val="2"/>
    </font>
    <font>
      <vertAlign val="superscript"/>
      <sz val="10"/>
      <name val="Arial"/>
      <family val="2"/>
    </font>
    <font>
      <b/>
      <u/>
      <sz val="10"/>
      <name val="Arial"/>
      <family val="2"/>
    </font>
    <font>
      <u/>
      <sz val="10"/>
      <name val="Arial"/>
      <family val="2"/>
    </font>
    <font>
      <sz val="11"/>
      <color rgb="FF000000"/>
      <name val="新細明體"/>
      <family val="2"/>
      <scheme val="minor"/>
    </font>
    <font>
      <sz val="10"/>
      <color rgb="FFFF0000"/>
      <name val="Arial"/>
      <family val="2"/>
    </font>
    <font>
      <b/>
      <u/>
      <sz val="10"/>
      <name val="Symbol"/>
      <family val="1"/>
      <charset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b/>
      <sz val="10"/>
      <color rgb="FFFF0000"/>
      <name val="Arial"/>
      <family val="2"/>
    </font>
    <font>
      <sz val="11"/>
      <color rgb="FF000000"/>
      <name val="Arial"/>
      <family val="2"/>
    </font>
    <font>
      <b/>
      <u/>
      <sz val="9"/>
      <color rgb="FFFF0000"/>
      <name val="Arial"/>
      <family val="2"/>
    </font>
    <font>
      <b/>
      <sz val="9"/>
      <name val="Arial"/>
      <family val="2"/>
    </font>
    <font>
      <sz val="8"/>
      <color indexed="81"/>
      <name val="Tahoma"/>
      <family val="2"/>
    </font>
    <font>
      <sz val="7"/>
      <name val="Arial"/>
      <family val="2"/>
    </font>
    <font>
      <sz val="6"/>
      <name val="Arial"/>
      <family val="2"/>
    </font>
    <font>
      <b/>
      <sz val="11"/>
      <color theme="1"/>
      <name val="新細明體"/>
      <family val="2"/>
      <scheme val="minor"/>
    </font>
    <font>
      <sz val="7"/>
      <color theme="1"/>
      <name val="Arial"/>
      <family val="2"/>
    </font>
    <font>
      <b/>
      <sz val="16"/>
      <color theme="1"/>
      <name val="新細明體"/>
      <family val="2"/>
      <scheme val="minor"/>
    </font>
    <font>
      <u/>
      <sz val="11"/>
      <color theme="10"/>
      <name val="新細明體"/>
      <family val="2"/>
      <scheme val="minor"/>
    </font>
    <font>
      <u/>
      <sz val="20"/>
      <color theme="10"/>
      <name val="新細明體"/>
      <family val="2"/>
      <scheme val="minor"/>
    </font>
    <font>
      <b/>
      <sz val="8"/>
      <color rgb="FF333333"/>
      <name val="Arial"/>
      <family val="2"/>
    </font>
    <font>
      <sz val="9"/>
      <color rgb="FF000000"/>
      <name val="Verdana"/>
      <family val="2"/>
    </font>
    <font>
      <sz val="9"/>
      <name val="Arial"/>
      <family val="2"/>
    </font>
    <font>
      <sz val="9"/>
      <name val="Calibri"/>
      <family val="2"/>
    </font>
    <font>
      <sz val="9"/>
      <name val="細明體"/>
      <family val="3"/>
      <charset val="136"/>
    </font>
  </fonts>
  <fills count="2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theme="4" tint="0.39997558519241921"/>
        <bgColor indexed="64"/>
      </patternFill>
    </fill>
    <fill>
      <patternFill patternType="solid">
        <fgColor theme="9"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8">
    <xf numFmtId="0" fontId="0" fillId="0" borderId="0"/>
    <xf numFmtId="0" fontId="18" fillId="0" borderId="0" applyNumberFormat="0" applyFill="0" applyBorder="0" applyAlignment="0" applyProtection="0">
      <alignment vertical="top"/>
      <protection locked="0"/>
    </xf>
    <xf numFmtId="0" fontId="5" fillId="0" borderId="0"/>
    <xf numFmtId="0" fontId="5" fillId="2" borderId="0">
      <alignment horizontal="center"/>
    </xf>
    <xf numFmtId="0" fontId="5" fillId="5" borderId="1">
      <alignment horizontal="center" vertical="center"/>
      <protection locked="0"/>
    </xf>
    <xf numFmtId="0" fontId="5" fillId="9" borderId="1">
      <alignment horizontal="center" vertical="center"/>
      <protection locked="0"/>
    </xf>
    <xf numFmtId="0" fontId="5" fillId="0" borderId="7"/>
    <xf numFmtId="0" fontId="5" fillId="9" borderId="1">
      <alignment horizontal="center" vertical="center"/>
      <protection locked="0"/>
    </xf>
    <xf numFmtId="0" fontId="5" fillId="9" borderId="1">
      <alignment horizontal="center" vertical="center"/>
      <protection locked="0"/>
    </xf>
    <xf numFmtId="0" fontId="5" fillId="9" borderId="1">
      <alignment horizontal="center" vertical="center"/>
      <protection locked="0"/>
    </xf>
    <xf numFmtId="0" fontId="4" fillId="0" borderId="0"/>
    <xf numFmtId="0" fontId="3" fillId="0" borderId="0"/>
    <xf numFmtId="0" fontId="2" fillId="0" borderId="0"/>
    <xf numFmtId="0" fontId="5" fillId="0" borderId="0"/>
    <xf numFmtId="0" fontId="2" fillId="0" borderId="0"/>
    <xf numFmtId="0" fontId="2" fillId="0" borderId="0"/>
    <xf numFmtId="0" fontId="1" fillId="0" borderId="0"/>
    <xf numFmtId="0" fontId="53" fillId="0" borderId="0" applyNumberFormat="0" applyFill="0" applyBorder="0" applyAlignment="0" applyProtection="0"/>
  </cellStyleXfs>
  <cellXfs count="317">
    <xf numFmtId="0" fontId="0" fillId="0" borderId="0" xfId="0"/>
    <xf numFmtId="0" fontId="0" fillId="0" borderId="0" xfId="0" applyAlignment="1">
      <alignment horizontal="center"/>
    </xf>
    <xf numFmtId="0" fontId="0" fillId="0" borderId="0" xfId="0" applyAlignment="1">
      <alignment horizontal="right"/>
    </xf>
    <xf numFmtId="2" fontId="0" fillId="0" borderId="0" xfId="0" applyNumberFormat="1"/>
    <xf numFmtId="0" fontId="0" fillId="0" borderId="1" xfId="0" applyBorder="1" applyAlignment="1">
      <alignment horizontal="center"/>
    </xf>
    <xf numFmtId="176" fontId="0" fillId="0" borderId="0" xfId="0" applyNumberFormat="1" applyAlignment="1">
      <alignment horizontal="center"/>
    </xf>
    <xf numFmtId="10" fontId="0" fillId="0" borderId="0" xfId="0" applyNumberFormat="1"/>
    <xf numFmtId="0" fontId="0" fillId="0" borderId="2" xfId="0" applyBorder="1" applyAlignment="1">
      <alignment horizontal="center"/>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12" fillId="2" borderId="0" xfId="0" applyFont="1" applyFill="1" applyAlignment="1">
      <alignment horizontal="left"/>
    </xf>
    <xf numFmtId="14" fontId="12" fillId="2" borderId="0" xfId="0" applyNumberFormat="1" applyFont="1" applyFill="1" applyAlignment="1">
      <alignment horizontal="left"/>
    </xf>
    <xf numFmtId="0" fontId="6" fillId="0" borderId="0" xfId="0" applyFont="1"/>
    <xf numFmtId="2" fontId="0" fillId="0" borderId="1" xfId="0" applyNumberForma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2" borderId="0" xfId="0" applyFill="1" applyProtection="1">
      <protection locked="0"/>
    </xf>
    <xf numFmtId="0" fontId="5" fillId="0" borderId="0" xfId="0" applyFont="1"/>
    <xf numFmtId="0" fontId="5" fillId="0" borderId="0" xfId="0" applyFont="1" applyAlignment="1">
      <alignment horizontal="right"/>
    </xf>
    <xf numFmtId="0" fontId="0" fillId="3" borderId="0" xfId="0" applyFill="1"/>
    <xf numFmtId="0" fontId="5" fillId="2" borderId="0" xfId="0" applyFont="1" applyFill="1" applyAlignment="1">
      <alignment horizontal="right"/>
    </xf>
    <xf numFmtId="0" fontId="19" fillId="2" borderId="0" xfId="1" applyFont="1" applyFill="1" applyAlignment="1" applyProtection="1"/>
    <xf numFmtId="0" fontId="20" fillId="3" borderId="0" xfId="0" applyFont="1" applyFill="1"/>
    <xf numFmtId="0" fontId="23" fillId="3" borderId="0" xfId="0" applyFont="1" applyFill="1"/>
    <xf numFmtId="0" fontId="22" fillId="3" borderId="18" xfId="0" applyFont="1" applyFill="1" applyBorder="1" applyAlignment="1">
      <alignment horizontal="center" vertical="center"/>
    </xf>
    <xf numFmtId="0" fontId="24" fillId="2" borderId="0" xfId="0" applyFont="1" applyFill="1"/>
    <xf numFmtId="0" fontId="27" fillId="2" borderId="0" xfId="0" applyFont="1" applyFill="1"/>
    <xf numFmtId="0" fontId="0" fillId="2" borderId="0" xfId="0" applyFill="1" applyAlignment="1">
      <alignment horizontal="right" vertical="center"/>
    </xf>
    <xf numFmtId="0" fontId="5" fillId="2" borderId="0" xfId="0" applyFont="1" applyFill="1" applyAlignment="1">
      <alignment horizontal="right" vertical="center"/>
    </xf>
    <xf numFmtId="0" fontId="0" fillId="0" borderId="1" xfId="0" applyBorder="1" applyAlignment="1" applyProtection="1">
      <alignment horizontal="center" vertical="center"/>
      <protection locked="0"/>
    </xf>
    <xf numFmtId="0" fontId="5" fillId="0" borderId="0" xfId="2" applyAlignment="1">
      <alignment horizontal="center"/>
    </xf>
    <xf numFmtId="0" fontId="5" fillId="0" borderId="0" xfId="2"/>
    <xf numFmtId="176" fontId="5" fillId="0" borderId="0" xfId="2" applyNumberFormat="1" applyAlignment="1">
      <alignment horizontal="center"/>
    </xf>
    <xf numFmtId="178" fontId="5" fillId="0" borderId="0" xfId="2" applyNumberFormat="1" applyAlignment="1">
      <alignment horizontal="center"/>
    </xf>
    <xf numFmtId="2" fontId="5" fillId="0" borderId="19" xfId="2" applyNumberFormat="1" applyBorder="1" applyAlignment="1">
      <alignment horizontal="center"/>
    </xf>
    <xf numFmtId="0" fontId="5" fillId="0" borderId="1" xfId="2" applyBorder="1"/>
    <xf numFmtId="0" fontId="0" fillId="0" borderId="0" xfId="0" applyAlignment="1" applyProtection="1">
      <alignment horizontal="center" vertical="center"/>
      <protection locked="0"/>
    </xf>
    <xf numFmtId="2" fontId="5" fillId="0" borderId="0" xfId="2" applyNumberFormat="1" applyAlignment="1">
      <alignment horizontal="center"/>
    </xf>
    <xf numFmtId="0" fontId="5" fillId="0" borderId="0" xfId="0" applyFont="1" applyAlignment="1">
      <alignment horizontal="center"/>
    </xf>
    <xf numFmtId="0" fontId="0" fillId="2" borderId="18" xfId="0" applyFill="1" applyBorder="1"/>
    <xf numFmtId="0" fontId="5" fillId="2" borderId="18" xfId="0" applyFont="1" applyFill="1" applyBorder="1" applyAlignment="1">
      <alignment horizontal="right" vertical="center"/>
    </xf>
    <xf numFmtId="0" fontId="24" fillId="2" borderId="19" xfId="0" applyFont="1" applyFill="1" applyBorder="1"/>
    <xf numFmtId="0" fontId="0" fillId="2" borderId="19" xfId="0" applyFill="1" applyBorder="1"/>
    <xf numFmtId="0" fontId="0" fillId="2" borderId="20" xfId="0" applyFill="1" applyBorder="1"/>
    <xf numFmtId="0" fontId="5" fillId="2" borderId="20" xfId="0" applyFont="1" applyFill="1" applyBorder="1" applyAlignment="1">
      <alignment horizontal="right" vertical="center"/>
    </xf>
    <xf numFmtId="0" fontId="0" fillId="0" borderId="19" xfId="0" applyBorder="1"/>
    <xf numFmtId="0" fontId="0" fillId="0" borderId="0" xfId="0" applyAlignment="1">
      <alignment horizontal="left"/>
    </xf>
    <xf numFmtId="0" fontId="0" fillId="2" borderId="23" xfId="0" applyFill="1" applyBorder="1"/>
    <xf numFmtId="0" fontId="6" fillId="2" borderId="0" xfId="0" applyFont="1" applyFill="1" applyAlignment="1">
      <alignment horizontal="right"/>
    </xf>
    <xf numFmtId="0" fontId="6" fillId="2" borderId="0" xfId="0" applyFont="1" applyFill="1" applyAlignment="1">
      <alignment horizontal="center"/>
    </xf>
    <xf numFmtId="0" fontId="11" fillId="2" borderId="0" xfId="0" applyFont="1" applyFill="1"/>
    <xf numFmtId="0" fontId="0" fillId="2" borderId="24" xfId="0" applyFill="1" applyBorder="1"/>
    <xf numFmtId="0" fontId="0" fillId="2" borderId="4" xfId="0" applyFill="1" applyBorder="1" applyAlignment="1">
      <alignment horizontal="right" vertical="center"/>
    </xf>
    <xf numFmtId="0" fontId="0" fillId="3" borderId="0" xfId="0" applyFill="1" applyAlignment="1">
      <alignment horizontal="center"/>
    </xf>
    <xf numFmtId="0" fontId="0" fillId="5" borderId="0" xfId="0" applyFill="1"/>
    <xf numFmtId="0" fontId="5" fillId="5" borderId="0" xfId="0" applyFont="1" applyFill="1" applyAlignment="1">
      <alignment horizontal="right" vertical="center"/>
    </xf>
    <xf numFmtId="0" fontId="20" fillId="0" borderId="0" xfId="0" applyFont="1"/>
    <xf numFmtId="0" fontId="0" fillId="2" borderId="22" xfId="0" applyFill="1" applyBorder="1"/>
    <xf numFmtId="0" fontId="5" fillId="2" borderId="0" xfId="0" applyFont="1" applyFill="1"/>
    <xf numFmtId="0" fontId="6" fillId="0" borderId="0" xfId="0" applyFont="1" applyAlignment="1" applyProtection="1">
      <alignment horizontal="left"/>
      <protection locked="0"/>
    </xf>
    <xf numFmtId="0" fontId="6" fillId="0" borderId="9"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8" borderId="1" xfId="0" applyFill="1" applyBorder="1" applyAlignment="1" applyProtection="1">
      <alignment horizontal="center" vertical="center"/>
      <protection locked="0"/>
    </xf>
    <xf numFmtId="0" fontId="27" fillId="7" borderId="17" xfId="0" applyFont="1" applyFill="1" applyBorder="1"/>
    <xf numFmtId="0" fontId="5" fillId="0" borderId="1" xfId="0" applyFont="1" applyBorder="1" applyAlignment="1">
      <alignment horizontal="center"/>
    </xf>
    <xf numFmtId="0" fontId="5" fillId="0" borderId="0" xfId="0" applyFont="1" applyAlignment="1">
      <alignment horizontal="left"/>
    </xf>
    <xf numFmtId="11" fontId="0" fillId="0" borderId="0" xfId="0" applyNumberFormat="1" applyAlignment="1">
      <alignment horizontal="center"/>
    </xf>
    <xf numFmtId="179" fontId="0" fillId="0" borderId="0" xfId="0" applyNumberFormat="1"/>
    <xf numFmtId="1" fontId="0" fillId="0" borderId="0" xfId="0" applyNumberFormat="1"/>
    <xf numFmtId="2" fontId="5" fillId="0" borderId="0" xfId="2" applyNumberFormat="1"/>
    <xf numFmtId="0" fontId="31" fillId="0" borderId="0" xfId="2" applyFont="1"/>
    <xf numFmtId="0" fontId="31" fillId="0" borderId="0" xfId="2" applyFont="1" applyAlignment="1">
      <alignment horizontal="center"/>
    </xf>
    <xf numFmtId="10" fontId="5" fillId="0" borderId="0" xfId="2" applyNumberFormat="1"/>
    <xf numFmtId="0" fontId="5" fillId="0" borderId="3" xfId="0" applyFont="1" applyBorder="1" applyAlignment="1">
      <alignment horizontal="center"/>
    </xf>
    <xf numFmtId="0" fontId="32" fillId="0" borderId="0" xfId="2" applyFont="1"/>
    <xf numFmtId="0" fontId="31" fillId="0" borderId="0" xfId="0" applyFont="1" applyAlignment="1">
      <alignment horizontal="center"/>
    </xf>
    <xf numFmtId="0" fontId="6" fillId="0" borderId="0" xfId="0" applyFont="1" applyAlignment="1">
      <alignment horizontal="center"/>
    </xf>
    <xf numFmtId="0" fontId="5" fillId="3" borderId="0" xfId="0" applyFont="1" applyFill="1" applyAlignment="1">
      <alignment horizontal="right"/>
    </xf>
    <xf numFmtId="0" fontId="5" fillId="2" borderId="27" xfId="0" applyFont="1" applyFill="1" applyBorder="1" applyAlignment="1">
      <alignment horizontal="center" vertical="center"/>
    </xf>
    <xf numFmtId="0" fontId="5" fillId="2" borderId="7" xfId="0" applyFont="1" applyFill="1" applyBorder="1" applyAlignment="1">
      <alignment horizontal="center" vertical="center"/>
    </xf>
    <xf numFmtId="0" fontId="0" fillId="2" borderId="7" xfId="0" applyFill="1" applyBorder="1" applyAlignment="1">
      <alignment horizontal="center" vertical="center"/>
    </xf>
    <xf numFmtId="0" fontId="5" fillId="2" borderId="25" xfId="0" applyFont="1" applyFill="1" applyBorder="1" applyAlignment="1">
      <alignment horizontal="center" vertical="center"/>
    </xf>
    <xf numFmtId="0" fontId="0" fillId="2" borderId="28" xfId="0" applyFill="1" applyBorder="1" applyAlignment="1">
      <alignment horizontal="center" vertical="center"/>
    </xf>
    <xf numFmtId="0" fontId="5"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0" fillId="2" borderId="4" xfId="0" applyFill="1" applyBorder="1" applyAlignment="1">
      <alignment horizontal="center"/>
    </xf>
    <xf numFmtId="2" fontId="5" fillId="0" borderId="0" xfId="0" applyNumberFormat="1" applyFont="1"/>
    <xf numFmtId="0" fontId="0" fillId="9" borderId="10"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7" fontId="0" fillId="6" borderId="1" xfId="0" applyNumberFormat="1" applyFill="1" applyBorder="1" applyAlignment="1" applyProtection="1">
      <alignment horizontal="center" vertical="center"/>
      <protection locked="0"/>
    </xf>
    <xf numFmtId="0" fontId="0" fillId="6" borderId="1" xfId="0" applyFill="1" applyBorder="1" applyAlignment="1">
      <alignment horizontal="center"/>
    </xf>
    <xf numFmtId="177" fontId="5" fillId="0" borderId="0" xfId="2" applyNumberFormat="1" applyAlignment="1">
      <alignment horizontal="center"/>
    </xf>
    <xf numFmtId="177" fontId="5" fillId="0" borderId="0" xfId="2" applyNumberFormat="1"/>
    <xf numFmtId="0" fontId="34" fillId="4" borderId="1" xfId="0" applyFont="1" applyFill="1" applyBorder="1" applyAlignment="1">
      <alignment horizontal="center"/>
    </xf>
    <xf numFmtId="0" fontId="0" fillId="5" borderId="1" xfId="0" applyFill="1" applyBorder="1" applyAlignment="1">
      <alignment horizontal="center"/>
    </xf>
    <xf numFmtId="0" fontId="5" fillId="11" borderId="29" xfId="2" applyFill="1" applyBorder="1"/>
    <xf numFmtId="0" fontId="5" fillId="11" borderId="30" xfId="2" applyFill="1" applyBorder="1"/>
    <xf numFmtId="0" fontId="5" fillId="11" borderId="31" xfId="2" applyFill="1" applyBorder="1"/>
    <xf numFmtId="0" fontId="5" fillId="11" borderId="32" xfId="2" applyFill="1" applyBorder="1"/>
    <xf numFmtId="0" fontId="5" fillId="11" borderId="0" xfId="2" applyFill="1"/>
    <xf numFmtId="0" fontId="5" fillId="11" borderId="33" xfId="2" applyFill="1" applyBorder="1"/>
    <xf numFmtId="0" fontId="36" fillId="11" borderId="0" xfId="2" applyFont="1" applyFill="1"/>
    <xf numFmtId="0" fontId="37" fillId="11" borderId="0" xfId="2" applyFont="1" applyFill="1"/>
    <xf numFmtId="0" fontId="38" fillId="11" borderId="0" xfId="2" applyFont="1" applyFill="1"/>
    <xf numFmtId="0" fontId="39" fillId="11" borderId="0" xfId="2" applyFont="1" applyFill="1"/>
    <xf numFmtId="0" fontId="40" fillId="11" borderId="0" xfId="2" applyFont="1" applyFill="1"/>
    <xf numFmtId="0" fontId="40" fillId="11" borderId="0" xfId="2" applyFont="1" applyFill="1" applyAlignment="1">
      <alignment wrapText="1"/>
    </xf>
    <xf numFmtId="0" fontId="41" fillId="11" borderId="0" xfId="2" applyFont="1" applyFill="1" applyAlignment="1">
      <alignment vertical="center"/>
    </xf>
    <xf numFmtId="0" fontId="41" fillId="11" borderId="0" xfId="2" applyFont="1" applyFill="1"/>
    <xf numFmtId="0" fontId="5" fillId="11" borderId="34" xfId="2" applyFill="1" applyBorder="1"/>
    <xf numFmtId="0" fontId="5" fillId="11" borderId="35" xfId="2" applyFill="1" applyBorder="1"/>
    <xf numFmtId="0" fontId="5" fillId="11" borderId="36" xfId="2" applyFill="1" applyBorder="1"/>
    <xf numFmtId="0" fontId="32" fillId="0" borderId="0" xfId="2" applyFont="1" applyAlignment="1">
      <alignment horizontal="center"/>
    </xf>
    <xf numFmtId="0" fontId="32" fillId="10" borderId="0" xfId="2" applyFont="1" applyFill="1"/>
    <xf numFmtId="2" fontId="32" fillId="0" borderId="0" xfId="2" applyNumberFormat="1" applyFont="1" applyAlignment="1">
      <alignment horizontal="center"/>
    </xf>
    <xf numFmtId="0" fontId="5" fillId="0" borderId="0" xfId="2" applyAlignment="1">
      <alignment horizontal="right"/>
    </xf>
    <xf numFmtId="2" fontId="5" fillId="0" borderId="1" xfId="2" applyNumberFormat="1" applyBorder="1"/>
    <xf numFmtId="0" fontId="33" fillId="0" borderId="0" xfId="2" applyFont="1" applyAlignment="1">
      <alignment horizontal="center"/>
    </xf>
    <xf numFmtId="2" fontId="5" fillId="0" borderId="0" xfId="2" applyNumberFormat="1" applyAlignment="1">
      <alignment horizontal="left"/>
    </xf>
    <xf numFmtId="0" fontId="32" fillId="0" borderId="0" xfId="2" applyFont="1" applyAlignment="1">
      <alignment horizontal="left"/>
    </xf>
    <xf numFmtId="0" fontId="5" fillId="0" borderId="5" xfId="2" applyBorder="1"/>
    <xf numFmtId="0" fontId="5" fillId="0" borderId="1" xfId="0" applyFont="1" applyBorder="1" applyAlignment="1">
      <alignment horizontal="right"/>
    </xf>
    <xf numFmtId="11" fontId="0" fillId="0" borderId="0" xfId="0" applyNumberFormat="1" applyAlignment="1" applyProtection="1">
      <alignment horizontal="center" vertical="center"/>
      <protection locked="0"/>
    </xf>
    <xf numFmtId="0" fontId="0" fillId="9" borderId="5" xfId="0" applyFill="1" applyBorder="1" applyAlignment="1" applyProtection="1">
      <alignment horizontal="center" vertical="center"/>
      <protection locked="0"/>
    </xf>
    <xf numFmtId="0" fontId="42" fillId="2" borderId="19" xfId="2" applyFont="1" applyFill="1" applyBorder="1" applyAlignment="1">
      <alignment vertical="top" wrapText="1"/>
    </xf>
    <xf numFmtId="0" fontId="18" fillId="2" borderId="19" xfId="1" applyFill="1" applyBorder="1" applyAlignment="1" applyProtection="1"/>
    <xf numFmtId="0" fontId="18" fillId="3" borderId="19" xfId="1" applyFill="1" applyBorder="1" applyAlignment="1" applyProtection="1">
      <alignment horizontal="left"/>
    </xf>
    <xf numFmtId="0" fontId="27" fillId="7" borderId="19" xfId="0" applyFont="1" applyFill="1" applyBorder="1"/>
    <xf numFmtId="0" fontId="0" fillId="7" borderId="0" xfId="0" applyFill="1"/>
    <xf numFmtId="0" fontId="0" fillId="0" borderId="1" xfId="0" applyBorder="1" applyAlignment="1">
      <alignment horizontal="right"/>
    </xf>
    <xf numFmtId="0" fontId="1" fillId="0" borderId="0" xfId="16"/>
    <xf numFmtId="9" fontId="1" fillId="0" borderId="0" xfId="16" applyNumberFormat="1" applyAlignment="1">
      <alignment horizontal="center"/>
    </xf>
    <xf numFmtId="0" fontId="1" fillId="0" borderId="0" xfId="16" applyAlignment="1">
      <alignment horizontal="center"/>
    </xf>
    <xf numFmtId="0" fontId="50" fillId="0" borderId="0" xfId="16" applyFont="1" applyAlignment="1">
      <alignment horizontal="center"/>
    </xf>
    <xf numFmtId="0" fontId="1" fillId="16" borderId="1" xfId="16" applyFill="1" applyBorder="1" applyAlignment="1">
      <alignment horizontal="center" vertical="center"/>
    </xf>
    <xf numFmtId="2" fontId="1" fillId="0" borderId="0" xfId="16" applyNumberFormat="1"/>
    <xf numFmtId="1" fontId="1" fillId="12" borderId="1" xfId="16" applyNumberFormat="1" applyFill="1" applyBorder="1" applyAlignment="1">
      <alignment horizontal="center"/>
    </xf>
    <xf numFmtId="1" fontId="1" fillId="13" borderId="1" xfId="16" applyNumberFormat="1" applyFill="1" applyBorder="1" applyAlignment="1">
      <alignment horizontal="center"/>
    </xf>
    <xf numFmtId="1" fontId="1" fillId="8" borderId="1" xfId="16" applyNumberFormat="1" applyFill="1" applyBorder="1" applyAlignment="1">
      <alignment horizontal="center"/>
    </xf>
    <xf numFmtId="1" fontId="1" fillId="17" borderId="1" xfId="16" applyNumberFormat="1" applyFill="1" applyBorder="1" applyAlignment="1">
      <alignment horizontal="center"/>
    </xf>
    <xf numFmtId="1" fontId="1" fillId="15" borderId="1" xfId="16" applyNumberFormat="1" applyFill="1" applyBorder="1" applyAlignment="1">
      <alignment horizontal="center"/>
    </xf>
    <xf numFmtId="1" fontId="1" fillId="16" borderId="1" xfId="16" applyNumberFormat="1" applyFill="1" applyBorder="1" applyAlignment="1">
      <alignment horizontal="center" vertical="center"/>
    </xf>
    <xf numFmtId="0" fontId="50" fillId="0" borderId="0" xfId="16" applyFont="1"/>
    <xf numFmtId="0" fontId="54" fillId="0" borderId="0" xfId="17" applyFont="1" applyAlignment="1"/>
    <xf numFmtId="0" fontId="55" fillId="18" borderId="37" xfId="16" applyFont="1" applyFill="1" applyBorder="1" applyAlignment="1">
      <alignment horizontal="center" vertical="center" wrapText="1"/>
    </xf>
    <xf numFmtId="177" fontId="56" fillId="0" borderId="37" xfId="16" applyNumberFormat="1" applyFont="1" applyBorder="1" applyAlignment="1">
      <alignment vertical="center" wrapText="1"/>
    </xf>
    <xf numFmtId="177" fontId="1" fillId="0" borderId="0" xfId="16" applyNumberFormat="1"/>
    <xf numFmtId="0" fontId="5" fillId="3" borderId="4" xfId="0" applyFont="1" applyFill="1" applyBorder="1" applyAlignment="1">
      <alignment horizontal="right" vertical="center"/>
    </xf>
    <xf numFmtId="0" fontId="0" fillId="3" borderId="4" xfId="0" applyFill="1" applyBorder="1" applyAlignment="1">
      <alignment horizontal="center"/>
    </xf>
    <xf numFmtId="0" fontId="0" fillId="3" borderId="4" xfId="0" applyFill="1" applyBorder="1"/>
    <xf numFmtId="0" fontId="0" fillId="3" borderId="20" xfId="0" applyFill="1" applyBorder="1"/>
    <xf numFmtId="0" fontId="0" fillId="3" borderId="26" xfId="0" applyFill="1" applyBorder="1"/>
    <xf numFmtId="0" fontId="0" fillId="3" borderId="0" xfId="0" applyFill="1" applyAlignment="1">
      <alignment horizontal="right"/>
    </xf>
    <xf numFmtId="0" fontId="5" fillId="3" borderId="7" xfId="0" applyFont="1" applyFill="1" applyBorder="1" applyAlignment="1">
      <alignment horizontal="right" vertical="center"/>
    </xf>
    <xf numFmtId="0" fontId="0" fillId="3" borderId="4" xfId="0" applyFill="1" applyBorder="1" applyAlignment="1">
      <alignment horizontal="right" vertical="center"/>
    </xf>
    <xf numFmtId="0" fontId="5" fillId="6" borderId="8" xfId="0" applyFont="1" applyFill="1" applyBorder="1" applyAlignment="1" applyProtection="1">
      <alignment horizontal="center" vertical="center"/>
      <protection locked="0"/>
    </xf>
    <xf numFmtId="0" fontId="5" fillId="6" borderId="1" xfId="2" applyFill="1" applyBorder="1" applyAlignment="1" applyProtection="1">
      <alignment horizontal="center" vertical="center"/>
      <protection locked="0"/>
    </xf>
    <xf numFmtId="0" fontId="0" fillId="0" borderId="0" xfId="0" applyProtection="1">
      <protection hidden="1"/>
    </xf>
    <xf numFmtId="0" fontId="5" fillId="0" borderId="0" xfId="0" applyFont="1" applyProtection="1">
      <protection hidden="1"/>
    </xf>
    <xf numFmtId="0" fontId="6" fillId="0" borderId="0" xfId="0" applyFont="1" applyProtection="1">
      <protection hidden="1"/>
    </xf>
    <xf numFmtId="2" fontId="0" fillId="0" borderId="1" xfId="0" applyNumberFormat="1" applyBorder="1" applyAlignment="1" applyProtection="1">
      <alignment horizontal="center" vertical="center"/>
      <protection hidden="1"/>
    </xf>
    <xf numFmtId="177" fontId="0" fillId="0" borderId="1" xfId="0" applyNumberFormat="1" applyBorder="1" applyAlignment="1" applyProtection="1">
      <alignment horizontal="center" vertical="center"/>
      <protection hidden="1"/>
    </xf>
    <xf numFmtId="2"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2" fontId="0" fillId="3" borderId="1" xfId="0" applyNumberFormat="1" applyFill="1" applyBorder="1" applyAlignment="1" applyProtection="1">
      <alignment horizontal="center" vertical="center"/>
      <protection hidden="1"/>
    </xf>
    <xf numFmtId="2" fontId="0" fillId="2" borderId="6" xfId="0" applyNumberFormat="1" applyFill="1" applyBorder="1" applyAlignment="1" applyProtection="1">
      <alignment horizontal="center" vertical="center"/>
      <protection hidden="1"/>
    </xf>
    <xf numFmtId="179" fontId="0" fillId="0" borderId="1" xfId="0" applyNumberFormat="1" applyBorder="1" applyAlignment="1" applyProtection="1">
      <alignment horizontal="center" vertical="center"/>
      <protection hidden="1"/>
    </xf>
    <xf numFmtId="0" fontId="43" fillId="2" borderId="19" xfId="0" applyFont="1" applyFill="1" applyBorder="1" applyAlignment="1">
      <alignment vertical="top" wrapText="1"/>
    </xf>
    <xf numFmtId="0" fontId="43" fillId="2" borderId="0" xfId="0" applyFont="1" applyFill="1" applyAlignment="1">
      <alignment vertical="top" wrapText="1"/>
    </xf>
    <xf numFmtId="0" fontId="18" fillId="3" borderId="19" xfId="1" applyFill="1" applyBorder="1" applyAlignment="1" applyProtection="1"/>
    <xf numFmtId="0" fontId="0" fillId="5" borderId="19" xfId="0" applyFill="1" applyBorder="1"/>
    <xf numFmtId="0" fontId="0" fillId="5" borderId="5" xfId="0" applyFill="1" applyBorder="1" applyAlignment="1" applyProtection="1">
      <alignment horizontal="center" vertical="center"/>
      <protection locked="0"/>
    </xf>
    <xf numFmtId="0" fontId="5" fillId="5" borderId="7" xfId="0" applyFont="1" applyFill="1" applyBorder="1" applyAlignment="1">
      <alignment horizontal="center" vertical="center"/>
    </xf>
    <xf numFmtId="0" fontId="0" fillId="5" borderId="23" xfId="0" applyFill="1" applyBorder="1"/>
    <xf numFmtId="0" fontId="27" fillId="5" borderId="0" xfId="0" applyFont="1" applyFill="1"/>
    <xf numFmtId="0" fontId="34" fillId="5" borderId="0" xfId="0" applyFont="1" applyFill="1" applyAlignment="1">
      <alignment horizontal="right" vertical="center"/>
    </xf>
    <xf numFmtId="0" fontId="34" fillId="5" borderId="1" xfId="0" applyFont="1" applyFill="1" applyBorder="1" applyAlignment="1" applyProtection="1">
      <alignment horizontal="center" vertical="center"/>
      <protection locked="0"/>
    </xf>
    <xf numFmtId="0" fontId="5" fillId="5" borderId="0" xfId="0" applyFont="1" applyFill="1" applyProtection="1">
      <protection hidden="1"/>
    </xf>
    <xf numFmtId="0" fontId="0" fillId="5" borderId="0" xfId="0" applyFill="1" applyProtection="1">
      <protection hidden="1"/>
    </xf>
    <xf numFmtId="0" fontId="27" fillId="5" borderId="19" xfId="0" applyFont="1" applyFill="1" applyBorder="1"/>
    <xf numFmtId="0" fontId="0" fillId="5" borderId="1" xfId="0" applyFill="1" applyBorder="1" applyAlignment="1" applyProtection="1">
      <alignment horizontal="center" vertical="center"/>
      <protection locked="0"/>
    </xf>
    <xf numFmtId="0" fontId="5" fillId="5" borderId="0" xfId="0" applyFont="1" applyFill="1"/>
    <xf numFmtId="0" fontId="14" fillId="5" borderId="7" xfId="0" applyFont="1" applyFill="1" applyBorder="1" applyAlignment="1">
      <alignment horizontal="center" vertical="center"/>
    </xf>
    <xf numFmtId="0" fontId="0" fillId="5" borderId="0" xfId="0" applyFill="1" applyAlignment="1" applyProtection="1">
      <alignment vertical="center"/>
      <protection hidden="1"/>
    </xf>
    <xf numFmtId="2" fontId="0" fillId="5" borderId="0" xfId="0" applyNumberFormat="1" applyFill="1" applyAlignment="1" applyProtection="1">
      <alignment vertical="center"/>
      <protection hidden="1"/>
    </xf>
    <xf numFmtId="2" fontId="0" fillId="5" borderId="1" xfId="0" applyNumberFormat="1" applyFill="1" applyBorder="1" applyAlignment="1">
      <alignment horizontal="center" vertical="center"/>
    </xf>
    <xf numFmtId="2" fontId="0" fillId="5" borderId="1" xfId="0" applyNumberFormat="1" applyFill="1" applyBorder="1" applyAlignment="1" applyProtection="1">
      <alignment horizontal="center" vertical="center"/>
      <protection locked="0"/>
    </xf>
    <xf numFmtId="177" fontId="0" fillId="5" borderId="1" xfId="0" applyNumberFormat="1" applyFill="1" applyBorder="1" applyAlignment="1" applyProtection="1">
      <alignment horizontal="center" vertical="center"/>
      <protection hidden="1"/>
    </xf>
    <xf numFmtId="177" fontId="0" fillId="5" borderId="1" xfId="0" applyNumberFormat="1" applyFill="1" applyBorder="1" applyAlignment="1">
      <alignment horizontal="center" vertical="center"/>
    </xf>
    <xf numFmtId="2" fontId="0" fillId="5" borderId="1" xfId="0" applyNumberFormat="1" applyFill="1" applyBorder="1" applyAlignment="1" applyProtection="1">
      <alignment horizontal="center" vertical="center"/>
      <protection hidden="1"/>
    </xf>
    <xf numFmtId="0" fontId="18" fillId="5" borderId="19" xfId="1" applyFill="1" applyBorder="1" applyAlignment="1" applyProtection="1">
      <alignment horizontal="left" vertical="top" wrapText="1"/>
    </xf>
    <xf numFmtId="0" fontId="5" fillId="5" borderId="20" xfId="0" applyFont="1" applyFill="1" applyBorder="1" applyAlignment="1">
      <alignment horizontal="right" vertical="center"/>
    </xf>
    <xf numFmtId="2" fontId="5" fillId="5" borderId="38" xfId="0" applyNumberFormat="1" applyFont="1" applyFill="1" applyBorder="1" applyAlignment="1">
      <alignment horizontal="center" vertical="center"/>
    </xf>
    <xf numFmtId="0" fontId="5" fillId="5" borderId="26" xfId="0" applyFont="1" applyFill="1" applyBorder="1" applyAlignment="1">
      <alignment horizontal="center" vertical="center"/>
    </xf>
    <xf numFmtId="0" fontId="0" fillId="5" borderId="3" xfId="0" applyFill="1" applyBorder="1"/>
    <xf numFmtId="0" fontId="27" fillId="5" borderId="17" xfId="0" applyFont="1" applyFill="1" applyBorder="1"/>
    <xf numFmtId="0" fontId="0" fillId="5" borderId="18" xfId="0" applyFill="1" applyBorder="1"/>
    <xf numFmtId="0" fontId="25" fillId="5" borderId="18" xfId="0" applyFont="1" applyFill="1" applyBorder="1" applyAlignment="1">
      <alignment horizontal="right" vertical="center"/>
    </xf>
    <xf numFmtId="0" fontId="0" fillId="5" borderId="10" xfId="0" applyFill="1" applyBorder="1" applyAlignment="1" applyProtection="1">
      <alignment horizontal="center" vertical="center"/>
      <protection hidden="1"/>
    </xf>
    <xf numFmtId="0" fontId="10" fillId="5" borderId="18" xfId="0" applyFont="1" applyFill="1" applyBorder="1" applyAlignment="1">
      <alignment horizontal="center" vertical="center"/>
    </xf>
    <xf numFmtId="0" fontId="0" fillId="5" borderId="22" xfId="0" applyFill="1" applyBorder="1"/>
    <xf numFmtId="0" fontId="24" fillId="5" borderId="19" xfId="0" applyFont="1" applyFill="1" applyBorder="1"/>
    <xf numFmtId="0" fontId="25" fillId="5" borderId="0" xfId="0" applyFont="1" applyFill="1" applyAlignment="1">
      <alignment horizontal="right" vertical="center"/>
    </xf>
    <xf numFmtId="0" fontId="0" fillId="5" borderId="1" xfId="0" applyFill="1" applyBorder="1" applyAlignment="1" applyProtection="1">
      <alignment horizontal="center" vertical="center"/>
      <protection hidden="1"/>
    </xf>
    <xf numFmtId="0" fontId="14" fillId="5" borderId="0" xfId="0" applyFont="1" applyFill="1" applyAlignment="1">
      <alignment horizontal="center" vertical="center"/>
    </xf>
    <xf numFmtId="0" fontId="0" fillId="5" borderId="8" xfId="0" applyFill="1" applyBorder="1" applyAlignment="1" applyProtection="1">
      <alignment horizontal="center" vertical="center"/>
      <protection hidden="1"/>
    </xf>
    <xf numFmtId="0" fontId="5" fillId="5" borderId="0" xfId="0" applyFont="1" applyFill="1" applyAlignment="1">
      <alignment horizontal="center" vertical="center"/>
    </xf>
    <xf numFmtId="0" fontId="0" fillId="5" borderId="0" xfId="0" applyFill="1" applyAlignment="1">
      <alignment horizontal="right" vertical="center"/>
    </xf>
    <xf numFmtId="0" fontId="6" fillId="5" borderId="0" xfId="0" applyFont="1" applyFill="1" applyAlignment="1">
      <alignment horizontal="center"/>
    </xf>
    <xf numFmtId="0" fontId="6" fillId="5" borderId="0" xfId="0" applyFont="1" applyFill="1"/>
    <xf numFmtId="0" fontId="10" fillId="5" borderId="0" xfId="0" applyFont="1" applyFill="1" applyAlignment="1">
      <alignment horizontal="center" vertical="center"/>
    </xf>
    <xf numFmtId="177" fontId="0" fillId="5" borderId="0" xfId="0" applyNumberFormat="1" applyFill="1" applyAlignment="1">
      <alignment horizontal="center"/>
    </xf>
    <xf numFmtId="1" fontId="0" fillId="5" borderId="0" xfId="0" applyNumberFormat="1" applyFill="1" applyAlignment="1">
      <alignment horizontal="center"/>
    </xf>
    <xf numFmtId="0" fontId="0" fillId="5" borderId="5" xfId="0" applyFill="1" applyBorder="1" applyAlignment="1" applyProtection="1">
      <alignment horizontal="center" vertical="center"/>
      <protection hidden="1"/>
    </xf>
    <xf numFmtId="2" fontId="0" fillId="5" borderId="0" xfId="0" applyNumberFormat="1" applyFill="1" applyAlignment="1">
      <alignment horizontal="center"/>
    </xf>
    <xf numFmtId="177" fontId="0" fillId="5" borderId="5" xfId="0" applyNumberFormat="1" applyFill="1" applyBorder="1" applyAlignment="1" applyProtection="1">
      <alignment horizontal="center" vertical="center"/>
      <protection hidden="1"/>
    </xf>
    <xf numFmtId="177" fontId="5" fillId="5" borderId="5" xfId="0" applyNumberFormat="1" applyFont="1" applyFill="1" applyBorder="1" applyAlignment="1" applyProtection="1">
      <alignment horizontal="center" vertical="center"/>
      <protection hidden="1"/>
    </xf>
    <xf numFmtId="176" fontId="0" fillId="5" borderId="0" xfId="0" applyNumberFormat="1" applyFill="1" applyAlignment="1">
      <alignment horizontal="center"/>
    </xf>
    <xf numFmtId="2" fontId="0" fillId="5" borderId="5" xfId="0" applyNumberFormat="1" applyFill="1" applyBorder="1" applyAlignment="1" applyProtection="1">
      <alignment horizontal="center" vertical="center"/>
      <protection hidden="1"/>
    </xf>
    <xf numFmtId="1" fontId="0" fillId="5" borderId="5" xfId="0" applyNumberFormat="1" applyFill="1" applyBorder="1" applyAlignment="1" applyProtection="1">
      <alignment horizontal="center" vertical="center"/>
      <protection hidden="1"/>
    </xf>
    <xf numFmtId="0" fontId="5" fillId="5" borderId="0" xfId="2" applyFill="1" applyAlignment="1">
      <alignment horizontal="right" vertical="center"/>
    </xf>
    <xf numFmtId="1" fontId="5" fillId="5" borderId="1" xfId="2" applyNumberFormat="1" applyFill="1" applyBorder="1" applyAlignment="1" applyProtection="1">
      <alignment horizontal="center" vertical="center"/>
      <protection hidden="1"/>
    </xf>
    <xf numFmtId="0" fontId="0" fillId="5" borderId="0" xfId="0" applyFill="1" applyAlignment="1">
      <alignment horizontal="center"/>
    </xf>
    <xf numFmtId="1" fontId="5" fillId="5" borderId="0" xfId="0" applyNumberFormat="1" applyFont="1" applyFill="1" applyAlignment="1">
      <alignment horizontal="center" vertical="center"/>
    </xf>
    <xf numFmtId="0" fontId="5" fillId="5" borderId="19" xfId="0" applyFont="1" applyFill="1" applyBorder="1" applyAlignment="1">
      <alignment horizontal="right"/>
    </xf>
    <xf numFmtId="0" fontId="5" fillId="5" borderId="0" xfId="0" applyFont="1" applyFill="1" applyAlignment="1">
      <alignment horizontal="left"/>
    </xf>
    <xf numFmtId="0" fontId="0" fillId="5" borderId="0" xfId="0" applyFill="1" applyAlignment="1">
      <alignment horizontal="right"/>
    </xf>
    <xf numFmtId="0" fontId="0" fillId="5" borderId="21" xfId="0" applyFill="1" applyBorder="1"/>
    <xf numFmtId="0" fontId="0" fillId="5" borderId="20" xfId="0" applyFill="1" applyBorder="1"/>
    <xf numFmtId="0" fontId="0" fillId="5" borderId="20" xfId="0" applyFill="1" applyBorder="1" applyAlignment="1">
      <alignment horizontal="center"/>
    </xf>
    <xf numFmtId="0" fontId="0" fillId="5" borderId="24" xfId="0" applyFill="1" applyBorder="1"/>
    <xf numFmtId="0" fontId="0" fillId="6" borderId="8" xfId="0" applyFill="1" applyBorder="1" applyAlignment="1" applyProtection="1">
      <alignment horizontal="center" vertical="center"/>
      <protection locked="0"/>
    </xf>
    <xf numFmtId="0" fontId="0" fillId="2" borderId="39" xfId="0" applyFill="1" applyBorder="1"/>
    <xf numFmtId="0" fontId="0" fillId="2" borderId="40" xfId="0" applyFill="1" applyBorder="1"/>
    <xf numFmtId="0" fontId="0" fillId="3" borderId="40" xfId="0" applyFill="1" applyBorder="1"/>
    <xf numFmtId="0" fontId="6" fillId="2" borderId="9"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0" fillId="2" borderId="16" xfId="0" applyFill="1" applyBorder="1"/>
    <xf numFmtId="0" fontId="0" fillId="2" borderId="12" xfId="0" applyFill="1" applyBorder="1" applyAlignment="1">
      <alignment horizontal="center" vertical="center"/>
    </xf>
    <xf numFmtId="0" fontId="0" fillId="5" borderId="12" xfId="0"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2" fontId="0" fillId="3" borderId="1" xfId="0" applyNumberFormat="1" applyFill="1" applyBorder="1" applyAlignment="1">
      <alignment horizontal="center"/>
    </xf>
    <xf numFmtId="0" fontId="5" fillId="3" borderId="4" xfId="0" applyFont="1" applyFill="1" applyBorder="1" applyAlignment="1">
      <alignment horizontal="center"/>
    </xf>
    <xf numFmtId="0" fontId="0" fillId="19" borderId="12" xfId="0" applyFill="1" applyBorder="1" applyAlignment="1">
      <alignment horizontal="center" vertical="center"/>
    </xf>
    <xf numFmtId="0" fontId="5" fillId="19" borderId="13" xfId="0" applyFont="1" applyFill="1" applyBorder="1" applyAlignment="1">
      <alignment horizontal="center" vertical="center"/>
    </xf>
    <xf numFmtId="0" fontId="7" fillId="20" borderId="12" xfId="0" applyFont="1" applyFill="1" applyBorder="1" applyAlignment="1">
      <alignment horizontal="center" vertical="center"/>
    </xf>
    <xf numFmtId="0" fontId="5" fillId="20" borderId="13" xfId="0" applyFont="1" applyFill="1" applyBorder="1" applyAlignment="1">
      <alignment horizontal="center" vertical="center"/>
    </xf>
    <xf numFmtId="0" fontId="7" fillId="13" borderId="12" xfId="0" applyFont="1" applyFill="1" applyBorder="1" applyAlignment="1">
      <alignment horizontal="center" vertical="center"/>
    </xf>
    <xf numFmtId="0" fontId="5" fillId="13" borderId="13" xfId="0" applyFont="1" applyFill="1" applyBorder="1" applyAlignment="1">
      <alignment horizontal="center" vertical="center"/>
    </xf>
    <xf numFmtId="0" fontId="0" fillId="13" borderId="0" xfId="0" applyFill="1"/>
    <xf numFmtId="0" fontId="0" fillId="13" borderId="23" xfId="0" applyFill="1" applyBorder="1"/>
    <xf numFmtId="0" fontId="57" fillId="13" borderId="0" xfId="0" applyFont="1" applyFill="1"/>
    <xf numFmtId="0" fontId="0" fillId="2" borderId="4" xfId="0" applyFill="1" applyBorder="1" applyAlignment="1">
      <alignment horizontal="center" vertical="center"/>
    </xf>
    <xf numFmtId="0" fontId="44" fillId="0" borderId="17"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0" xfId="0" applyFont="1" applyAlignment="1">
      <alignment horizontal="center" vertical="center" wrapText="1"/>
    </xf>
    <xf numFmtId="0" fontId="44" fillId="0" borderId="23"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0" fillId="2" borderId="2" xfId="0" applyFill="1" applyBorder="1" applyAlignment="1">
      <alignment horizontal="center"/>
    </xf>
    <xf numFmtId="0" fontId="0" fillId="2" borderId="6" xfId="0" applyFill="1" applyBorder="1" applyAlignment="1">
      <alignment horizontal="center"/>
    </xf>
    <xf numFmtId="0" fontId="0" fillId="0" borderId="2" xfId="0" applyBorder="1" applyAlignment="1">
      <alignment horizontal="right"/>
    </xf>
    <xf numFmtId="0" fontId="0" fillId="0" borderId="6" xfId="0" applyBorder="1" applyAlignment="1">
      <alignment horizontal="right"/>
    </xf>
    <xf numFmtId="0" fontId="21" fillId="4" borderId="17" xfId="0" applyFont="1" applyFill="1" applyBorder="1" applyAlignment="1">
      <alignment horizontal="left" vertical="center"/>
    </xf>
    <xf numFmtId="0" fontId="21" fillId="4" borderId="18"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0" xfId="0" applyFont="1" applyFill="1" applyAlignment="1">
      <alignment horizontal="left" vertical="center" wrapText="1"/>
    </xf>
    <xf numFmtId="0" fontId="42" fillId="2" borderId="20" xfId="2" applyFont="1" applyFill="1" applyBorder="1" applyAlignment="1">
      <alignment horizontal="left" vertical="top" wrapText="1"/>
    </xf>
    <xf numFmtId="0" fontId="46" fillId="2" borderId="20" xfId="2" applyFont="1" applyFill="1" applyBorder="1" applyAlignment="1">
      <alignment horizontal="left" vertical="top" wrapText="1"/>
    </xf>
    <xf numFmtId="0" fontId="0" fillId="19" borderId="2" xfId="0" applyFill="1" applyBorder="1" applyAlignment="1">
      <alignment horizontal="center"/>
    </xf>
    <xf numFmtId="0" fontId="0" fillId="19" borderId="6" xfId="0" applyFill="1" applyBorder="1" applyAlignment="1">
      <alignment horizontal="center"/>
    </xf>
    <xf numFmtId="0" fontId="0" fillId="20" borderId="2" xfId="0" applyFill="1" applyBorder="1" applyAlignment="1">
      <alignment horizontal="center"/>
    </xf>
    <xf numFmtId="0" fontId="0" fillId="20" borderId="6" xfId="0" applyFill="1" applyBorder="1" applyAlignment="1">
      <alignment horizontal="center"/>
    </xf>
    <xf numFmtId="0" fontId="0" fillId="13" borderId="2" xfId="0" applyFill="1" applyBorder="1" applyAlignment="1">
      <alignment horizontal="center"/>
    </xf>
    <xf numFmtId="0" fontId="0" fillId="13" borderId="6" xfId="0" applyFill="1" applyBorder="1" applyAlignment="1">
      <alignment horizontal="center"/>
    </xf>
    <xf numFmtId="0" fontId="57" fillId="20" borderId="19" xfId="0" applyFont="1" applyFill="1" applyBorder="1" applyAlignment="1">
      <alignment horizontal="left"/>
    </xf>
    <xf numFmtId="0" fontId="5" fillId="20" borderId="0" xfId="0" applyFont="1" applyFill="1" applyAlignment="1">
      <alignment horizontal="left"/>
    </xf>
    <xf numFmtId="0" fontId="5" fillId="20" borderId="23" xfId="0" applyFont="1" applyFill="1" applyBorder="1" applyAlignment="1">
      <alignment horizontal="left"/>
    </xf>
    <xf numFmtId="0" fontId="42" fillId="2" borderId="19" xfId="2" applyFont="1" applyFill="1" applyBorder="1" applyAlignment="1" applyProtection="1">
      <alignment horizontal="left" vertical="top" wrapText="1"/>
      <protection hidden="1"/>
    </xf>
    <xf numFmtId="0" fontId="42" fillId="2" borderId="19" xfId="2" applyFont="1" applyFill="1" applyBorder="1" applyAlignment="1">
      <alignment horizontal="left" vertical="top" wrapText="1"/>
    </xf>
    <xf numFmtId="0" fontId="17" fillId="3" borderId="0" xfId="0" applyFont="1" applyFill="1" applyAlignment="1">
      <alignment horizontal="center" vertical="center"/>
    </xf>
    <xf numFmtId="0" fontId="18" fillId="3" borderId="19" xfId="1" applyFill="1" applyBorder="1" applyAlignment="1" applyProtection="1">
      <alignment horizontal="left" vertical="center" wrapText="1"/>
    </xf>
    <xf numFmtId="0" fontId="18" fillId="5" borderId="19" xfId="1" applyFill="1" applyBorder="1" applyAlignment="1" applyProtection="1">
      <alignment horizontal="left" wrapText="1"/>
    </xf>
    <xf numFmtId="0" fontId="0" fillId="2" borderId="43" xfId="0" applyFill="1" applyBorder="1" applyAlignment="1">
      <alignment horizontal="center"/>
    </xf>
    <xf numFmtId="0" fontId="0" fillId="2" borderId="44" xfId="0" applyFill="1" applyBorder="1" applyAlignment="1">
      <alignment horizontal="center"/>
    </xf>
    <xf numFmtId="0" fontId="0" fillId="2" borderId="41" xfId="0" applyFill="1" applyBorder="1" applyAlignment="1">
      <alignment horizontal="center"/>
    </xf>
    <xf numFmtId="0" fontId="0" fillId="2" borderId="42" xfId="0" applyFill="1" applyBorder="1" applyAlignment="1">
      <alignment horizontal="center"/>
    </xf>
    <xf numFmtId="0" fontId="31" fillId="0" borderId="0" xfId="0" applyFont="1" applyAlignment="1">
      <alignment horizontal="center"/>
    </xf>
    <xf numFmtId="0" fontId="32" fillId="0" borderId="0" xfId="0" applyFont="1" applyAlignment="1">
      <alignment horizontal="center"/>
    </xf>
    <xf numFmtId="0" fontId="6" fillId="0" borderId="0" xfId="0" applyFont="1" applyAlignment="1">
      <alignment horizontal="center"/>
    </xf>
    <xf numFmtId="0" fontId="31" fillId="0" borderId="1" xfId="2" applyFont="1" applyBorder="1" applyAlignment="1">
      <alignment horizontal="center"/>
    </xf>
    <xf numFmtId="0" fontId="5" fillId="0" borderId="5" xfId="2" applyBorder="1" applyAlignment="1">
      <alignment horizontal="center"/>
    </xf>
    <xf numFmtId="0" fontId="32" fillId="0" borderId="0" xfId="2" applyFont="1" applyAlignment="1">
      <alignment horizontal="center"/>
    </xf>
    <xf numFmtId="2" fontId="5" fillId="0" borderId="0" xfId="2" applyNumberFormat="1" applyAlignment="1">
      <alignment horizontal="center"/>
    </xf>
    <xf numFmtId="0" fontId="1" fillId="8" borderId="1" xfId="16" applyFill="1" applyBorder="1" applyAlignment="1">
      <alignment horizontal="center" vertical="center"/>
    </xf>
    <xf numFmtId="0" fontId="1" fillId="14" borderId="1" xfId="16" applyFill="1" applyBorder="1" applyAlignment="1">
      <alignment horizontal="center" vertical="center"/>
    </xf>
    <xf numFmtId="0" fontId="1" fillId="15" borderId="1" xfId="16" applyFill="1" applyBorder="1" applyAlignment="1">
      <alignment horizontal="center" vertical="center"/>
    </xf>
    <xf numFmtId="0" fontId="52" fillId="0" borderId="0" xfId="16" applyFont="1" applyAlignment="1">
      <alignment horizontal="center"/>
    </xf>
    <xf numFmtId="0" fontId="1" fillId="12" borderId="1" xfId="16" applyFill="1" applyBorder="1" applyAlignment="1">
      <alignment horizontal="center" vertical="center"/>
    </xf>
    <xf numFmtId="0" fontId="1" fillId="13" borderId="1" xfId="16" applyFill="1" applyBorder="1" applyAlignment="1">
      <alignment horizontal="center" vertical="center"/>
    </xf>
  </cellXfs>
  <cellStyles count="18">
    <cellStyle name="ENTER VALUE" xfId="5" xr:uid="{00000000-0005-0000-0000-000000000000}"/>
    <cellStyle name="ENTER VALUE 2" xfId="9" xr:uid="{00000000-0005-0000-0000-000001000000}"/>
    <cellStyle name="ENTER VALUE 3" xfId="8" xr:uid="{00000000-0005-0000-0000-000002000000}"/>
    <cellStyle name="ENTER VALUE 4" xfId="7" xr:uid="{00000000-0005-0000-0000-000003000000}"/>
    <cellStyle name="Hyperlink 2" xfId="17" xr:uid="{3A91DDD4-DB7F-44C4-ACEF-82047C1242AC}"/>
    <cellStyle name="Normal 2" xfId="2" xr:uid="{00000000-0005-0000-0000-000006000000}"/>
    <cellStyle name="Normal 3" xfId="10" xr:uid="{00000000-0005-0000-0000-000007000000}"/>
    <cellStyle name="Normal 3 2" xfId="11" xr:uid="{00000000-0005-0000-0000-000008000000}"/>
    <cellStyle name="Normal 3 2 2" xfId="15" xr:uid="{00000000-0005-0000-0000-000009000000}"/>
    <cellStyle name="Normal 3 3" xfId="14" xr:uid="{00000000-0005-0000-0000-00000A000000}"/>
    <cellStyle name="Normal 4" xfId="13" xr:uid="{00000000-0005-0000-0000-00000B000000}"/>
    <cellStyle name="Normal 5" xfId="12" xr:uid="{00000000-0005-0000-0000-00000C000000}"/>
    <cellStyle name="Normal 6" xfId="16" xr:uid="{E593B26D-ECA9-4EAA-95AD-762F097A4C4C}"/>
    <cellStyle name="Style 1" xfId="3" xr:uid="{00000000-0005-0000-0000-00000D000000}"/>
    <cellStyle name="Style 2" xfId="4" xr:uid="{00000000-0005-0000-0000-00000E000000}"/>
    <cellStyle name="UNIT" xfId="6" xr:uid="{00000000-0005-0000-0000-00000F000000}"/>
    <cellStyle name="一般" xfId="0" builtinId="0"/>
    <cellStyle name="超連結" xfId="1" builtinId="8"/>
  </cellStyles>
  <dxfs count="36">
    <dxf>
      <font>
        <color theme="0"/>
      </font>
      <fill>
        <patternFill>
          <bgColor theme="0"/>
        </patternFill>
      </fill>
    </dxf>
    <dxf>
      <font>
        <color theme="0"/>
      </font>
    </dxf>
    <dxf>
      <font>
        <color theme="0"/>
      </font>
    </dxf>
    <dxf>
      <font>
        <condense val="0"/>
        <extend val="0"/>
        <color indexed="9"/>
      </font>
      <fill>
        <patternFill>
          <bgColor indexed="9"/>
        </patternFill>
      </fill>
      <border>
        <left/>
        <right/>
        <top/>
        <bottom/>
      </border>
    </dxf>
    <dxf>
      <font>
        <strike/>
        <color theme="0" tint="-0.24994659260841701"/>
      </font>
      <fill>
        <patternFill patternType="none">
          <bgColor auto="1"/>
        </patternFill>
      </fill>
    </dxf>
    <dxf>
      <font>
        <color theme="0"/>
      </font>
      <fill>
        <patternFill>
          <bgColor theme="0"/>
        </patternFill>
      </fill>
    </dxf>
    <dxf>
      <font>
        <color theme="0"/>
      </font>
      <fill>
        <patternFill>
          <fgColor theme="0"/>
          <bgColor theme="0"/>
        </patternFill>
      </fill>
    </dxf>
    <dxf>
      <fill>
        <patternFill>
          <bgColor indexed="10"/>
        </patternFill>
      </fill>
    </dxf>
    <dxf>
      <fill>
        <patternFill>
          <bgColor indexed="10"/>
        </patternFill>
      </fill>
    </dxf>
    <dxf>
      <font>
        <color theme="0"/>
      </font>
      <fill>
        <patternFill>
          <bgColor theme="0"/>
        </patternFill>
      </fill>
      <border>
        <left/>
        <right/>
        <top style="thin">
          <color auto="1"/>
        </top>
        <bottom/>
        <vertical/>
        <horizontal/>
      </border>
    </dxf>
    <dxf>
      <font>
        <condense val="0"/>
        <extend val="0"/>
        <color indexed="9"/>
      </font>
      <fill>
        <patternFill>
          <bgColor indexed="9"/>
        </patternFill>
      </fill>
      <border>
        <left/>
        <right/>
        <top style="thin">
          <color auto="1"/>
        </top>
        <bottom style="thin">
          <color auto="1"/>
        </bottom>
      </border>
    </dxf>
    <dxf>
      <fill>
        <patternFill>
          <bgColor rgb="FFFFFF00"/>
        </patternFill>
      </fill>
    </dxf>
    <dxf>
      <fill>
        <patternFill>
          <bgColor rgb="FFFF0000"/>
        </patternFill>
      </fill>
    </dxf>
    <dxf>
      <fill>
        <patternFill>
          <bgColor rgb="FFFF0000"/>
        </patternFill>
      </fill>
    </dxf>
    <dxf>
      <fill>
        <patternFill>
          <bgColor rgb="FFFF000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indexed="1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ndense val="0"/>
        <extend val="0"/>
        <color indexed="9"/>
      </font>
      <fill>
        <patternFill>
          <bgColor indexed="9"/>
        </patternFill>
      </fill>
      <border>
        <left/>
        <right/>
        <top style="thin">
          <color indexed="64"/>
        </top>
        <bottom/>
      </border>
    </dxf>
    <dxf>
      <font>
        <condense val="0"/>
        <extend val="0"/>
        <color indexed="9"/>
      </font>
      <fill>
        <patternFill>
          <bgColor indexed="9"/>
        </patternFill>
      </fill>
      <border>
        <left/>
        <right/>
        <top/>
        <bottom style="thin">
          <color auto="1"/>
        </bottom>
      </border>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colors>
    <mruColors>
      <color rgb="FFFF5050"/>
      <color rgb="FF0053F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8"/>
          <c:w val="0.83144069779259888"/>
          <c:h val="0.76916929287639557"/>
        </c:manualLayout>
      </c:layout>
      <c:scatterChart>
        <c:scatterStyle val="lineMarker"/>
        <c:varyColors val="0"/>
        <c:ser>
          <c:idx val="3"/>
          <c:order val="0"/>
          <c:tx>
            <c:v>Temp Derated FET SOA</c:v>
          </c:tx>
          <c:spPr>
            <a:ln w="25400">
              <a:solidFill>
                <a:srgbClr val="008000"/>
              </a:solidFill>
              <a:prstDash val="solid"/>
            </a:ln>
          </c:spPr>
          <c:marker>
            <c:symbol val="none"/>
          </c:marker>
          <c:xVal>
            <c:numRef>
              <c:f>Equations!$R$202:$R$306</c:f>
              <c:numCache>
                <c:formatCode>0.00</c:formatCode>
                <c:ptCount val="105"/>
                <c:pt idx="0">
                  <c:v>55</c:v>
                </c:pt>
                <c:pt idx="1">
                  <c:v>54.471153846153847</c:v>
                </c:pt>
                <c:pt idx="2">
                  <c:v>53.942307692307693</c:v>
                </c:pt>
                <c:pt idx="3">
                  <c:v>53.41346153846154</c:v>
                </c:pt>
                <c:pt idx="4">
                  <c:v>52.884615384615387</c:v>
                </c:pt>
                <c:pt idx="5">
                  <c:v>52.355769230769234</c:v>
                </c:pt>
                <c:pt idx="6">
                  <c:v>51.82692307692308</c:v>
                </c:pt>
                <c:pt idx="7">
                  <c:v>51.29807692307692</c:v>
                </c:pt>
                <c:pt idx="8">
                  <c:v>50.769230769230766</c:v>
                </c:pt>
                <c:pt idx="9">
                  <c:v>50.240384615384613</c:v>
                </c:pt>
                <c:pt idx="10">
                  <c:v>49.71153846153846</c:v>
                </c:pt>
                <c:pt idx="11">
                  <c:v>49.182692307692307</c:v>
                </c:pt>
                <c:pt idx="12">
                  <c:v>48.653846153846153</c:v>
                </c:pt>
                <c:pt idx="13">
                  <c:v>48.125</c:v>
                </c:pt>
                <c:pt idx="14">
                  <c:v>47.596153846153847</c:v>
                </c:pt>
                <c:pt idx="15">
                  <c:v>47.067307692307693</c:v>
                </c:pt>
                <c:pt idx="16">
                  <c:v>46.53846153846154</c:v>
                </c:pt>
                <c:pt idx="17">
                  <c:v>46.009615384615387</c:v>
                </c:pt>
                <c:pt idx="18">
                  <c:v>45.480769230769234</c:v>
                </c:pt>
                <c:pt idx="19">
                  <c:v>44.95192307692308</c:v>
                </c:pt>
                <c:pt idx="20">
                  <c:v>44.42307692307692</c:v>
                </c:pt>
                <c:pt idx="21">
                  <c:v>43.894230769230766</c:v>
                </c:pt>
                <c:pt idx="22">
                  <c:v>43.365384615384613</c:v>
                </c:pt>
                <c:pt idx="23">
                  <c:v>42.83653846153846</c:v>
                </c:pt>
                <c:pt idx="24">
                  <c:v>42.307692307692307</c:v>
                </c:pt>
                <c:pt idx="25">
                  <c:v>41.778846153846153</c:v>
                </c:pt>
                <c:pt idx="26">
                  <c:v>41.25</c:v>
                </c:pt>
                <c:pt idx="27">
                  <c:v>40.721153846153847</c:v>
                </c:pt>
                <c:pt idx="28">
                  <c:v>40.192307692307693</c:v>
                </c:pt>
                <c:pt idx="29">
                  <c:v>39.66346153846154</c:v>
                </c:pt>
                <c:pt idx="30">
                  <c:v>39.134615384615387</c:v>
                </c:pt>
                <c:pt idx="31">
                  <c:v>38.605769230769226</c:v>
                </c:pt>
                <c:pt idx="32">
                  <c:v>38.07692307692308</c:v>
                </c:pt>
                <c:pt idx="33">
                  <c:v>37.54807692307692</c:v>
                </c:pt>
                <c:pt idx="34">
                  <c:v>37.019230769230774</c:v>
                </c:pt>
                <c:pt idx="35">
                  <c:v>36.490384615384613</c:v>
                </c:pt>
                <c:pt idx="36">
                  <c:v>35.961538461538467</c:v>
                </c:pt>
                <c:pt idx="37">
                  <c:v>35.432692307692307</c:v>
                </c:pt>
                <c:pt idx="38">
                  <c:v>34.903846153846153</c:v>
                </c:pt>
                <c:pt idx="39">
                  <c:v>34.375</c:v>
                </c:pt>
                <c:pt idx="40">
                  <c:v>33.846153846153847</c:v>
                </c:pt>
                <c:pt idx="41">
                  <c:v>33.317307692307693</c:v>
                </c:pt>
                <c:pt idx="42">
                  <c:v>32.788461538461533</c:v>
                </c:pt>
                <c:pt idx="43">
                  <c:v>32.259615384615387</c:v>
                </c:pt>
                <c:pt idx="44">
                  <c:v>31.73076923076923</c:v>
                </c:pt>
                <c:pt idx="45">
                  <c:v>31.201923076923077</c:v>
                </c:pt>
                <c:pt idx="46">
                  <c:v>30.673076923076923</c:v>
                </c:pt>
                <c:pt idx="47">
                  <c:v>30.14423076923077</c:v>
                </c:pt>
                <c:pt idx="48">
                  <c:v>29.615384615384613</c:v>
                </c:pt>
                <c:pt idx="49">
                  <c:v>29.086538461538463</c:v>
                </c:pt>
                <c:pt idx="50">
                  <c:v>28.557692307692307</c:v>
                </c:pt>
                <c:pt idx="51">
                  <c:v>28.028846153846153</c:v>
                </c:pt>
                <c:pt idx="52">
                  <c:v>27.5</c:v>
                </c:pt>
                <c:pt idx="53">
                  <c:v>26.971153846153847</c:v>
                </c:pt>
                <c:pt idx="54">
                  <c:v>26.44230769230769</c:v>
                </c:pt>
                <c:pt idx="55">
                  <c:v>25.913461538461537</c:v>
                </c:pt>
                <c:pt idx="56">
                  <c:v>25.384615384615387</c:v>
                </c:pt>
                <c:pt idx="57">
                  <c:v>24.855769230769226</c:v>
                </c:pt>
                <c:pt idx="58">
                  <c:v>24.326923076923077</c:v>
                </c:pt>
                <c:pt idx="59">
                  <c:v>23.798076923076923</c:v>
                </c:pt>
                <c:pt idx="60">
                  <c:v>23.269230769230774</c:v>
                </c:pt>
                <c:pt idx="61">
                  <c:v>22.740384615384613</c:v>
                </c:pt>
                <c:pt idx="62">
                  <c:v>22.21153846153846</c:v>
                </c:pt>
                <c:pt idx="63">
                  <c:v>21.682692307692307</c:v>
                </c:pt>
                <c:pt idx="64">
                  <c:v>21.153846153846153</c:v>
                </c:pt>
                <c:pt idx="65">
                  <c:v>20.625</c:v>
                </c:pt>
                <c:pt idx="66">
                  <c:v>20.096153846153847</c:v>
                </c:pt>
                <c:pt idx="67">
                  <c:v>19.567307692307693</c:v>
                </c:pt>
                <c:pt idx="68">
                  <c:v>19.03846153846154</c:v>
                </c:pt>
                <c:pt idx="69">
                  <c:v>18.509615384615387</c:v>
                </c:pt>
                <c:pt idx="70">
                  <c:v>17.980769230769226</c:v>
                </c:pt>
                <c:pt idx="71">
                  <c:v>17.451923076923073</c:v>
                </c:pt>
                <c:pt idx="72">
                  <c:v>16.923076923076927</c:v>
                </c:pt>
                <c:pt idx="73">
                  <c:v>16.394230769230774</c:v>
                </c:pt>
                <c:pt idx="74">
                  <c:v>15.865384615384613</c:v>
                </c:pt>
                <c:pt idx="75">
                  <c:v>15.33653846153846</c:v>
                </c:pt>
                <c:pt idx="76">
                  <c:v>14.807692307692307</c:v>
                </c:pt>
                <c:pt idx="77">
                  <c:v>14.278846153846153</c:v>
                </c:pt>
                <c:pt idx="78">
                  <c:v>13.75</c:v>
                </c:pt>
                <c:pt idx="79">
                  <c:v>13.221153846153847</c:v>
                </c:pt>
                <c:pt idx="80">
                  <c:v>12.692307692307693</c:v>
                </c:pt>
                <c:pt idx="81">
                  <c:v>12.16346153846154</c:v>
                </c:pt>
                <c:pt idx="82">
                  <c:v>11.634615384615387</c:v>
                </c:pt>
                <c:pt idx="83">
                  <c:v>11.105769230769226</c:v>
                </c:pt>
                <c:pt idx="84">
                  <c:v>10.576923076923073</c:v>
                </c:pt>
                <c:pt idx="85">
                  <c:v>10.048076923076927</c:v>
                </c:pt>
                <c:pt idx="86">
                  <c:v>9.5192307692307736</c:v>
                </c:pt>
                <c:pt idx="87">
                  <c:v>8.9903846153846132</c:v>
                </c:pt>
                <c:pt idx="88">
                  <c:v>8.4615384615384599</c:v>
                </c:pt>
                <c:pt idx="89">
                  <c:v>7.9326923076923066</c:v>
                </c:pt>
                <c:pt idx="90">
                  <c:v>7.4038461538461533</c:v>
                </c:pt>
                <c:pt idx="91">
                  <c:v>6.875</c:v>
                </c:pt>
                <c:pt idx="92">
                  <c:v>6.3461538461538467</c:v>
                </c:pt>
                <c:pt idx="93">
                  <c:v>5.8173076923076934</c:v>
                </c:pt>
                <c:pt idx="94">
                  <c:v>5.2884615384615401</c:v>
                </c:pt>
                <c:pt idx="95">
                  <c:v>4.7596153846153868</c:v>
                </c:pt>
                <c:pt idx="96">
                  <c:v>4.2307692307692264</c:v>
                </c:pt>
                <c:pt idx="97">
                  <c:v>3.7019230769230731</c:v>
                </c:pt>
                <c:pt idx="98">
                  <c:v>3.1730769230769269</c:v>
                </c:pt>
                <c:pt idx="99">
                  <c:v>2.6442307692307736</c:v>
                </c:pt>
                <c:pt idx="100">
                  <c:v>2.1153846153846132</c:v>
                </c:pt>
                <c:pt idx="101">
                  <c:v>1.5865384615384599</c:v>
                </c:pt>
                <c:pt idx="102">
                  <c:v>1.0576923076923066</c:v>
                </c:pt>
                <c:pt idx="103">
                  <c:v>0.5288461538461533</c:v>
                </c:pt>
                <c:pt idx="104">
                  <c:v>0</c:v>
                </c:pt>
              </c:numCache>
            </c:numRef>
          </c:xVal>
          <c:yVal>
            <c:numRef>
              <c:f>Equations!$V$202:$V$306</c:f>
              <c:numCache>
                <c:formatCode>0.00</c:formatCode>
                <c:ptCount val="105"/>
                <c:pt idx="0">
                  <c:v>1.6000000000007653</c:v>
                </c:pt>
                <c:pt idx="1">
                  <c:v>1.6155339805832971</c:v>
                </c:pt>
                <c:pt idx="2">
                  <c:v>1.6313725490203881</c:v>
                </c:pt>
                <c:pt idx="3">
                  <c:v>1.6475247524760355</c:v>
                </c:pt>
                <c:pt idx="4">
                  <c:v>1.664000000000796</c:v>
                </c:pt>
                <c:pt idx="5">
                  <c:v>1.6808080808088848</c:v>
                </c:pt>
                <c:pt idx="6">
                  <c:v>1.6979591836742816</c:v>
                </c:pt>
                <c:pt idx="7">
                  <c:v>1.7154639175265938</c:v>
                </c:pt>
                <c:pt idx="8">
                  <c:v>1.7333333333341625</c:v>
                </c:pt>
                <c:pt idx="9">
                  <c:v>1.7515789473692589</c:v>
                </c:pt>
                <c:pt idx="10">
                  <c:v>1.7702127659582936</c:v>
                </c:pt>
                <c:pt idx="11">
                  <c:v>1.7892473118288128</c:v>
                </c:pt>
                <c:pt idx="12">
                  <c:v>1.8086956521747781</c:v>
                </c:pt>
                <c:pt idx="13">
                  <c:v>1.8285714285723031</c:v>
                </c:pt>
                <c:pt idx="14">
                  <c:v>1.8488888888897732</c:v>
                </c:pt>
                <c:pt idx="15">
                  <c:v>1.8696629213492089</c:v>
                </c:pt>
                <c:pt idx="16">
                  <c:v>1.8909090909099953</c:v>
                </c:pt>
                <c:pt idx="17">
                  <c:v>1.9126436781618343</c:v>
                </c:pt>
                <c:pt idx="18">
                  <c:v>1.934883720931158</c:v>
                </c:pt>
                <c:pt idx="19">
                  <c:v>1.9576470588244657</c:v>
                </c:pt>
                <c:pt idx="20">
                  <c:v>1.9809523809533287</c:v>
                </c:pt>
                <c:pt idx="21">
                  <c:v>2.0048192771093927</c:v>
                </c:pt>
                <c:pt idx="22">
                  <c:v>2.0292682926838976</c:v>
                </c:pt>
                <c:pt idx="23">
                  <c:v>2.0543209876553039</c:v>
                </c:pt>
                <c:pt idx="24">
                  <c:v>2.0800000000009948</c:v>
                </c:pt>
                <c:pt idx="25">
                  <c:v>2.1063291139250579</c:v>
                </c:pt>
                <c:pt idx="26">
                  <c:v>2.1333333333343538</c:v>
                </c:pt>
                <c:pt idx="27">
                  <c:v>2.1610389610399947</c:v>
                </c:pt>
                <c:pt idx="28">
                  <c:v>2.1894736842115736</c:v>
                </c:pt>
                <c:pt idx="29">
                  <c:v>2.2186666666677279</c:v>
                </c:pt>
                <c:pt idx="30">
                  <c:v>2.2486486486497239</c:v>
                </c:pt>
                <c:pt idx="31">
                  <c:v>2.2794520547956112</c:v>
                </c:pt>
                <c:pt idx="32">
                  <c:v>2.3111111111122162</c:v>
                </c:pt>
                <c:pt idx="33">
                  <c:v>2.3436619718321072</c:v>
                </c:pt>
                <c:pt idx="34">
                  <c:v>2.3771428571439941</c:v>
                </c:pt>
                <c:pt idx="35">
                  <c:v>2.4115942028997046</c:v>
                </c:pt>
                <c:pt idx="36">
                  <c:v>2.4470588235305817</c:v>
                </c:pt>
                <c:pt idx="37">
                  <c:v>2.4835820895534266</c:v>
                </c:pt>
                <c:pt idx="38">
                  <c:v>2.5212121212133272</c:v>
                </c:pt>
                <c:pt idx="39">
                  <c:v>2.5600000000012244</c:v>
                </c:pt>
                <c:pt idx="40">
                  <c:v>2.6000000000012435</c:v>
                </c:pt>
                <c:pt idx="41">
                  <c:v>2.6412698412711046</c:v>
                </c:pt>
                <c:pt idx="42">
                  <c:v>2.6838709677432195</c:v>
                </c:pt>
                <c:pt idx="43">
                  <c:v>2.727868852460321</c:v>
                </c:pt>
                <c:pt idx="44">
                  <c:v>2.7733333333346599</c:v>
                </c:pt>
                <c:pt idx="45">
                  <c:v>2.8203389830521965</c:v>
                </c:pt>
                <c:pt idx="46">
                  <c:v>2.8689655172427515</c:v>
                </c:pt>
                <c:pt idx="47">
                  <c:v>2.9192982456154315</c:v>
                </c:pt>
                <c:pt idx="48">
                  <c:v>2.9714285714299931</c:v>
                </c:pt>
                <c:pt idx="49">
                  <c:v>3.0254545454559922</c:v>
                </c:pt>
                <c:pt idx="50">
                  <c:v>3.0814814814829554</c:v>
                </c:pt>
                <c:pt idx="51">
                  <c:v>3.1396226415109356</c:v>
                </c:pt>
                <c:pt idx="52">
                  <c:v>3.2000000000015305</c:v>
                </c:pt>
                <c:pt idx="53">
                  <c:v>3.2627450980407762</c:v>
                </c:pt>
                <c:pt idx="54">
                  <c:v>3.3280000000015924</c:v>
                </c:pt>
                <c:pt idx="55">
                  <c:v>3.3959183673485636</c:v>
                </c:pt>
                <c:pt idx="56">
                  <c:v>3.4666666666683246</c:v>
                </c:pt>
                <c:pt idx="57">
                  <c:v>3.5404255319165876</c:v>
                </c:pt>
                <c:pt idx="58">
                  <c:v>3.6173913043495562</c:v>
                </c:pt>
                <c:pt idx="59">
                  <c:v>3.6977777777795464</c:v>
                </c:pt>
                <c:pt idx="60">
                  <c:v>3.7818181818199901</c:v>
                </c:pt>
                <c:pt idx="61">
                  <c:v>3.8697674418623165</c:v>
                </c:pt>
                <c:pt idx="62">
                  <c:v>3.9619047619066574</c:v>
                </c:pt>
                <c:pt idx="63">
                  <c:v>4.0585365853677953</c:v>
                </c:pt>
                <c:pt idx="64">
                  <c:v>4.1600000000019897</c:v>
                </c:pt>
                <c:pt idx="65">
                  <c:v>4.2666666666687076</c:v>
                </c:pt>
                <c:pt idx="66">
                  <c:v>4.3789473684231472</c:v>
                </c:pt>
                <c:pt idx="67">
                  <c:v>4.4972972972994478</c:v>
                </c:pt>
                <c:pt idx="68">
                  <c:v>4.6222222222244325</c:v>
                </c:pt>
                <c:pt idx="69">
                  <c:v>4.7542857142879882</c:v>
                </c:pt>
                <c:pt idx="70">
                  <c:v>4.894117647061166</c:v>
                </c:pt>
                <c:pt idx="71">
                  <c:v>5.0424242424266552</c:v>
                </c:pt>
                <c:pt idx="72">
                  <c:v>5.2000000000024862</c:v>
                </c:pt>
                <c:pt idx="73">
                  <c:v>5.3677419354864373</c:v>
                </c:pt>
                <c:pt idx="74">
                  <c:v>5.5466666666693207</c:v>
                </c:pt>
                <c:pt idx="75">
                  <c:v>5.7379310344855039</c:v>
                </c:pt>
                <c:pt idx="76">
                  <c:v>5.9428571428599861</c:v>
                </c:pt>
                <c:pt idx="77">
                  <c:v>6.1629629629659108</c:v>
                </c:pt>
                <c:pt idx="78">
                  <c:v>6.400000000003061</c:v>
                </c:pt>
                <c:pt idx="79">
                  <c:v>6.6560000000031838</c:v>
                </c:pt>
                <c:pt idx="80">
                  <c:v>6.9333333333366491</c:v>
                </c:pt>
                <c:pt idx="81">
                  <c:v>7.2347826086991116</c:v>
                </c:pt>
                <c:pt idx="82">
                  <c:v>7.5636363636399802</c:v>
                </c:pt>
                <c:pt idx="83">
                  <c:v>7.9238095238133175</c:v>
                </c:pt>
                <c:pt idx="84">
                  <c:v>8.3200000000039829</c:v>
                </c:pt>
                <c:pt idx="85">
                  <c:v>8.7578947368462909</c:v>
                </c:pt>
                <c:pt idx="86">
                  <c:v>9.2444444444488614</c:v>
                </c:pt>
                <c:pt idx="87">
                  <c:v>9.7882352941223321</c:v>
                </c:pt>
                <c:pt idx="88">
                  <c:v>10.400000000004976</c:v>
                </c:pt>
                <c:pt idx="89">
                  <c:v>11.093333333338641</c:v>
                </c:pt>
                <c:pt idx="90">
                  <c:v>11.885714285719972</c:v>
                </c:pt>
                <c:pt idx="91">
                  <c:v>12.800000000006122</c:v>
                </c:pt>
                <c:pt idx="92">
                  <c:v>13.866666666673298</c:v>
                </c:pt>
                <c:pt idx="93">
                  <c:v>15.12727272727996</c:v>
                </c:pt>
                <c:pt idx="94">
                  <c:v>16.640000000007955</c:v>
                </c:pt>
                <c:pt idx="95">
                  <c:v>18.488888888897723</c:v>
                </c:pt>
                <c:pt idx="96">
                  <c:v>20.80000000000997</c:v>
                </c:pt>
                <c:pt idx="97">
                  <c:v>23.771428571439966</c:v>
                </c:pt>
                <c:pt idx="98">
                  <c:v>27.733333333346565</c:v>
                </c:pt>
                <c:pt idx="99">
                  <c:v>33.28000000001586</c:v>
                </c:pt>
                <c:pt idx="100">
                  <c:v>41.600000000019939</c:v>
                </c:pt>
                <c:pt idx="101">
                  <c:v>55.466666666693257</c:v>
                </c:pt>
                <c:pt idx="102">
                  <c:v>83.200000000039879</c:v>
                </c:pt>
                <c:pt idx="103">
                  <c:v>166.40000000007976</c:v>
                </c:pt>
                <c:pt idx="104">
                  <c:v>0</c:v>
                </c:pt>
              </c:numCache>
            </c:numRef>
          </c:yVal>
          <c:smooth val="0"/>
          <c:extLst>
            <c:ext xmlns:c16="http://schemas.microsoft.com/office/drawing/2014/chart" uri="{C3380CC4-5D6E-409C-BE32-E72D297353CC}">
              <c16:uniqueId val="{00000000-7F48-4337-8891-69C88240DA73}"/>
            </c:ext>
          </c:extLst>
        </c:ser>
        <c:ser>
          <c:idx val="1"/>
          <c:order val="1"/>
          <c:tx>
            <c:v>FET Operating SOA Limit</c:v>
          </c:tx>
          <c:spPr>
            <a:ln w="25400">
              <a:solidFill>
                <a:srgbClr val="FF0000"/>
              </a:solidFill>
              <a:prstDash val="solid"/>
            </a:ln>
          </c:spPr>
          <c:marker>
            <c:symbol val="none"/>
          </c:marker>
          <c:xVal>
            <c:numRef>
              <c:f>Equations!$R$202:$R$306</c:f>
              <c:numCache>
                <c:formatCode>0.00</c:formatCode>
                <c:ptCount val="105"/>
                <c:pt idx="0">
                  <c:v>55</c:v>
                </c:pt>
                <c:pt idx="1">
                  <c:v>54.471153846153847</c:v>
                </c:pt>
                <c:pt idx="2">
                  <c:v>53.942307692307693</c:v>
                </c:pt>
                <c:pt idx="3">
                  <c:v>53.41346153846154</c:v>
                </c:pt>
                <c:pt idx="4">
                  <c:v>52.884615384615387</c:v>
                </c:pt>
                <c:pt idx="5">
                  <c:v>52.355769230769234</c:v>
                </c:pt>
                <c:pt idx="6">
                  <c:v>51.82692307692308</c:v>
                </c:pt>
                <c:pt idx="7">
                  <c:v>51.29807692307692</c:v>
                </c:pt>
                <c:pt idx="8">
                  <c:v>50.769230769230766</c:v>
                </c:pt>
                <c:pt idx="9">
                  <c:v>50.240384615384613</c:v>
                </c:pt>
                <c:pt idx="10">
                  <c:v>49.71153846153846</c:v>
                </c:pt>
                <c:pt idx="11">
                  <c:v>49.182692307692307</c:v>
                </c:pt>
                <c:pt idx="12">
                  <c:v>48.653846153846153</c:v>
                </c:pt>
                <c:pt idx="13">
                  <c:v>48.125</c:v>
                </c:pt>
                <c:pt idx="14">
                  <c:v>47.596153846153847</c:v>
                </c:pt>
                <c:pt idx="15">
                  <c:v>47.067307692307693</c:v>
                </c:pt>
                <c:pt idx="16">
                  <c:v>46.53846153846154</c:v>
                </c:pt>
                <c:pt idx="17">
                  <c:v>46.009615384615387</c:v>
                </c:pt>
                <c:pt idx="18">
                  <c:v>45.480769230769234</c:v>
                </c:pt>
                <c:pt idx="19">
                  <c:v>44.95192307692308</c:v>
                </c:pt>
                <c:pt idx="20">
                  <c:v>44.42307692307692</c:v>
                </c:pt>
                <c:pt idx="21">
                  <c:v>43.894230769230766</c:v>
                </c:pt>
                <c:pt idx="22">
                  <c:v>43.365384615384613</c:v>
                </c:pt>
                <c:pt idx="23">
                  <c:v>42.83653846153846</c:v>
                </c:pt>
                <c:pt idx="24">
                  <c:v>42.307692307692307</c:v>
                </c:pt>
                <c:pt idx="25">
                  <c:v>41.778846153846153</c:v>
                </c:pt>
                <c:pt idx="26">
                  <c:v>41.25</c:v>
                </c:pt>
                <c:pt idx="27">
                  <c:v>40.721153846153847</c:v>
                </c:pt>
                <c:pt idx="28">
                  <c:v>40.192307692307693</c:v>
                </c:pt>
                <c:pt idx="29">
                  <c:v>39.66346153846154</c:v>
                </c:pt>
                <c:pt idx="30">
                  <c:v>39.134615384615387</c:v>
                </c:pt>
                <c:pt idx="31">
                  <c:v>38.605769230769226</c:v>
                </c:pt>
                <c:pt idx="32">
                  <c:v>38.07692307692308</c:v>
                </c:pt>
                <c:pt idx="33">
                  <c:v>37.54807692307692</c:v>
                </c:pt>
                <c:pt idx="34">
                  <c:v>37.019230769230774</c:v>
                </c:pt>
                <c:pt idx="35">
                  <c:v>36.490384615384613</c:v>
                </c:pt>
                <c:pt idx="36">
                  <c:v>35.961538461538467</c:v>
                </c:pt>
                <c:pt idx="37">
                  <c:v>35.432692307692307</c:v>
                </c:pt>
                <c:pt idx="38">
                  <c:v>34.903846153846153</c:v>
                </c:pt>
                <c:pt idx="39">
                  <c:v>34.375</c:v>
                </c:pt>
                <c:pt idx="40">
                  <c:v>33.846153846153847</c:v>
                </c:pt>
                <c:pt idx="41">
                  <c:v>33.317307692307693</c:v>
                </c:pt>
                <c:pt idx="42">
                  <c:v>32.788461538461533</c:v>
                </c:pt>
                <c:pt idx="43">
                  <c:v>32.259615384615387</c:v>
                </c:pt>
                <c:pt idx="44">
                  <c:v>31.73076923076923</c:v>
                </c:pt>
                <c:pt idx="45">
                  <c:v>31.201923076923077</c:v>
                </c:pt>
                <c:pt idx="46">
                  <c:v>30.673076923076923</c:v>
                </c:pt>
                <c:pt idx="47">
                  <c:v>30.14423076923077</c:v>
                </c:pt>
                <c:pt idx="48">
                  <c:v>29.615384615384613</c:v>
                </c:pt>
                <c:pt idx="49">
                  <c:v>29.086538461538463</c:v>
                </c:pt>
                <c:pt idx="50">
                  <c:v>28.557692307692307</c:v>
                </c:pt>
                <c:pt idx="51">
                  <c:v>28.028846153846153</c:v>
                </c:pt>
                <c:pt idx="52">
                  <c:v>27.5</c:v>
                </c:pt>
                <c:pt idx="53">
                  <c:v>26.971153846153847</c:v>
                </c:pt>
                <c:pt idx="54">
                  <c:v>26.44230769230769</c:v>
                </c:pt>
                <c:pt idx="55">
                  <c:v>25.913461538461537</c:v>
                </c:pt>
                <c:pt idx="56">
                  <c:v>25.384615384615387</c:v>
                </c:pt>
                <c:pt idx="57">
                  <c:v>24.855769230769226</c:v>
                </c:pt>
                <c:pt idx="58">
                  <c:v>24.326923076923077</c:v>
                </c:pt>
                <c:pt idx="59">
                  <c:v>23.798076923076923</c:v>
                </c:pt>
                <c:pt idx="60">
                  <c:v>23.269230769230774</c:v>
                </c:pt>
                <c:pt idx="61">
                  <c:v>22.740384615384613</c:v>
                </c:pt>
                <c:pt idx="62">
                  <c:v>22.21153846153846</c:v>
                </c:pt>
                <c:pt idx="63">
                  <c:v>21.682692307692307</c:v>
                </c:pt>
                <c:pt idx="64">
                  <c:v>21.153846153846153</c:v>
                </c:pt>
                <c:pt idx="65">
                  <c:v>20.625</c:v>
                </c:pt>
                <c:pt idx="66">
                  <c:v>20.096153846153847</c:v>
                </c:pt>
                <c:pt idx="67">
                  <c:v>19.567307692307693</c:v>
                </c:pt>
                <c:pt idx="68">
                  <c:v>19.03846153846154</c:v>
                </c:pt>
                <c:pt idx="69">
                  <c:v>18.509615384615387</c:v>
                </c:pt>
                <c:pt idx="70">
                  <c:v>17.980769230769226</c:v>
                </c:pt>
                <c:pt idx="71">
                  <c:v>17.451923076923073</c:v>
                </c:pt>
                <c:pt idx="72">
                  <c:v>16.923076923076927</c:v>
                </c:pt>
                <c:pt idx="73">
                  <c:v>16.394230769230774</c:v>
                </c:pt>
                <c:pt idx="74">
                  <c:v>15.865384615384613</c:v>
                </c:pt>
                <c:pt idx="75">
                  <c:v>15.33653846153846</c:v>
                </c:pt>
                <c:pt idx="76">
                  <c:v>14.807692307692307</c:v>
                </c:pt>
                <c:pt idx="77">
                  <c:v>14.278846153846153</c:v>
                </c:pt>
                <c:pt idx="78">
                  <c:v>13.75</c:v>
                </c:pt>
                <c:pt idx="79">
                  <c:v>13.221153846153847</c:v>
                </c:pt>
                <c:pt idx="80">
                  <c:v>12.692307692307693</c:v>
                </c:pt>
                <c:pt idx="81">
                  <c:v>12.16346153846154</c:v>
                </c:pt>
                <c:pt idx="82">
                  <c:v>11.634615384615387</c:v>
                </c:pt>
                <c:pt idx="83">
                  <c:v>11.105769230769226</c:v>
                </c:pt>
                <c:pt idx="84">
                  <c:v>10.576923076923073</c:v>
                </c:pt>
                <c:pt idx="85">
                  <c:v>10.048076923076927</c:v>
                </c:pt>
                <c:pt idx="86">
                  <c:v>9.5192307692307736</c:v>
                </c:pt>
                <c:pt idx="87">
                  <c:v>8.9903846153846132</c:v>
                </c:pt>
                <c:pt idx="88">
                  <c:v>8.4615384615384599</c:v>
                </c:pt>
                <c:pt idx="89">
                  <c:v>7.9326923076923066</c:v>
                </c:pt>
                <c:pt idx="90">
                  <c:v>7.4038461538461533</c:v>
                </c:pt>
                <c:pt idx="91">
                  <c:v>6.875</c:v>
                </c:pt>
                <c:pt idx="92">
                  <c:v>6.3461538461538467</c:v>
                </c:pt>
                <c:pt idx="93">
                  <c:v>5.8173076923076934</c:v>
                </c:pt>
                <c:pt idx="94">
                  <c:v>5.2884615384615401</c:v>
                </c:pt>
                <c:pt idx="95">
                  <c:v>4.7596153846153868</c:v>
                </c:pt>
                <c:pt idx="96">
                  <c:v>4.2307692307692264</c:v>
                </c:pt>
                <c:pt idx="97">
                  <c:v>3.7019230769230731</c:v>
                </c:pt>
                <c:pt idx="98">
                  <c:v>3.1730769230769269</c:v>
                </c:pt>
                <c:pt idx="99">
                  <c:v>2.6442307692307736</c:v>
                </c:pt>
                <c:pt idx="100">
                  <c:v>2.1153846153846132</c:v>
                </c:pt>
                <c:pt idx="101">
                  <c:v>1.5865384615384599</c:v>
                </c:pt>
                <c:pt idx="102">
                  <c:v>1.0576923076923066</c:v>
                </c:pt>
                <c:pt idx="103">
                  <c:v>0.5288461538461533</c:v>
                </c:pt>
                <c:pt idx="104">
                  <c:v>0</c:v>
                </c:pt>
              </c:numCache>
            </c:numRef>
          </c:xVal>
          <c:yVal>
            <c:numRef>
              <c:f>Equations!$T$202:$T$306</c:f>
              <c:numCache>
                <c:formatCode>0.00</c:formatCode>
                <c:ptCount val="105"/>
                <c:pt idx="0">
                  <c:v>7</c:v>
                </c:pt>
                <c:pt idx="1">
                  <c:v>7</c:v>
                </c:pt>
                <c:pt idx="2">
                  <c:v>7</c:v>
                </c:pt>
                <c:pt idx="3">
                  <c:v>7</c:v>
                </c:pt>
                <c:pt idx="4">
                  <c:v>7</c:v>
                </c:pt>
                <c:pt idx="5">
                  <c:v>7</c:v>
                </c:pt>
                <c:pt idx="6">
                  <c:v>7</c:v>
                </c:pt>
                <c:pt idx="7">
                  <c:v>7</c:v>
                </c:pt>
                <c:pt idx="8">
                  <c:v>7</c:v>
                </c:pt>
                <c:pt idx="9">
                  <c:v>7</c:v>
                </c:pt>
                <c:pt idx="10">
                  <c:v>7</c:v>
                </c:pt>
                <c:pt idx="11">
                  <c:v>7</c:v>
                </c:pt>
                <c:pt idx="12">
                  <c:v>9.115384615384615</c:v>
                </c:pt>
                <c:pt idx="13">
                  <c:v>9.2916666666666661</c:v>
                </c:pt>
                <c:pt idx="14">
                  <c:v>9.4679487179487172</c:v>
                </c:pt>
                <c:pt idx="15">
                  <c:v>9.6442307692307683</c:v>
                </c:pt>
                <c:pt idx="16">
                  <c:v>9.8205128205128212</c:v>
                </c:pt>
                <c:pt idx="17">
                  <c:v>9.9967948717948723</c:v>
                </c:pt>
                <c:pt idx="18">
                  <c:v>10.173076923076923</c:v>
                </c:pt>
                <c:pt idx="19">
                  <c:v>10.349358974358974</c:v>
                </c:pt>
                <c:pt idx="20">
                  <c:v>10.525641025641026</c:v>
                </c:pt>
                <c:pt idx="21">
                  <c:v>10.701923076923077</c:v>
                </c:pt>
                <c:pt idx="22">
                  <c:v>10.878205128205128</c:v>
                </c:pt>
                <c:pt idx="23">
                  <c:v>11.054487179487179</c:v>
                </c:pt>
                <c:pt idx="24">
                  <c:v>11.23076923076923</c:v>
                </c:pt>
                <c:pt idx="25">
                  <c:v>11.407051282051281</c:v>
                </c:pt>
                <c:pt idx="26">
                  <c:v>11.583333333333332</c:v>
                </c:pt>
                <c:pt idx="27">
                  <c:v>11.759615384615385</c:v>
                </c:pt>
                <c:pt idx="28">
                  <c:v>11.935897435897434</c:v>
                </c:pt>
                <c:pt idx="29">
                  <c:v>12.112179487179487</c:v>
                </c:pt>
                <c:pt idx="30">
                  <c:v>12.288461538461537</c:v>
                </c:pt>
                <c:pt idx="31">
                  <c:v>12.464743589743591</c:v>
                </c:pt>
                <c:pt idx="32">
                  <c:v>12.641025641025642</c:v>
                </c:pt>
                <c:pt idx="33">
                  <c:v>12.817307692307693</c:v>
                </c:pt>
                <c:pt idx="34">
                  <c:v>12.993589743589745</c:v>
                </c:pt>
                <c:pt idx="35">
                  <c:v>13.169871794871796</c:v>
                </c:pt>
                <c:pt idx="36">
                  <c:v>13.346153846153847</c:v>
                </c:pt>
                <c:pt idx="37">
                  <c:v>13.522435897435898</c:v>
                </c:pt>
                <c:pt idx="38">
                  <c:v>13.698717948717949</c:v>
                </c:pt>
                <c:pt idx="39">
                  <c:v>13.875</c:v>
                </c:pt>
                <c:pt idx="40">
                  <c:v>14.051282051282051</c:v>
                </c:pt>
                <c:pt idx="41">
                  <c:v>14.227564102564102</c:v>
                </c:pt>
                <c:pt idx="42">
                  <c:v>14.403846153846153</c:v>
                </c:pt>
                <c:pt idx="43">
                  <c:v>14.580128205128204</c:v>
                </c:pt>
                <c:pt idx="44">
                  <c:v>14.756410256410255</c:v>
                </c:pt>
                <c:pt idx="45">
                  <c:v>14.932692307692307</c:v>
                </c:pt>
                <c:pt idx="46">
                  <c:v>15.108974358974359</c:v>
                </c:pt>
                <c:pt idx="47">
                  <c:v>15.285256410256411</c:v>
                </c:pt>
                <c:pt idx="48">
                  <c:v>15.461538461538462</c:v>
                </c:pt>
                <c:pt idx="49">
                  <c:v>15.637820512820513</c:v>
                </c:pt>
                <c:pt idx="50">
                  <c:v>15.814102564102564</c:v>
                </c:pt>
                <c:pt idx="51">
                  <c:v>15.990384615384615</c:v>
                </c:pt>
                <c:pt idx="52">
                  <c:v>16.166666666666664</c:v>
                </c:pt>
                <c:pt idx="53">
                  <c:v>16.342948717948715</c:v>
                </c:pt>
                <c:pt idx="54">
                  <c:v>16.51923076923077</c:v>
                </c:pt>
                <c:pt idx="55">
                  <c:v>16.695512820512821</c:v>
                </c:pt>
                <c:pt idx="56">
                  <c:v>16.871794871794869</c:v>
                </c:pt>
                <c:pt idx="57">
                  <c:v>17.048076923076927</c:v>
                </c:pt>
                <c:pt idx="58">
                  <c:v>17.224358974358974</c:v>
                </c:pt>
                <c:pt idx="59">
                  <c:v>17.400641025641026</c:v>
                </c:pt>
                <c:pt idx="60">
                  <c:v>17.576923076923073</c:v>
                </c:pt>
                <c:pt idx="61">
                  <c:v>17.753205128205131</c:v>
                </c:pt>
                <c:pt idx="62">
                  <c:v>17.929487179487182</c:v>
                </c:pt>
                <c:pt idx="63">
                  <c:v>18.105769230769234</c:v>
                </c:pt>
                <c:pt idx="64">
                  <c:v>18.282051282051285</c:v>
                </c:pt>
                <c:pt idx="65">
                  <c:v>18.458333333333336</c:v>
                </c:pt>
                <c:pt idx="66">
                  <c:v>18.634615384615387</c:v>
                </c:pt>
                <c:pt idx="67">
                  <c:v>18.810897435897438</c:v>
                </c:pt>
                <c:pt idx="68">
                  <c:v>18.987179487179489</c:v>
                </c:pt>
                <c:pt idx="69">
                  <c:v>19.16346153846154</c:v>
                </c:pt>
                <c:pt idx="70">
                  <c:v>19.339743589743591</c:v>
                </c:pt>
                <c:pt idx="71">
                  <c:v>19.516025641025642</c:v>
                </c:pt>
                <c:pt idx="72">
                  <c:v>19.692307692307693</c:v>
                </c:pt>
                <c:pt idx="73">
                  <c:v>19.868589743589745</c:v>
                </c:pt>
                <c:pt idx="74">
                  <c:v>20.044871794871796</c:v>
                </c:pt>
                <c:pt idx="75">
                  <c:v>20.221153846153847</c:v>
                </c:pt>
                <c:pt idx="76">
                  <c:v>20.397435897435898</c:v>
                </c:pt>
                <c:pt idx="77">
                  <c:v>20.573717948717949</c:v>
                </c:pt>
                <c:pt idx="78">
                  <c:v>20.75</c:v>
                </c:pt>
                <c:pt idx="79">
                  <c:v>20.926282051282051</c:v>
                </c:pt>
                <c:pt idx="80">
                  <c:v>21.102564102564102</c:v>
                </c:pt>
                <c:pt idx="81">
                  <c:v>21.278846153846153</c:v>
                </c:pt>
                <c:pt idx="82">
                  <c:v>21.455128205128204</c:v>
                </c:pt>
                <c:pt idx="83">
                  <c:v>21.631410256410255</c:v>
                </c:pt>
                <c:pt idx="84">
                  <c:v>21.807692307692307</c:v>
                </c:pt>
                <c:pt idx="85">
                  <c:v>21.983974358974358</c:v>
                </c:pt>
                <c:pt idx="86">
                  <c:v>22.160256410256409</c:v>
                </c:pt>
                <c:pt idx="87">
                  <c:v>22.33653846153846</c:v>
                </c:pt>
                <c:pt idx="88">
                  <c:v>22.512820512820511</c:v>
                </c:pt>
                <c:pt idx="89">
                  <c:v>22.689102564102562</c:v>
                </c:pt>
                <c:pt idx="90">
                  <c:v>22.865384615384613</c:v>
                </c:pt>
                <c:pt idx="91">
                  <c:v>23.041666666666668</c:v>
                </c:pt>
                <c:pt idx="92">
                  <c:v>23.217948717948719</c:v>
                </c:pt>
                <c:pt idx="93">
                  <c:v>23.39423076923077</c:v>
                </c:pt>
                <c:pt idx="94">
                  <c:v>23.570512820512821</c:v>
                </c:pt>
                <c:pt idx="95">
                  <c:v>23.746794871794872</c:v>
                </c:pt>
                <c:pt idx="96">
                  <c:v>23.923076923076923</c:v>
                </c:pt>
                <c:pt idx="97">
                  <c:v>24.099358974358974</c:v>
                </c:pt>
                <c:pt idx="98">
                  <c:v>24.275641025641026</c:v>
                </c:pt>
                <c:pt idx="99">
                  <c:v>24.451923076923077</c:v>
                </c:pt>
                <c:pt idx="100">
                  <c:v>24.628205128205128</c:v>
                </c:pt>
                <c:pt idx="101">
                  <c:v>24.804487179487179</c:v>
                </c:pt>
                <c:pt idx="102">
                  <c:v>24.98076923076923</c:v>
                </c:pt>
                <c:pt idx="103">
                  <c:v>25.157051282051281</c:v>
                </c:pt>
                <c:pt idx="104">
                  <c:v>25.333333333333332</c:v>
                </c:pt>
              </c:numCache>
            </c:numRef>
          </c:yVal>
          <c:smooth val="0"/>
          <c:extLst>
            <c:ext xmlns:c16="http://schemas.microsoft.com/office/drawing/2014/chart" uri="{C3380CC4-5D6E-409C-BE32-E72D297353CC}">
              <c16:uniqueId val="{00000001-7F48-4337-8891-69C88240DA73}"/>
            </c:ext>
          </c:extLst>
        </c:ser>
        <c:dLbls>
          <c:showLegendKey val="0"/>
          <c:showVal val="0"/>
          <c:showCatName val="0"/>
          <c:showSerName val="0"/>
          <c:showPercent val="0"/>
          <c:showBubbleSize val="0"/>
        </c:dLbls>
        <c:axId val="177332224"/>
        <c:axId val="177334528"/>
      </c:scatterChart>
      <c:valAx>
        <c:axId val="177332224"/>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07"/>
              <c:y val="0.94029461520736024"/>
            </c:manualLayout>
          </c:layout>
          <c:overlay val="0"/>
          <c:spPr>
            <a:noFill/>
            <a:ln w="25400">
              <a:noFill/>
            </a:ln>
          </c:spPr>
        </c:title>
        <c:numFmt formatCode="0.0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7334528"/>
        <c:crossesAt val="0.1"/>
        <c:crossBetween val="midCat"/>
      </c:valAx>
      <c:valAx>
        <c:axId val="177334528"/>
        <c:scaling>
          <c:logBase val="10"/>
          <c:orientation val="minMax"/>
          <c:max val="1000"/>
          <c:min val="0.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2E-2"/>
              <c:y val="0.21497860712616401"/>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7332224"/>
        <c:crosses val="autoZero"/>
        <c:crossBetween val="midCat"/>
      </c:valAx>
      <c:spPr>
        <a:solidFill>
          <a:srgbClr val="FFFFFF"/>
        </a:solidFill>
        <a:ln w="12700">
          <a:solidFill>
            <a:srgbClr val="808080"/>
          </a:solidFill>
          <a:prstDash val="solid"/>
        </a:ln>
      </c:spPr>
    </c:plotArea>
    <c:legend>
      <c:legendPos val="r"/>
      <c:layout>
        <c:manualLayout>
          <c:xMode val="edge"/>
          <c:yMode val="edge"/>
          <c:x val="0.43686657794363282"/>
          <c:y val="5.8933081466572397E-2"/>
          <c:w val="0.5171341264823649"/>
          <c:h val="0.22644573436605386"/>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37"/>
          <c:y val="3.0591748387251084E-2"/>
        </c:manualLayout>
      </c:layout>
      <c:overlay val="1"/>
      <c:spPr>
        <a:solidFill>
          <a:schemeClr val="bg1"/>
        </a:solidFill>
      </c:spPr>
    </c:title>
    <c:autoTitleDeleted val="0"/>
    <c:plotArea>
      <c:layout>
        <c:manualLayout>
          <c:layoutTarget val="inner"/>
          <c:xMode val="edge"/>
          <c:yMode val="edge"/>
          <c:x val="0.15203109554174482"/>
          <c:y val="0.13835811263066838"/>
          <c:w val="0.76865751103613689"/>
          <c:h val="0.70165890209112658"/>
        </c:manualLayout>
      </c:layout>
      <c:scatterChart>
        <c:scatterStyle val="smoothMarker"/>
        <c:varyColors val="0"/>
        <c:ser>
          <c:idx val="0"/>
          <c:order val="0"/>
          <c:tx>
            <c:strRef>
              <c:f>Start_up!$C$7</c:f>
              <c:strCache>
                <c:ptCount val="1"/>
                <c:pt idx="0">
                  <c:v>ILOAD</c:v>
                </c:pt>
              </c:strCache>
            </c:strRef>
          </c:tx>
          <c:marker>
            <c:symbol val="none"/>
          </c:marker>
          <c:xVal>
            <c:numRef>
              <c:f>Start_up!$B$10:$B$114</c:f>
              <c:numCache>
                <c:formatCode>0.00</c:formatCode>
                <c:ptCount val="105"/>
                <c:pt idx="0">
                  <c:v>0</c:v>
                </c:pt>
                <c:pt idx="1">
                  <c:v>0.52884615384615385</c:v>
                </c:pt>
                <c:pt idx="2">
                  <c:v>1.0576923076923077</c:v>
                </c:pt>
                <c:pt idx="3">
                  <c:v>1.5865384615384617</c:v>
                </c:pt>
                <c:pt idx="4">
                  <c:v>2.1153846153846154</c:v>
                </c:pt>
                <c:pt idx="5">
                  <c:v>2.6442307692307692</c:v>
                </c:pt>
                <c:pt idx="6">
                  <c:v>3.1730769230769234</c:v>
                </c:pt>
                <c:pt idx="7">
                  <c:v>3.7019230769230766</c:v>
                </c:pt>
                <c:pt idx="8">
                  <c:v>4.2307692307692308</c:v>
                </c:pt>
                <c:pt idx="9">
                  <c:v>4.7596153846153841</c:v>
                </c:pt>
                <c:pt idx="10">
                  <c:v>5.2884615384615383</c:v>
                </c:pt>
                <c:pt idx="11">
                  <c:v>5.8173076923076925</c:v>
                </c:pt>
                <c:pt idx="12">
                  <c:v>6.3461538461538467</c:v>
                </c:pt>
                <c:pt idx="13">
                  <c:v>6.875</c:v>
                </c:pt>
                <c:pt idx="14">
                  <c:v>7.4038461538461533</c:v>
                </c:pt>
                <c:pt idx="15">
                  <c:v>7.9326923076923066</c:v>
                </c:pt>
                <c:pt idx="16">
                  <c:v>8.4615384615384617</c:v>
                </c:pt>
                <c:pt idx="17">
                  <c:v>8.990384615384615</c:v>
                </c:pt>
                <c:pt idx="18">
                  <c:v>9.5192307692307683</c:v>
                </c:pt>
                <c:pt idx="19">
                  <c:v>10.048076923076923</c:v>
                </c:pt>
                <c:pt idx="20">
                  <c:v>10.576923076923077</c:v>
                </c:pt>
                <c:pt idx="21">
                  <c:v>11.105769230769232</c:v>
                </c:pt>
                <c:pt idx="22">
                  <c:v>11.634615384615385</c:v>
                </c:pt>
                <c:pt idx="23">
                  <c:v>12.163461538461538</c:v>
                </c:pt>
                <c:pt idx="24">
                  <c:v>12.692307692307693</c:v>
                </c:pt>
                <c:pt idx="25">
                  <c:v>13.221153846153847</c:v>
                </c:pt>
                <c:pt idx="26">
                  <c:v>13.75</c:v>
                </c:pt>
                <c:pt idx="27">
                  <c:v>14.278846153846155</c:v>
                </c:pt>
                <c:pt idx="28">
                  <c:v>14.807692307692307</c:v>
                </c:pt>
                <c:pt idx="29">
                  <c:v>15.336538461538462</c:v>
                </c:pt>
                <c:pt idx="30">
                  <c:v>15.865384615384613</c:v>
                </c:pt>
                <c:pt idx="31">
                  <c:v>16.39423076923077</c:v>
                </c:pt>
                <c:pt idx="32">
                  <c:v>16.923076923076923</c:v>
                </c:pt>
                <c:pt idx="33">
                  <c:v>17.451923076923077</c:v>
                </c:pt>
                <c:pt idx="34">
                  <c:v>17.98076923076923</c:v>
                </c:pt>
                <c:pt idx="35">
                  <c:v>18.509615384615387</c:v>
                </c:pt>
                <c:pt idx="36">
                  <c:v>19.038461538461537</c:v>
                </c:pt>
                <c:pt idx="37">
                  <c:v>19.567307692307693</c:v>
                </c:pt>
                <c:pt idx="38">
                  <c:v>20.096153846153847</c:v>
                </c:pt>
                <c:pt idx="39">
                  <c:v>20.625</c:v>
                </c:pt>
                <c:pt idx="40">
                  <c:v>21.153846153846153</c:v>
                </c:pt>
                <c:pt idx="41">
                  <c:v>21.682692307692307</c:v>
                </c:pt>
                <c:pt idx="42">
                  <c:v>22.211538461538463</c:v>
                </c:pt>
                <c:pt idx="43">
                  <c:v>22.740384615384613</c:v>
                </c:pt>
                <c:pt idx="44">
                  <c:v>23.26923076923077</c:v>
                </c:pt>
                <c:pt idx="45">
                  <c:v>23.798076923076923</c:v>
                </c:pt>
                <c:pt idx="46">
                  <c:v>24.326923076923077</c:v>
                </c:pt>
                <c:pt idx="47">
                  <c:v>24.85576923076923</c:v>
                </c:pt>
                <c:pt idx="48">
                  <c:v>25.384615384615387</c:v>
                </c:pt>
                <c:pt idx="49">
                  <c:v>25.913461538461537</c:v>
                </c:pt>
                <c:pt idx="50">
                  <c:v>26.442307692307693</c:v>
                </c:pt>
                <c:pt idx="51">
                  <c:v>26.971153846153847</c:v>
                </c:pt>
                <c:pt idx="52">
                  <c:v>27.5</c:v>
                </c:pt>
                <c:pt idx="53">
                  <c:v>28.028846153846153</c:v>
                </c:pt>
                <c:pt idx="54">
                  <c:v>28.55769230769231</c:v>
                </c:pt>
                <c:pt idx="55">
                  <c:v>29.086538461538463</c:v>
                </c:pt>
                <c:pt idx="56">
                  <c:v>29.615384615384613</c:v>
                </c:pt>
                <c:pt idx="57">
                  <c:v>30.144230769230774</c:v>
                </c:pt>
                <c:pt idx="58">
                  <c:v>30.673076923076923</c:v>
                </c:pt>
                <c:pt idx="59">
                  <c:v>31.201923076923077</c:v>
                </c:pt>
                <c:pt idx="60">
                  <c:v>31.730769230769226</c:v>
                </c:pt>
                <c:pt idx="61">
                  <c:v>32.259615384615387</c:v>
                </c:pt>
                <c:pt idx="62">
                  <c:v>32.78846153846154</c:v>
                </c:pt>
                <c:pt idx="63">
                  <c:v>33.317307692307693</c:v>
                </c:pt>
                <c:pt idx="64">
                  <c:v>33.846153846153847</c:v>
                </c:pt>
                <c:pt idx="65">
                  <c:v>34.375</c:v>
                </c:pt>
                <c:pt idx="66">
                  <c:v>34.903846153846153</c:v>
                </c:pt>
                <c:pt idx="67">
                  <c:v>35.432692307692307</c:v>
                </c:pt>
                <c:pt idx="68">
                  <c:v>35.96153846153846</c:v>
                </c:pt>
                <c:pt idx="69">
                  <c:v>36.490384615384613</c:v>
                </c:pt>
                <c:pt idx="70">
                  <c:v>37.019230769230774</c:v>
                </c:pt>
                <c:pt idx="71">
                  <c:v>37.548076923076927</c:v>
                </c:pt>
                <c:pt idx="72">
                  <c:v>38.076923076923073</c:v>
                </c:pt>
                <c:pt idx="73">
                  <c:v>38.605769230769226</c:v>
                </c:pt>
                <c:pt idx="74">
                  <c:v>39.134615384615387</c:v>
                </c:pt>
                <c:pt idx="75">
                  <c:v>39.66346153846154</c:v>
                </c:pt>
                <c:pt idx="76">
                  <c:v>40.192307692307693</c:v>
                </c:pt>
                <c:pt idx="77">
                  <c:v>40.721153846153847</c:v>
                </c:pt>
                <c:pt idx="78">
                  <c:v>41.25</c:v>
                </c:pt>
                <c:pt idx="79">
                  <c:v>41.778846153846153</c:v>
                </c:pt>
                <c:pt idx="80">
                  <c:v>42.307692307692307</c:v>
                </c:pt>
                <c:pt idx="81">
                  <c:v>42.83653846153846</c:v>
                </c:pt>
                <c:pt idx="82">
                  <c:v>43.365384615384613</c:v>
                </c:pt>
                <c:pt idx="83">
                  <c:v>43.894230769230774</c:v>
                </c:pt>
                <c:pt idx="84">
                  <c:v>44.423076923076927</c:v>
                </c:pt>
                <c:pt idx="85">
                  <c:v>44.951923076923073</c:v>
                </c:pt>
                <c:pt idx="86">
                  <c:v>45.480769230769226</c:v>
                </c:pt>
                <c:pt idx="87">
                  <c:v>46.009615384615387</c:v>
                </c:pt>
                <c:pt idx="88">
                  <c:v>46.53846153846154</c:v>
                </c:pt>
                <c:pt idx="89">
                  <c:v>47.067307692307693</c:v>
                </c:pt>
                <c:pt idx="90">
                  <c:v>47.596153846153847</c:v>
                </c:pt>
                <c:pt idx="91">
                  <c:v>48.125</c:v>
                </c:pt>
                <c:pt idx="92">
                  <c:v>48.653846153846153</c:v>
                </c:pt>
                <c:pt idx="93">
                  <c:v>49.182692307692307</c:v>
                </c:pt>
                <c:pt idx="94">
                  <c:v>49.71153846153846</c:v>
                </c:pt>
                <c:pt idx="95">
                  <c:v>50.240384615384613</c:v>
                </c:pt>
                <c:pt idx="96">
                  <c:v>50.769230769230774</c:v>
                </c:pt>
                <c:pt idx="97">
                  <c:v>51.298076923076927</c:v>
                </c:pt>
                <c:pt idx="98">
                  <c:v>51.826923076923073</c:v>
                </c:pt>
                <c:pt idx="99">
                  <c:v>52.355769230769226</c:v>
                </c:pt>
                <c:pt idx="100">
                  <c:v>52.884615384615387</c:v>
                </c:pt>
                <c:pt idx="101">
                  <c:v>53.41346153846154</c:v>
                </c:pt>
                <c:pt idx="102">
                  <c:v>53.942307692307693</c:v>
                </c:pt>
                <c:pt idx="103">
                  <c:v>54.471153846153847</c:v>
                </c:pt>
                <c:pt idx="104">
                  <c:v>55</c:v>
                </c:pt>
              </c:numCache>
            </c:numRef>
          </c:xVal>
          <c:yVal>
            <c:numRef>
              <c:f>Start_up!$C$10:$C$114</c:f>
              <c:numCache>
                <c:formatCode>0.000</c:formatCode>
                <c:ptCount val="105"/>
                <c:pt idx="0">
                  <c:v>0</c:v>
                </c:pt>
                <c:pt idx="1">
                  <c:v>0</c:v>
                </c:pt>
                <c:pt idx="2">
                  <c:v>0</c:v>
                </c:pt>
                <c:pt idx="3">
                  <c:v>0</c:v>
                </c:pt>
                <c:pt idx="4">
                  <c:v>0</c:v>
                </c:pt>
                <c:pt idx="5">
                  <c:v>0</c:v>
                </c:pt>
                <c:pt idx="6">
                  <c:v>0</c:v>
                </c:pt>
                <c:pt idx="7">
                  <c:v>0</c:v>
                </c:pt>
                <c:pt idx="8">
                  <c:v>0</c:v>
                </c:pt>
                <c:pt idx="9">
                  <c:v>0</c:v>
                </c:pt>
                <c:pt idx="10">
                  <c:v>0</c:v>
                </c:pt>
                <c:pt idx="11">
                  <c:v>0</c:v>
                </c:pt>
                <c:pt idx="12">
                  <c:v>2.1153846153846154</c:v>
                </c:pt>
                <c:pt idx="13">
                  <c:v>2.2916666666666665</c:v>
                </c:pt>
                <c:pt idx="14">
                  <c:v>2.4679487179487176</c:v>
                </c:pt>
                <c:pt idx="15">
                  <c:v>2.6442307692307687</c:v>
                </c:pt>
                <c:pt idx="16">
                  <c:v>2.8205128205128207</c:v>
                </c:pt>
                <c:pt idx="17">
                  <c:v>2.9967948717948718</c:v>
                </c:pt>
                <c:pt idx="18">
                  <c:v>3.1730769230769229</c:v>
                </c:pt>
                <c:pt idx="19">
                  <c:v>3.3493589743589745</c:v>
                </c:pt>
                <c:pt idx="20">
                  <c:v>3.5256410256410255</c:v>
                </c:pt>
                <c:pt idx="21">
                  <c:v>3.7019230769230771</c:v>
                </c:pt>
                <c:pt idx="22">
                  <c:v>3.8782051282051282</c:v>
                </c:pt>
                <c:pt idx="23">
                  <c:v>4.0544871794871797</c:v>
                </c:pt>
                <c:pt idx="24">
                  <c:v>4.2307692307692308</c:v>
                </c:pt>
                <c:pt idx="25">
                  <c:v>4.4070512820512819</c:v>
                </c:pt>
                <c:pt idx="26">
                  <c:v>4.583333333333333</c:v>
                </c:pt>
                <c:pt idx="27">
                  <c:v>4.759615384615385</c:v>
                </c:pt>
                <c:pt idx="28">
                  <c:v>4.9358974358974352</c:v>
                </c:pt>
                <c:pt idx="29">
                  <c:v>5.1121794871794872</c:v>
                </c:pt>
                <c:pt idx="30">
                  <c:v>5.2884615384615374</c:v>
                </c:pt>
                <c:pt idx="31">
                  <c:v>5.4647435897435903</c:v>
                </c:pt>
                <c:pt idx="32">
                  <c:v>5.6410256410256414</c:v>
                </c:pt>
                <c:pt idx="33">
                  <c:v>5.8173076923076925</c:v>
                </c:pt>
                <c:pt idx="34">
                  <c:v>5.9935897435897436</c:v>
                </c:pt>
                <c:pt idx="35">
                  <c:v>6.1698717948717956</c:v>
                </c:pt>
                <c:pt idx="36">
                  <c:v>6.3461538461538458</c:v>
                </c:pt>
                <c:pt idx="37">
                  <c:v>6.5224358974358978</c:v>
                </c:pt>
                <c:pt idx="38">
                  <c:v>6.6987179487179489</c:v>
                </c:pt>
                <c:pt idx="39">
                  <c:v>6.875</c:v>
                </c:pt>
                <c:pt idx="40">
                  <c:v>7.0512820512820511</c:v>
                </c:pt>
                <c:pt idx="41">
                  <c:v>7.2275641025641022</c:v>
                </c:pt>
                <c:pt idx="42">
                  <c:v>7.4038461538461542</c:v>
                </c:pt>
                <c:pt idx="43">
                  <c:v>7.5801282051282044</c:v>
                </c:pt>
                <c:pt idx="44">
                  <c:v>7.7564102564102564</c:v>
                </c:pt>
                <c:pt idx="45">
                  <c:v>7.9326923076923075</c:v>
                </c:pt>
                <c:pt idx="46">
                  <c:v>8.1089743589743595</c:v>
                </c:pt>
                <c:pt idx="47">
                  <c:v>8.2852564102564106</c:v>
                </c:pt>
                <c:pt idx="48">
                  <c:v>8.4615384615384617</c:v>
                </c:pt>
                <c:pt idx="49">
                  <c:v>8.6378205128205128</c:v>
                </c:pt>
                <c:pt idx="50">
                  <c:v>8.8141025641025639</c:v>
                </c:pt>
                <c:pt idx="51">
                  <c:v>8.990384615384615</c:v>
                </c:pt>
                <c:pt idx="52">
                  <c:v>9.1666666666666661</c:v>
                </c:pt>
                <c:pt idx="53">
                  <c:v>9.3429487179487172</c:v>
                </c:pt>
                <c:pt idx="54">
                  <c:v>9.5192307692307701</c:v>
                </c:pt>
                <c:pt idx="55">
                  <c:v>9.6955128205128212</c:v>
                </c:pt>
                <c:pt idx="56">
                  <c:v>9.8717948717948705</c:v>
                </c:pt>
                <c:pt idx="57">
                  <c:v>10.048076923076925</c:v>
                </c:pt>
                <c:pt idx="58">
                  <c:v>10.224358974358974</c:v>
                </c:pt>
                <c:pt idx="59">
                  <c:v>10.400641025641026</c:v>
                </c:pt>
                <c:pt idx="60">
                  <c:v>10.576923076923075</c:v>
                </c:pt>
                <c:pt idx="61">
                  <c:v>10.75320512820513</c:v>
                </c:pt>
                <c:pt idx="62">
                  <c:v>10.929487179487181</c:v>
                </c:pt>
                <c:pt idx="63">
                  <c:v>11.105769230769232</c:v>
                </c:pt>
                <c:pt idx="64">
                  <c:v>11.282051282051283</c:v>
                </c:pt>
                <c:pt idx="65">
                  <c:v>11.458333333333334</c:v>
                </c:pt>
                <c:pt idx="66">
                  <c:v>11.634615384615385</c:v>
                </c:pt>
                <c:pt idx="67">
                  <c:v>11.810897435897436</c:v>
                </c:pt>
                <c:pt idx="68">
                  <c:v>11.987179487179487</c:v>
                </c:pt>
                <c:pt idx="69">
                  <c:v>12.163461538461538</c:v>
                </c:pt>
                <c:pt idx="70">
                  <c:v>12.339743589743591</c:v>
                </c:pt>
                <c:pt idx="71">
                  <c:v>12.516025641025642</c:v>
                </c:pt>
                <c:pt idx="72">
                  <c:v>12.692307692307692</c:v>
                </c:pt>
                <c:pt idx="73">
                  <c:v>12.868589743589743</c:v>
                </c:pt>
                <c:pt idx="74">
                  <c:v>13.044871794871796</c:v>
                </c:pt>
                <c:pt idx="75">
                  <c:v>13.221153846153847</c:v>
                </c:pt>
                <c:pt idx="76">
                  <c:v>13.397435897435898</c:v>
                </c:pt>
                <c:pt idx="77">
                  <c:v>13.573717948717949</c:v>
                </c:pt>
                <c:pt idx="78">
                  <c:v>13.75</c:v>
                </c:pt>
                <c:pt idx="79">
                  <c:v>13.926282051282051</c:v>
                </c:pt>
                <c:pt idx="80">
                  <c:v>14.102564102564102</c:v>
                </c:pt>
                <c:pt idx="81">
                  <c:v>14.278846153846153</c:v>
                </c:pt>
                <c:pt idx="82">
                  <c:v>14.455128205128204</c:v>
                </c:pt>
                <c:pt idx="83">
                  <c:v>14.631410256410257</c:v>
                </c:pt>
                <c:pt idx="84">
                  <c:v>14.807692307692308</c:v>
                </c:pt>
                <c:pt idx="85">
                  <c:v>14.983974358974358</c:v>
                </c:pt>
                <c:pt idx="86">
                  <c:v>15.160256410256409</c:v>
                </c:pt>
                <c:pt idx="87">
                  <c:v>15.336538461538462</c:v>
                </c:pt>
                <c:pt idx="88">
                  <c:v>15.512820512820513</c:v>
                </c:pt>
                <c:pt idx="89">
                  <c:v>15.689102564102564</c:v>
                </c:pt>
                <c:pt idx="90">
                  <c:v>15.865384615384615</c:v>
                </c:pt>
                <c:pt idx="91">
                  <c:v>16.041666666666668</c:v>
                </c:pt>
                <c:pt idx="92">
                  <c:v>16.217948717948719</c:v>
                </c:pt>
                <c:pt idx="93">
                  <c:v>16.39423076923077</c:v>
                </c:pt>
                <c:pt idx="94">
                  <c:v>16.570512820512821</c:v>
                </c:pt>
                <c:pt idx="95">
                  <c:v>16.746794871794872</c:v>
                </c:pt>
                <c:pt idx="96">
                  <c:v>16.923076923076923</c:v>
                </c:pt>
                <c:pt idx="97">
                  <c:v>17.099358974358974</c:v>
                </c:pt>
                <c:pt idx="98">
                  <c:v>17.275641025641026</c:v>
                </c:pt>
                <c:pt idx="99">
                  <c:v>17.451923076923077</c:v>
                </c:pt>
                <c:pt idx="100">
                  <c:v>17.628205128205128</c:v>
                </c:pt>
                <c:pt idx="101">
                  <c:v>17.804487179487179</c:v>
                </c:pt>
                <c:pt idx="102">
                  <c:v>17.98076923076923</c:v>
                </c:pt>
                <c:pt idx="103">
                  <c:v>18.157051282051281</c:v>
                </c:pt>
                <c:pt idx="104">
                  <c:v>18.333333333333332</c:v>
                </c:pt>
              </c:numCache>
            </c:numRef>
          </c:yVal>
          <c:smooth val="1"/>
          <c:extLst>
            <c:ext xmlns:c16="http://schemas.microsoft.com/office/drawing/2014/chart" uri="{C3380CC4-5D6E-409C-BE32-E72D297353CC}">
              <c16:uniqueId val="{00000000-E02D-4119-A901-A31CE200F553}"/>
            </c:ext>
          </c:extLst>
        </c:ser>
        <c:ser>
          <c:idx val="1"/>
          <c:order val="1"/>
          <c:tx>
            <c:strRef>
              <c:f>Start_up!$G$7</c:f>
              <c:strCache>
                <c:ptCount val="1"/>
                <c:pt idx="0">
                  <c:v>IFET</c:v>
                </c:pt>
              </c:strCache>
            </c:strRef>
          </c:tx>
          <c:marker>
            <c:symbol val="none"/>
          </c:marker>
          <c:xVal>
            <c:numRef>
              <c:f>Start_up!$B$10:$B$114</c:f>
              <c:numCache>
                <c:formatCode>0.00</c:formatCode>
                <c:ptCount val="105"/>
                <c:pt idx="0">
                  <c:v>0</c:v>
                </c:pt>
                <c:pt idx="1">
                  <c:v>0.52884615384615385</c:v>
                </c:pt>
                <c:pt idx="2">
                  <c:v>1.0576923076923077</c:v>
                </c:pt>
                <c:pt idx="3">
                  <c:v>1.5865384615384617</c:v>
                </c:pt>
                <c:pt idx="4">
                  <c:v>2.1153846153846154</c:v>
                </c:pt>
                <c:pt idx="5">
                  <c:v>2.6442307692307692</c:v>
                </c:pt>
                <c:pt idx="6">
                  <c:v>3.1730769230769234</c:v>
                </c:pt>
                <c:pt idx="7">
                  <c:v>3.7019230769230766</c:v>
                </c:pt>
                <c:pt idx="8">
                  <c:v>4.2307692307692308</c:v>
                </c:pt>
                <c:pt idx="9">
                  <c:v>4.7596153846153841</c:v>
                </c:pt>
                <c:pt idx="10">
                  <c:v>5.2884615384615383</c:v>
                </c:pt>
                <c:pt idx="11">
                  <c:v>5.8173076923076925</c:v>
                </c:pt>
                <c:pt idx="12">
                  <c:v>6.3461538461538467</c:v>
                </c:pt>
                <c:pt idx="13">
                  <c:v>6.875</c:v>
                </c:pt>
                <c:pt idx="14">
                  <c:v>7.4038461538461533</c:v>
                </c:pt>
                <c:pt idx="15">
                  <c:v>7.9326923076923066</c:v>
                </c:pt>
                <c:pt idx="16">
                  <c:v>8.4615384615384617</c:v>
                </c:pt>
                <c:pt idx="17">
                  <c:v>8.990384615384615</c:v>
                </c:pt>
                <c:pt idx="18">
                  <c:v>9.5192307692307683</c:v>
                </c:pt>
                <c:pt idx="19">
                  <c:v>10.048076923076923</c:v>
                </c:pt>
                <c:pt idx="20">
                  <c:v>10.576923076923077</c:v>
                </c:pt>
                <c:pt idx="21">
                  <c:v>11.105769230769232</c:v>
                </c:pt>
                <c:pt idx="22">
                  <c:v>11.634615384615385</c:v>
                </c:pt>
                <c:pt idx="23">
                  <c:v>12.163461538461538</c:v>
                </c:pt>
                <c:pt idx="24">
                  <c:v>12.692307692307693</c:v>
                </c:pt>
                <c:pt idx="25">
                  <c:v>13.221153846153847</c:v>
                </c:pt>
                <c:pt idx="26">
                  <c:v>13.75</c:v>
                </c:pt>
                <c:pt idx="27">
                  <c:v>14.278846153846155</c:v>
                </c:pt>
                <c:pt idx="28">
                  <c:v>14.807692307692307</c:v>
                </c:pt>
                <c:pt idx="29">
                  <c:v>15.336538461538462</c:v>
                </c:pt>
                <c:pt idx="30">
                  <c:v>15.865384615384613</c:v>
                </c:pt>
                <c:pt idx="31">
                  <c:v>16.39423076923077</c:v>
                </c:pt>
                <c:pt idx="32">
                  <c:v>16.923076923076923</c:v>
                </c:pt>
                <c:pt idx="33">
                  <c:v>17.451923076923077</c:v>
                </c:pt>
                <c:pt idx="34">
                  <c:v>17.98076923076923</c:v>
                </c:pt>
                <c:pt idx="35">
                  <c:v>18.509615384615387</c:v>
                </c:pt>
                <c:pt idx="36">
                  <c:v>19.038461538461537</c:v>
                </c:pt>
                <c:pt idx="37">
                  <c:v>19.567307692307693</c:v>
                </c:pt>
                <c:pt idx="38">
                  <c:v>20.096153846153847</c:v>
                </c:pt>
                <c:pt idx="39">
                  <c:v>20.625</c:v>
                </c:pt>
                <c:pt idx="40">
                  <c:v>21.153846153846153</c:v>
                </c:pt>
                <c:pt idx="41">
                  <c:v>21.682692307692307</c:v>
                </c:pt>
                <c:pt idx="42">
                  <c:v>22.211538461538463</c:v>
                </c:pt>
                <c:pt idx="43">
                  <c:v>22.740384615384613</c:v>
                </c:pt>
                <c:pt idx="44">
                  <c:v>23.26923076923077</c:v>
                </c:pt>
                <c:pt idx="45">
                  <c:v>23.798076923076923</c:v>
                </c:pt>
                <c:pt idx="46">
                  <c:v>24.326923076923077</c:v>
                </c:pt>
                <c:pt idx="47">
                  <c:v>24.85576923076923</c:v>
                </c:pt>
                <c:pt idx="48">
                  <c:v>25.384615384615387</c:v>
                </c:pt>
                <c:pt idx="49">
                  <c:v>25.913461538461537</c:v>
                </c:pt>
                <c:pt idx="50">
                  <c:v>26.442307692307693</c:v>
                </c:pt>
                <c:pt idx="51">
                  <c:v>26.971153846153847</c:v>
                </c:pt>
                <c:pt idx="52">
                  <c:v>27.5</c:v>
                </c:pt>
                <c:pt idx="53">
                  <c:v>28.028846153846153</c:v>
                </c:pt>
                <c:pt idx="54">
                  <c:v>28.55769230769231</c:v>
                </c:pt>
                <c:pt idx="55">
                  <c:v>29.086538461538463</c:v>
                </c:pt>
                <c:pt idx="56">
                  <c:v>29.615384615384613</c:v>
                </c:pt>
                <c:pt idx="57">
                  <c:v>30.144230769230774</c:v>
                </c:pt>
                <c:pt idx="58">
                  <c:v>30.673076923076923</c:v>
                </c:pt>
                <c:pt idx="59">
                  <c:v>31.201923076923077</c:v>
                </c:pt>
                <c:pt idx="60">
                  <c:v>31.730769230769226</c:v>
                </c:pt>
                <c:pt idx="61">
                  <c:v>32.259615384615387</c:v>
                </c:pt>
                <c:pt idx="62">
                  <c:v>32.78846153846154</c:v>
                </c:pt>
                <c:pt idx="63">
                  <c:v>33.317307692307693</c:v>
                </c:pt>
                <c:pt idx="64">
                  <c:v>33.846153846153847</c:v>
                </c:pt>
                <c:pt idx="65">
                  <c:v>34.375</c:v>
                </c:pt>
                <c:pt idx="66">
                  <c:v>34.903846153846153</c:v>
                </c:pt>
                <c:pt idx="67">
                  <c:v>35.432692307692307</c:v>
                </c:pt>
                <c:pt idx="68">
                  <c:v>35.96153846153846</c:v>
                </c:pt>
                <c:pt idx="69">
                  <c:v>36.490384615384613</c:v>
                </c:pt>
                <c:pt idx="70">
                  <c:v>37.019230769230774</c:v>
                </c:pt>
                <c:pt idx="71">
                  <c:v>37.548076923076927</c:v>
                </c:pt>
                <c:pt idx="72">
                  <c:v>38.076923076923073</c:v>
                </c:pt>
                <c:pt idx="73">
                  <c:v>38.605769230769226</c:v>
                </c:pt>
                <c:pt idx="74">
                  <c:v>39.134615384615387</c:v>
                </c:pt>
                <c:pt idx="75">
                  <c:v>39.66346153846154</c:v>
                </c:pt>
                <c:pt idx="76">
                  <c:v>40.192307692307693</c:v>
                </c:pt>
                <c:pt idx="77">
                  <c:v>40.721153846153847</c:v>
                </c:pt>
                <c:pt idx="78">
                  <c:v>41.25</c:v>
                </c:pt>
                <c:pt idx="79">
                  <c:v>41.778846153846153</c:v>
                </c:pt>
                <c:pt idx="80">
                  <c:v>42.307692307692307</c:v>
                </c:pt>
                <c:pt idx="81">
                  <c:v>42.83653846153846</c:v>
                </c:pt>
                <c:pt idx="82">
                  <c:v>43.365384615384613</c:v>
                </c:pt>
                <c:pt idx="83">
                  <c:v>43.894230769230774</c:v>
                </c:pt>
                <c:pt idx="84">
                  <c:v>44.423076923076927</c:v>
                </c:pt>
                <c:pt idx="85">
                  <c:v>44.951923076923073</c:v>
                </c:pt>
                <c:pt idx="86">
                  <c:v>45.480769230769226</c:v>
                </c:pt>
                <c:pt idx="87">
                  <c:v>46.009615384615387</c:v>
                </c:pt>
                <c:pt idx="88">
                  <c:v>46.53846153846154</c:v>
                </c:pt>
                <c:pt idx="89">
                  <c:v>47.067307692307693</c:v>
                </c:pt>
                <c:pt idx="90">
                  <c:v>47.596153846153847</c:v>
                </c:pt>
                <c:pt idx="91">
                  <c:v>48.125</c:v>
                </c:pt>
                <c:pt idx="92">
                  <c:v>48.653846153846153</c:v>
                </c:pt>
                <c:pt idx="93">
                  <c:v>49.182692307692307</c:v>
                </c:pt>
                <c:pt idx="94">
                  <c:v>49.71153846153846</c:v>
                </c:pt>
                <c:pt idx="95">
                  <c:v>50.240384615384613</c:v>
                </c:pt>
                <c:pt idx="96">
                  <c:v>50.769230769230774</c:v>
                </c:pt>
                <c:pt idx="97">
                  <c:v>51.298076923076927</c:v>
                </c:pt>
                <c:pt idx="98">
                  <c:v>51.826923076923073</c:v>
                </c:pt>
                <c:pt idx="99">
                  <c:v>52.355769230769226</c:v>
                </c:pt>
                <c:pt idx="100">
                  <c:v>52.884615384615387</c:v>
                </c:pt>
                <c:pt idx="101">
                  <c:v>53.41346153846154</c:v>
                </c:pt>
                <c:pt idx="102">
                  <c:v>53.942307692307693</c:v>
                </c:pt>
                <c:pt idx="103">
                  <c:v>54.471153846153847</c:v>
                </c:pt>
                <c:pt idx="104">
                  <c:v>55</c:v>
                </c:pt>
              </c:numCache>
            </c:numRef>
          </c:xVal>
          <c:yVal>
            <c:numRef>
              <c:f>Start_up!$G$10:$G$114</c:f>
              <c:numCache>
                <c:formatCode>General</c:formatCode>
                <c:ptCount val="105"/>
                <c:pt idx="0">
                  <c:v>7</c:v>
                </c:pt>
                <c:pt idx="1">
                  <c:v>7</c:v>
                </c:pt>
                <c:pt idx="2">
                  <c:v>7</c:v>
                </c:pt>
                <c:pt idx="3">
                  <c:v>7</c:v>
                </c:pt>
                <c:pt idx="4">
                  <c:v>7</c:v>
                </c:pt>
                <c:pt idx="5">
                  <c:v>7</c:v>
                </c:pt>
                <c:pt idx="6">
                  <c:v>7</c:v>
                </c:pt>
                <c:pt idx="7">
                  <c:v>7</c:v>
                </c:pt>
                <c:pt idx="8">
                  <c:v>7</c:v>
                </c:pt>
                <c:pt idx="9">
                  <c:v>7</c:v>
                </c:pt>
                <c:pt idx="10">
                  <c:v>7</c:v>
                </c:pt>
                <c:pt idx="11">
                  <c:v>7</c:v>
                </c:pt>
                <c:pt idx="12">
                  <c:v>9.115384615384615</c:v>
                </c:pt>
                <c:pt idx="13">
                  <c:v>9.2916666666666661</c:v>
                </c:pt>
                <c:pt idx="14">
                  <c:v>9.4679487179487172</c:v>
                </c:pt>
                <c:pt idx="15">
                  <c:v>9.6442307692307683</c:v>
                </c:pt>
                <c:pt idx="16">
                  <c:v>9.8205128205128212</c:v>
                </c:pt>
                <c:pt idx="17">
                  <c:v>9.9967948717948723</c:v>
                </c:pt>
                <c:pt idx="18">
                  <c:v>10.173076923076923</c:v>
                </c:pt>
                <c:pt idx="19">
                  <c:v>10.349358974358974</c:v>
                </c:pt>
                <c:pt idx="20">
                  <c:v>10.525641025641026</c:v>
                </c:pt>
                <c:pt idx="21">
                  <c:v>10.701923076923077</c:v>
                </c:pt>
                <c:pt idx="22">
                  <c:v>10.878205128205128</c:v>
                </c:pt>
                <c:pt idx="23">
                  <c:v>11.054487179487179</c:v>
                </c:pt>
                <c:pt idx="24">
                  <c:v>11.23076923076923</c:v>
                </c:pt>
                <c:pt idx="25">
                  <c:v>11.407051282051281</c:v>
                </c:pt>
                <c:pt idx="26">
                  <c:v>11.583333333333332</c:v>
                </c:pt>
                <c:pt idx="27">
                  <c:v>11.759615384615385</c:v>
                </c:pt>
                <c:pt idx="28">
                  <c:v>11.935897435897434</c:v>
                </c:pt>
                <c:pt idx="29">
                  <c:v>12.112179487179487</c:v>
                </c:pt>
                <c:pt idx="30">
                  <c:v>12.288461538461537</c:v>
                </c:pt>
                <c:pt idx="31">
                  <c:v>12.464743589743591</c:v>
                </c:pt>
                <c:pt idx="32">
                  <c:v>12.641025641025642</c:v>
                </c:pt>
                <c:pt idx="33">
                  <c:v>12.817307692307693</c:v>
                </c:pt>
                <c:pt idx="34">
                  <c:v>12.993589743589745</c:v>
                </c:pt>
                <c:pt idx="35">
                  <c:v>13.169871794871796</c:v>
                </c:pt>
                <c:pt idx="36">
                  <c:v>13.346153846153847</c:v>
                </c:pt>
                <c:pt idx="37">
                  <c:v>13.522435897435898</c:v>
                </c:pt>
                <c:pt idx="38">
                  <c:v>13.698717948717949</c:v>
                </c:pt>
                <c:pt idx="39">
                  <c:v>13.875</c:v>
                </c:pt>
                <c:pt idx="40">
                  <c:v>14.051282051282051</c:v>
                </c:pt>
                <c:pt idx="41">
                  <c:v>14.227564102564102</c:v>
                </c:pt>
                <c:pt idx="42">
                  <c:v>14.403846153846153</c:v>
                </c:pt>
                <c:pt idx="43">
                  <c:v>14.580128205128204</c:v>
                </c:pt>
                <c:pt idx="44">
                  <c:v>14.756410256410255</c:v>
                </c:pt>
                <c:pt idx="45">
                  <c:v>14.932692307692307</c:v>
                </c:pt>
                <c:pt idx="46">
                  <c:v>15.108974358974359</c:v>
                </c:pt>
                <c:pt idx="47">
                  <c:v>15.285256410256411</c:v>
                </c:pt>
                <c:pt idx="48">
                  <c:v>15.461538461538462</c:v>
                </c:pt>
                <c:pt idx="49">
                  <c:v>15.637820512820513</c:v>
                </c:pt>
                <c:pt idx="50">
                  <c:v>15.814102564102564</c:v>
                </c:pt>
                <c:pt idx="51">
                  <c:v>15.990384615384615</c:v>
                </c:pt>
                <c:pt idx="52">
                  <c:v>16.166666666666664</c:v>
                </c:pt>
                <c:pt idx="53">
                  <c:v>16.342948717948715</c:v>
                </c:pt>
                <c:pt idx="54">
                  <c:v>16.51923076923077</c:v>
                </c:pt>
                <c:pt idx="55">
                  <c:v>16.695512820512821</c:v>
                </c:pt>
                <c:pt idx="56">
                  <c:v>16.871794871794869</c:v>
                </c:pt>
                <c:pt idx="57">
                  <c:v>17.048076923076927</c:v>
                </c:pt>
                <c:pt idx="58">
                  <c:v>17.224358974358974</c:v>
                </c:pt>
                <c:pt idx="59">
                  <c:v>17.400641025641026</c:v>
                </c:pt>
                <c:pt idx="60">
                  <c:v>17.576923076923073</c:v>
                </c:pt>
                <c:pt idx="61">
                  <c:v>17.753205128205131</c:v>
                </c:pt>
                <c:pt idx="62">
                  <c:v>17.929487179487182</c:v>
                </c:pt>
                <c:pt idx="63">
                  <c:v>18.105769230769234</c:v>
                </c:pt>
                <c:pt idx="64">
                  <c:v>18.282051282051285</c:v>
                </c:pt>
                <c:pt idx="65">
                  <c:v>18.458333333333336</c:v>
                </c:pt>
                <c:pt idx="66">
                  <c:v>18.634615384615387</c:v>
                </c:pt>
                <c:pt idx="67">
                  <c:v>18.810897435897438</c:v>
                </c:pt>
                <c:pt idx="68">
                  <c:v>18.987179487179489</c:v>
                </c:pt>
                <c:pt idx="69">
                  <c:v>19.16346153846154</c:v>
                </c:pt>
                <c:pt idx="70">
                  <c:v>19.339743589743591</c:v>
                </c:pt>
                <c:pt idx="71">
                  <c:v>19.516025641025642</c:v>
                </c:pt>
                <c:pt idx="72">
                  <c:v>19.692307692307693</c:v>
                </c:pt>
                <c:pt idx="73">
                  <c:v>19.868589743589745</c:v>
                </c:pt>
                <c:pt idx="74">
                  <c:v>20.044871794871796</c:v>
                </c:pt>
                <c:pt idx="75">
                  <c:v>20.221153846153847</c:v>
                </c:pt>
                <c:pt idx="76">
                  <c:v>20.397435897435898</c:v>
                </c:pt>
                <c:pt idx="77">
                  <c:v>20.573717948717949</c:v>
                </c:pt>
                <c:pt idx="78">
                  <c:v>20.75</c:v>
                </c:pt>
                <c:pt idx="79">
                  <c:v>20.926282051282051</c:v>
                </c:pt>
                <c:pt idx="80">
                  <c:v>21.102564102564102</c:v>
                </c:pt>
                <c:pt idx="81">
                  <c:v>21.278846153846153</c:v>
                </c:pt>
                <c:pt idx="82">
                  <c:v>21.455128205128204</c:v>
                </c:pt>
                <c:pt idx="83">
                  <c:v>21.631410256410255</c:v>
                </c:pt>
                <c:pt idx="84">
                  <c:v>21.807692307692307</c:v>
                </c:pt>
                <c:pt idx="85">
                  <c:v>21.983974358974358</c:v>
                </c:pt>
                <c:pt idx="86">
                  <c:v>22.160256410256409</c:v>
                </c:pt>
                <c:pt idx="87">
                  <c:v>22.33653846153846</c:v>
                </c:pt>
                <c:pt idx="88">
                  <c:v>22.512820512820511</c:v>
                </c:pt>
                <c:pt idx="89">
                  <c:v>22.689102564102562</c:v>
                </c:pt>
                <c:pt idx="90">
                  <c:v>22.865384615384613</c:v>
                </c:pt>
                <c:pt idx="91">
                  <c:v>23.041666666666668</c:v>
                </c:pt>
                <c:pt idx="92">
                  <c:v>23.217948717948719</c:v>
                </c:pt>
                <c:pt idx="93">
                  <c:v>23.39423076923077</c:v>
                </c:pt>
                <c:pt idx="94">
                  <c:v>23.570512820512821</c:v>
                </c:pt>
                <c:pt idx="95">
                  <c:v>23.746794871794872</c:v>
                </c:pt>
                <c:pt idx="96">
                  <c:v>23.923076923076923</c:v>
                </c:pt>
                <c:pt idx="97">
                  <c:v>24.099358974358974</c:v>
                </c:pt>
                <c:pt idx="98">
                  <c:v>24.275641025641026</c:v>
                </c:pt>
                <c:pt idx="99">
                  <c:v>24.451923076923077</c:v>
                </c:pt>
                <c:pt idx="100">
                  <c:v>24.628205128205128</c:v>
                </c:pt>
                <c:pt idx="101">
                  <c:v>24.804487179487179</c:v>
                </c:pt>
                <c:pt idx="102">
                  <c:v>24.98076923076923</c:v>
                </c:pt>
                <c:pt idx="103">
                  <c:v>25.157051282051281</c:v>
                </c:pt>
                <c:pt idx="104">
                  <c:v>25.333333333333332</c:v>
                </c:pt>
              </c:numCache>
            </c:numRef>
          </c:yVal>
          <c:smooth val="1"/>
          <c:extLst>
            <c:ext xmlns:c16="http://schemas.microsoft.com/office/drawing/2014/chart" uri="{C3380CC4-5D6E-409C-BE32-E72D297353CC}">
              <c16:uniqueId val="{00000001-E02D-4119-A901-A31CE200F553}"/>
            </c:ext>
          </c:extLst>
        </c:ser>
        <c:dLbls>
          <c:showLegendKey val="0"/>
          <c:showVal val="0"/>
          <c:showCatName val="0"/>
          <c:showSerName val="0"/>
          <c:showPercent val="0"/>
          <c:showBubbleSize val="0"/>
        </c:dLbls>
        <c:axId val="583185920"/>
        <c:axId val="583201920"/>
      </c:scatterChart>
      <c:valAx>
        <c:axId val="583185920"/>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59"/>
              <c:y val="0.92545001031614371"/>
            </c:manualLayout>
          </c:layout>
          <c:overlay val="0"/>
        </c:title>
        <c:numFmt formatCode="0.00" sourceLinked="1"/>
        <c:majorTickMark val="out"/>
        <c:minorTickMark val="none"/>
        <c:tickLblPos val="nextTo"/>
        <c:txPr>
          <a:bodyPr/>
          <a:lstStyle/>
          <a:p>
            <a:pPr>
              <a:defRPr b="1"/>
            </a:pPr>
            <a:endParaRPr lang="en-US"/>
          </a:p>
        </c:txPr>
        <c:crossAx val="583201920"/>
        <c:crosses val="autoZero"/>
        <c:crossBetween val="midCat"/>
      </c:valAx>
      <c:valAx>
        <c:axId val="583201920"/>
        <c:scaling>
          <c:orientation val="minMax"/>
        </c:scaling>
        <c:delete val="0"/>
        <c:axPos val="l"/>
        <c:majorGridlines/>
        <c:minorGridlines/>
        <c:title>
          <c:tx>
            <c:rich>
              <a:bodyPr rot="-5400000" vert="horz"/>
              <a:lstStyle/>
              <a:p>
                <a:pPr>
                  <a:defRPr/>
                </a:pPr>
                <a:r>
                  <a:rPr lang="en-US"/>
                  <a:t>Current (A)</a:t>
                </a:r>
              </a:p>
            </c:rich>
          </c:tx>
          <c:layout>
            <c:manualLayout>
              <c:xMode val="edge"/>
              <c:yMode val="edge"/>
              <c:x val="1.8649933950945E-2"/>
              <c:y val="0.32808378438817248"/>
            </c:manualLayout>
          </c:layout>
          <c:overlay val="0"/>
        </c:title>
        <c:numFmt formatCode="0.000" sourceLinked="0"/>
        <c:majorTickMark val="out"/>
        <c:minorTickMark val="none"/>
        <c:tickLblPos val="nextTo"/>
        <c:txPr>
          <a:bodyPr/>
          <a:lstStyle/>
          <a:p>
            <a:pPr>
              <a:defRPr sz="950" b="1" baseline="0"/>
            </a:pPr>
            <a:endParaRPr lang="en-US"/>
          </a:p>
        </c:txPr>
        <c:crossAx val="583185920"/>
        <c:crosses val="autoZero"/>
        <c:crossBetween val="midCat"/>
      </c:valAx>
    </c:plotArea>
    <c:legend>
      <c:legendPos val="r"/>
      <c:layout>
        <c:manualLayout>
          <c:xMode val="edge"/>
          <c:yMode val="edge"/>
          <c:x val="0.17948138421044507"/>
          <c:y val="0.18817949003451728"/>
          <c:w val="0.21462230092985587"/>
          <c:h val="0.18516649249275954"/>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58"/>
          <c:y val="0.14177960397727438"/>
          <c:w val="0.69967132057676096"/>
          <c:h val="0.7119118368882501"/>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0.52884615384615385</c:v>
                </c:pt>
                <c:pt idx="2">
                  <c:v>1.0576923076923077</c:v>
                </c:pt>
                <c:pt idx="3">
                  <c:v>1.5865384615384617</c:v>
                </c:pt>
                <c:pt idx="4">
                  <c:v>2.1153846153846154</c:v>
                </c:pt>
                <c:pt idx="5">
                  <c:v>2.6442307692307692</c:v>
                </c:pt>
                <c:pt idx="6">
                  <c:v>3.1730769230769234</c:v>
                </c:pt>
                <c:pt idx="7">
                  <c:v>3.7019230769230766</c:v>
                </c:pt>
                <c:pt idx="8">
                  <c:v>4.2307692307692308</c:v>
                </c:pt>
                <c:pt idx="9">
                  <c:v>4.7596153846153841</c:v>
                </c:pt>
                <c:pt idx="10">
                  <c:v>5.2884615384615383</c:v>
                </c:pt>
                <c:pt idx="11">
                  <c:v>5.8173076923076925</c:v>
                </c:pt>
                <c:pt idx="12">
                  <c:v>6.3461538461538467</c:v>
                </c:pt>
                <c:pt idx="13">
                  <c:v>6.875</c:v>
                </c:pt>
                <c:pt idx="14">
                  <c:v>7.4038461538461533</c:v>
                </c:pt>
                <c:pt idx="15">
                  <c:v>7.9326923076923066</c:v>
                </c:pt>
                <c:pt idx="16">
                  <c:v>8.4615384615384617</c:v>
                </c:pt>
                <c:pt idx="17">
                  <c:v>8.990384615384615</c:v>
                </c:pt>
                <c:pt idx="18">
                  <c:v>9.5192307692307683</c:v>
                </c:pt>
                <c:pt idx="19">
                  <c:v>10.048076923076923</c:v>
                </c:pt>
                <c:pt idx="20">
                  <c:v>10.576923076923077</c:v>
                </c:pt>
                <c:pt idx="21">
                  <c:v>11.105769230769232</c:v>
                </c:pt>
                <c:pt idx="22">
                  <c:v>11.634615384615385</c:v>
                </c:pt>
                <c:pt idx="23">
                  <c:v>12.163461538461538</c:v>
                </c:pt>
                <c:pt idx="24">
                  <c:v>12.692307692307693</c:v>
                </c:pt>
                <c:pt idx="25">
                  <c:v>13.221153846153847</c:v>
                </c:pt>
                <c:pt idx="26">
                  <c:v>13.75</c:v>
                </c:pt>
                <c:pt idx="27">
                  <c:v>14.278846153846155</c:v>
                </c:pt>
                <c:pt idx="28">
                  <c:v>14.807692307692307</c:v>
                </c:pt>
                <c:pt idx="29">
                  <c:v>15.336538461538462</c:v>
                </c:pt>
                <c:pt idx="30">
                  <c:v>15.865384615384613</c:v>
                </c:pt>
                <c:pt idx="31">
                  <c:v>16.39423076923077</c:v>
                </c:pt>
                <c:pt idx="32">
                  <c:v>16.923076923076923</c:v>
                </c:pt>
                <c:pt idx="33">
                  <c:v>17.451923076923077</c:v>
                </c:pt>
                <c:pt idx="34">
                  <c:v>17.98076923076923</c:v>
                </c:pt>
                <c:pt idx="35">
                  <c:v>18.509615384615387</c:v>
                </c:pt>
                <c:pt idx="36">
                  <c:v>19.038461538461537</c:v>
                </c:pt>
                <c:pt idx="37">
                  <c:v>19.567307692307693</c:v>
                </c:pt>
                <c:pt idx="38">
                  <c:v>20.096153846153847</c:v>
                </c:pt>
                <c:pt idx="39">
                  <c:v>20.625</c:v>
                </c:pt>
                <c:pt idx="40">
                  <c:v>21.153846153846153</c:v>
                </c:pt>
                <c:pt idx="41">
                  <c:v>21.682692307692307</c:v>
                </c:pt>
                <c:pt idx="42">
                  <c:v>22.211538461538463</c:v>
                </c:pt>
                <c:pt idx="43">
                  <c:v>22.740384615384613</c:v>
                </c:pt>
                <c:pt idx="44">
                  <c:v>23.26923076923077</c:v>
                </c:pt>
                <c:pt idx="45">
                  <c:v>23.798076923076923</c:v>
                </c:pt>
                <c:pt idx="46">
                  <c:v>24.326923076923077</c:v>
                </c:pt>
                <c:pt idx="47">
                  <c:v>24.85576923076923</c:v>
                </c:pt>
                <c:pt idx="48">
                  <c:v>25.384615384615387</c:v>
                </c:pt>
                <c:pt idx="49">
                  <c:v>25.913461538461537</c:v>
                </c:pt>
                <c:pt idx="50">
                  <c:v>26.442307692307693</c:v>
                </c:pt>
                <c:pt idx="51">
                  <c:v>26.971153846153847</c:v>
                </c:pt>
                <c:pt idx="52">
                  <c:v>27.5</c:v>
                </c:pt>
                <c:pt idx="53">
                  <c:v>28.028846153846153</c:v>
                </c:pt>
                <c:pt idx="54">
                  <c:v>28.55769230769231</c:v>
                </c:pt>
                <c:pt idx="55">
                  <c:v>29.086538461538463</c:v>
                </c:pt>
                <c:pt idx="56">
                  <c:v>29.615384615384613</c:v>
                </c:pt>
                <c:pt idx="57">
                  <c:v>30.144230769230774</c:v>
                </c:pt>
                <c:pt idx="58">
                  <c:v>30.673076923076923</c:v>
                </c:pt>
                <c:pt idx="59">
                  <c:v>31.201923076923077</c:v>
                </c:pt>
                <c:pt idx="60">
                  <c:v>31.730769230769226</c:v>
                </c:pt>
                <c:pt idx="61">
                  <c:v>32.259615384615387</c:v>
                </c:pt>
                <c:pt idx="62">
                  <c:v>32.78846153846154</c:v>
                </c:pt>
                <c:pt idx="63">
                  <c:v>33.317307692307693</c:v>
                </c:pt>
                <c:pt idx="64">
                  <c:v>33.846153846153847</c:v>
                </c:pt>
                <c:pt idx="65">
                  <c:v>34.375</c:v>
                </c:pt>
                <c:pt idx="66">
                  <c:v>34.903846153846153</c:v>
                </c:pt>
                <c:pt idx="67">
                  <c:v>35.432692307692307</c:v>
                </c:pt>
                <c:pt idx="68">
                  <c:v>35.96153846153846</c:v>
                </c:pt>
                <c:pt idx="69">
                  <c:v>36.490384615384613</c:v>
                </c:pt>
                <c:pt idx="70">
                  <c:v>37.019230769230774</c:v>
                </c:pt>
                <c:pt idx="71">
                  <c:v>37.548076923076927</c:v>
                </c:pt>
                <c:pt idx="72">
                  <c:v>38.076923076923073</c:v>
                </c:pt>
                <c:pt idx="73">
                  <c:v>38.605769230769226</c:v>
                </c:pt>
                <c:pt idx="74">
                  <c:v>39.134615384615387</c:v>
                </c:pt>
                <c:pt idx="75">
                  <c:v>39.66346153846154</c:v>
                </c:pt>
                <c:pt idx="76">
                  <c:v>40.192307692307693</c:v>
                </c:pt>
                <c:pt idx="77">
                  <c:v>40.721153846153847</c:v>
                </c:pt>
                <c:pt idx="78">
                  <c:v>41.25</c:v>
                </c:pt>
                <c:pt idx="79">
                  <c:v>41.778846153846153</c:v>
                </c:pt>
                <c:pt idx="80">
                  <c:v>42.307692307692307</c:v>
                </c:pt>
                <c:pt idx="81">
                  <c:v>42.83653846153846</c:v>
                </c:pt>
                <c:pt idx="82">
                  <c:v>43.365384615384613</c:v>
                </c:pt>
                <c:pt idx="83">
                  <c:v>43.894230769230774</c:v>
                </c:pt>
                <c:pt idx="84">
                  <c:v>44.423076923076927</c:v>
                </c:pt>
                <c:pt idx="85">
                  <c:v>44.951923076923073</c:v>
                </c:pt>
                <c:pt idx="86">
                  <c:v>45.480769230769226</c:v>
                </c:pt>
                <c:pt idx="87">
                  <c:v>46.009615384615387</c:v>
                </c:pt>
                <c:pt idx="88">
                  <c:v>46.53846153846154</c:v>
                </c:pt>
                <c:pt idx="89">
                  <c:v>47.067307692307693</c:v>
                </c:pt>
                <c:pt idx="90">
                  <c:v>47.596153846153847</c:v>
                </c:pt>
                <c:pt idx="91">
                  <c:v>48.125</c:v>
                </c:pt>
                <c:pt idx="92">
                  <c:v>48.653846153846153</c:v>
                </c:pt>
                <c:pt idx="93">
                  <c:v>49.182692307692307</c:v>
                </c:pt>
                <c:pt idx="94">
                  <c:v>49.71153846153846</c:v>
                </c:pt>
                <c:pt idx="95">
                  <c:v>50.240384615384613</c:v>
                </c:pt>
                <c:pt idx="96">
                  <c:v>50.769230769230774</c:v>
                </c:pt>
                <c:pt idx="97">
                  <c:v>51.298076923076927</c:v>
                </c:pt>
                <c:pt idx="98">
                  <c:v>51.826923076923073</c:v>
                </c:pt>
                <c:pt idx="99">
                  <c:v>52.355769230769226</c:v>
                </c:pt>
                <c:pt idx="100">
                  <c:v>52.884615384615387</c:v>
                </c:pt>
                <c:pt idx="101">
                  <c:v>53.41346153846154</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2.1153846153846154</c:v>
                </c:pt>
                <c:pt idx="13">
                  <c:v>2.2916666666666665</c:v>
                </c:pt>
                <c:pt idx="14">
                  <c:v>2.4679487179487176</c:v>
                </c:pt>
                <c:pt idx="15">
                  <c:v>2.6442307692307687</c:v>
                </c:pt>
                <c:pt idx="16">
                  <c:v>2.8205128205128207</c:v>
                </c:pt>
                <c:pt idx="17">
                  <c:v>2.9967948717948718</c:v>
                </c:pt>
                <c:pt idx="18">
                  <c:v>3.1730769230769229</c:v>
                </c:pt>
                <c:pt idx="19">
                  <c:v>3.3493589743589745</c:v>
                </c:pt>
                <c:pt idx="20">
                  <c:v>3.5256410256410255</c:v>
                </c:pt>
                <c:pt idx="21">
                  <c:v>3.7019230769230771</c:v>
                </c:pt>
                <c:pt idx="22">
                  <c:v>3.8782051282051282</c:v>
                </c:pt>
                <c:pt idx="23">
                  <c:v>4.0544871794871797</c:v>
                </c:pt>
                <c:pt idx="24">
                  <c:v>4.2307692307692308</c:v>
                </c:pt>
                <c:pt idx="25">
                  <c:v>4.4070512820512819</c:v>
                </c:pt>
                <c:pt idx="26">
                  <c:v>4.583333333333333</c:v>
                </c:pt>
                <c:pt idx="27">
                  <c:v>4.759615384615385</c:v>
                </c:pt>
                <c:pt idx="28">
                  <c:v>4.9358974358974352</c:v>
                </c:pt>
                <c:pt idx="29">
                  <c:v>5.1121794871794872</c:v>
                </c:pt>
                <c:pt idx="30">
                  <c:v>5.2884615384615374</c:v>
                </c:pt>
                <c:pt idx="31">
                  <c:v>5.4647435897435903</c:v>
                </c:pt>
                <c:pt idx="32">
                  <c:v>5.6410256410256414</c:v>
                </c:pt>
                <c:pt idx="33">
                  <c:v>5.8173076923076925</c:v>
                </c:pt>
                <c:pt idx="34">
                  <c:v>5.9935897435897436</c:v>
                </c:pt>
                <c:pt idx="35">
                  <c:v>6.1698717948717956</c:v>
                </c:pt>
                <c:pt idx="36">
                  <c:v>6.3461538461538458</c:v>
                </c:pt>
                <c:pt idx="37">
                  <c:v>6.5224358974358978</c:v>
                </c:pt>
                <c:pt idx="38">
                  <c:v>6.6987179487179489</c:v>
                </c:pt>
                <c:pt idx="39">
                  <c:v>6.875</c:v>
                </c:pt>
                <c:pt idx="40">
                  <c:v>7.0512820512820511</c:v>
                </c:pt>
                <c:pt idx="41">
                  <c:v>7.2275641025641022</c:v>
                </c:pt>
                <c:pt idx="42">
                  <c:v>7.4038461538461542</c:v>
                </c:pt>
                <c:pt idx="43">
                  <c:v>7.5801282051282044</c:v>
                </c:pt>
                <c:pt idx="44">
                  <c:v>7.7564102564102564</c:v>
                </c:pt>
                <c:pt idx="45">
                  <c:v>7.9326923076923075</c:v>
                </c:pt>
                <c:pt idx="46">
                  <c:v>8.1089743589743595</c:v>
                </c:pt>
                <c:pt idx="47">
                  <c:v>8.2852564102564106</c:v>
                </c:pt>
                <c:pt idx="48">
                  <c:v>8.4615384615384617</c:v>
                </c:pt>
                <c:pt idx="49">
                  <c:v>8.6378205128205128</c:v>
                </c:pt>
                <c:pt idx="50">
                  <c:v>8.8141025641025639</c:v>
                </c:pt>
                <c:pt idx="51">
                  <c:v>8.990384615384615</c:v>
                </c:pt>
                <c:pt idx="52">
                  <c:v>9.1666666666666661</c:v>
                </c:pt>
                <c:pt idx="53">
                  <c:v>9.3429487179487172</c:v>
                </c:pt>
                <c:pt idx="54">
                  <c:v>9.5192307692307701</c:v>
                </c:pt>
                <c:pt idx="55">
                  <c:v>9.6955128205128212</c:v>
                </c:pt>
                <c:pt idx="56">
                  <c:v>9.8717948717948705</c:v>
                </c:pt>
                <c:pt idx="57">
                  <c:v>10.048076923076925</c:v>
                </c:pt>
                <c:pt idx="58">
                  <c:v>10.224358974358974</c:v>
                </c:pt>
                <c:pt idx="59">
                  <c:v>10.400641025641026</c:v>
                </c:pt>
                <c:pt idx="60">
                  <c:v>10.576923076923075</c:v>
                </c:pt>
                <c:pt idx="61">
                  <c:v>10.75320512820513</c:v>
                </c:pt>
                <c:pt idx="62">
                  <c:v>10.929487179487181</c:v>
                </c:pt>
                <c:pt idx="63">
                  <c:v>11.105769230769232</c:v>
                </c:pt>
                <c:pt idx="64">
                  <c:v>11.282051282051283</c:v>
                </c:pt>
                <c:pt idx="65">
                  <c:v>11.458333333333334</c:v>
                </c:pt>
                <c:pt idx="66">
                  <c:v>11.634615384615385</c:v>
                </c:pt>
                <c:pt idx="67">
                  <c:v>11.810897435897436</c:v>
                </c:pt>
                <c:pt idx="68">
                  <c:v>11.987179487179487</c:v>
                </c:pt>
                <c:pt idx="69">
                  <c:v>12.163461538461538</c:v>
                </c:pt>
                <c:pt idx="70">
                  <c:v>12.339743589743591</c:v>
                </c:pt>
                <c:pt idx="71">
                  <c:v>12.516025641025642</c:v>
                </c:pt>
                <c:pt idx="72">
                  <c:v>12.692307692307692</c:v>
                </c:pt>
                <c:pt idx="73">
                  <c:v>12.868589743589743</c:v>
                </c:pt>
                <c:pt idx="74">
                  <c:v>13.044871794871796</c:v>
                </c:pt>
                <c:pt idx="75">
                  <c:v>13.221153846153847</c:v>
                </c:pt>
                <c:pt idx="76">
                  <c:v>13.397435897435898</c:v>
                </c:pt>
                <c:pt idx="77">
                  <c:v>13.573717948717949</c:v>
                </c:pt>
                <c:pt idx="78">
                  <c:v>13.75</c:v>
                </c:pt>
                <c:pt idx="79">
                  <c:v>13.926282051282051</c:v>
                </c:pt>
                <c:pt idx="80">
                  <c:v>14.102564102564102</c:v>
                </c:pt>
                <c:pt idx="81">
                  <c:v>14.278846153846153</c:v>
                </c:pt>
                <c:pt idx="82">
                  <c:v>14.455128205128204</c:v>
                </c:pt>
                <c:pt idx="83">
                  <c:v>14.631410256410257</c:v>
                </c:pt>
                <c:pt idx="84">
                  <c:v>14.807692307692308</c:v>
                </c:pt>
                <c:pt idx="85">
                  <c:v>14.983974358974358</c:v>
                </c:pt>
                <c:pt idx="86">
                  <c:v>15.160256410256409</c:v>
                </c:pt>
                <c:pt idx="87">
                  <c:v>15.336538461538462</c:v>
                </c:pt>
                <c:pt idx="88">
                  <c:v>15.512820512820513</c:v>
                </c:pt>
                <c:pt idx="89">
                  <c:v>15.689102564102564</c:v>
                </c:pt>
                <c:pt idx="90">
                  <c:v>15.865384615384615</c:v>
                </c:pt>
                <c:pt idx="91">
                  <c:v>16.041666666666668</c:v>
                </c:pt>
                <c:pt idx="92">
                  <c:v>16.217948717948719</c:v>
                </c:pt>
                <c:pt idx="93">
                  <c:v>16.39423076923077</c:v>
                </c:pt>
                <c:pt idx="94">
                  <c:v>16.570512820512821</c:v>
                </c:pt>
                <c:pt idx="95">
                  <c:v>16.746794871794872</c:v>
                </c:pt>
                <c:pt idx="96">
                  <c:v>16.923076923076923</c:v>
                </c:pt>
                <c:pt idx="97">
                  <c:v>17.099358974358974</c:v>
                </c:pt>
                <c:pt idx="98">
                  <c:v>17.275641025641026</c:v>
                </c:pt>
                <c:pt idx="99">
                  <c:v>17.451923076923077</c:v>
                </c:pt>
                <c:pt idx="100">
                  <c:v>17.628205128205128</c:v>
                </c:pt>
                <c:pt idx="101">
                  <c:v>17.804487179487179</c:v>
                </c:pt>
              </c:numCache>
            </c:numRef>
          </c:yVal>
          <c:smooth val="1"/>
          <c:extLst>
            <c:ext xmlns:c16="http://schemas.microsoft.com/office/drawing/2014/chart" uri="{C3380CC4-5D6E-409C-BE32-E72D297353CC}">
              <c16:uniqueId val="{00000000-599F-4709-A81F-37F79BC45DA4}"/>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0.52884615384615385</c:v>
                </c:pt>
                <c:pt idx="2">
                  <c:v>1.0576923076923077</c:v>
                </c:pt>
                <c:pt idx="3">
                  <c:v>1.5865384615384617</c:v>
                </c:pt>
                <c:pt idx="4">
                  <c:v>2.1153846153846154</c:v>
                </c:pt>
                <c:pt idx="5">
                  <c:v>2.6442307692307692</c:v>
                </c:pt>
                <c:pt idx="6">
                  <c:v>3.1730769230769234</c:v>
                </c:pt>
                <c:pt idx="7">
                  <c:v>3.7019230769230766</c:v>
                </c:pt>
                <c:pt idx="8">
                  <c:v>4.2307692307692308</c:v>
                </c:pt>
                <c:pt idx="9">
                  <c:v>4.7596153846153841</c:v>
                </c:pt>
                <c:pt idx="10">
                  <c:v>5.2884615384615383</c:v>
                </c:pt>
                <c:pt idx="11">
                  <c:v>5.8173076923076925</c:v>
                </c:pt>
                <c:pt idx="12">
                  <c:v>6.3461538461538467</c:v>
                </c:pt>
                <c:pt idx="13">
                  <c:v>6.875</c:v>
                </c:pt>
                <c:pt idx="14">
                  <c:v>7.4038461538461533</c:v>
                </c:pt>
                <c:pt idx="15">
                  <c:v>7.9326923076923066</c:v>
                </c:pt>
                <c:pt idx="16">
                  <c:v>8.4615384615384617</c:v>
                </c:pt>
                <c:pt idx="17">
                  <c:v>8.990384615384615</c:v>
                </c:pt>
                <c:pt idx="18">
                  <c:v>9.5192307692307683</c:v>
                </c:pt>
                <c:pt idx="19">
                  <c:v>10.048076923076923</c:v>
                </c:pt>
                <c:pt idx="20">
                  <c:v>10.576923076923077</c:v>
                </c:pt>
                <c:pt idx="21">
                  <c:v>11.105769230769232</c:v>
                </c:pt>
                <c:pt idx="22">
                  <c:v>11.634615384615385</c:v>
                </c:pt>
                <c:pt idx="23">
                  <c:v>12.163461538461538</c:v>
                </c:pt>
                <c:pt idx="24">
                  <c:v>12.692307692307693</c:v>
                </c:pt>
                <c:pt idx="25">
                  <c:v>13.221153846153847</c:v>
                </c:pt>
                <c:pt idx="26">
                  <c:v>13.75</c:v>
                </c:pt>
                <c:pt idx="27">
                  <c:v>14.278846153846155</c:v>
                </c:pt>
                <c:pt idx="28">
                  <c:v>14.807692307692307</c:v>
                </c:pt>
                <c:pt idx="29">
                  <c:v>15.336538461538462</c:v>
                </c:pt>
                <c:pt idx="30">
                  <c:v>15.865384615384613</c:v>
                </c:pt>
                <c:pt idx="31">
                  <c:v>16.39423076923077</c:v>
                </c:pt>
                <c:pt idx="32">
                  <c:v>16.923076923076923</c:v>
                </c:pt>
                <c:pt idx="33">
                  <c:v>17.451923076923077</c:v>
                </c:pt>
                <c:pt idx="34">
                  <c:v>17.98076923076923</c:v>
                </c:pt>
                <c:pt idx="35">
                  <c:v>18.509615384615387</c:v>
                </c:pt>
                <c:pt idx="36">
                  <c:v>19.038461538461537</c:v>
                </c:pt>
                <c:pt idx="37">
                  <c:v>19.567307692307693</c:v>
                </c:pt>
                <c:pt idx="38">
                  <c:v>20.096153846153847</c:v>
                </c:pt>
                <c:pt idx="39">
                  <c:v>20.625</c:v>
                </c:pt>
                <c:pt idx="40">
                  <c:v>21.153846153846153</c:v>
                </c:pt>
                <c:pt idx="41">
                  <c:v>21.682692307692307</c:v>
                </c:pt>
                <c:pt idx="42">
                  <c:v>22.211538461538463</c:v>
                </c:pt>
                <c:pt idx="43">
                  <c:v>22.740384615384613</c:v>
                </c:pt>
                <c:pt idx="44">
                  <c:v>23.26923076923077</c:v>
                </c:pt>
                <c:pt idx="45">
                  <c:v>23.798076923076923</c:v>
                </c:pt>
                <c:pt idx="46">
                  <c:v>24.326923076923077</c:v>
                </c:pt>
                <c:pt idx="47">
                  <c:v>24.85576923076923</c:v>
                </c:pt>
                <c:pt idx="48">
                  <c:v>25.384615384615387</c:v>
                </c:pt>
                <c:pt idx="49">
                  <c:v>25.913461538461537</c:v>
                </c:pt>
                <c:pt idx="50">
                  <c:v>26.442307692307693</c:v>
                </c:pt>
                <c:pt idx="51">
                  <c:v>26.971153846153847</c:v>
                </c:pt>
                <c:pt idx="52">
                  <c:v>27.5</c:v>
                </c:pt>
                <c:pt idx="53">
                  <c:v>28.028846153846153</c:v>
                </c:pt>
                <c:pt idx="54">
                  <c:v>28.55769230769231</c:v>
                </c:pt>
                <c:pt idx="55">
                  <c:v>29.086538461538463</c:v>
                </c:pt>
                <c:pt idx="56">
                  <c:v>29.615384615384613</c:v>
                </c:pt>
                <c:pt idx="57">
                  <c:v>30.144230769230774</c:v>
                </c:pt>
                <c:pt idx="58">
                  <c:v>30.673076923076923</c:v>
                </c:pt>
                <c:pt idx="59">
                  <c:v>31.201923076923077</c:v>
                </c:pt>
                <c:pt idx="60">
                  <c:v>31.730769230769226</c:v>
                </c:pt>
                <c:pt idx="61">
                  <c:v>32.259615384615387</c:v>
                </c:pt>
                <c:pt idx="62">
                  <c:v>32.78846153846154</c:v>
                </c:pt>
                <c:pt idx="63">
                  <c:v>33.317307692307693</c:v>
                </c:pt>
                <c:pt idx="64">
                  <c:v>33.846153846153847</c:v>
                </c:pt>
                <c:pt idx="65">
                  <c:v>34.375</c:v>
                </c:pt>
                <c:pt idx="66">
                  <c:v>34.903846153846153</c:v>
                </c:pt>
                <c:pt idx="67">
                  <c:v>35.432692307692307</c:v>
                </c:pt>
                <c:pt idx="68">
                  <c:v>35.96153846153846</c:v>
                </c:pt>
                <c:pt idx="69">
                  <c:v>36.490384615384613</c:v>
                </c:pt>
                <c:pt idx="70">
                  <c:v>37.019230769230774</c:v>
                </c:pt>
                <c:pt idx="71">
                  <c:v>37.548076923076927</c:v>
                </c:pt>
                <c:pt idx="72">
                  <c:v>38.076923076923073</c:v>
                </c:pt>
                <c:pt idx="73">
                  <c:v>38.605769230769226</c:v>
                </c:pt>
                <c:pt idx="74">
                  <c:v>39.134615384615387</c:v>
                </c:pt>
                <c:pt idx="75">
                  <c:v>39.66346153846154</c:v>
                </c:pt>
                <c:pt idx="76">
                  <c:v>40.192307692307693</c:v>
                </c:pt>
                <c:pt idx="77">
                  <c:v>40.721153846153847</c:v>
                </c:pt>
                <c:pt idx="78">
                  <c:v>41.25</c:v>
                </c:pt>
                <c:pt idx="79">
                  <c:v>41.778846153846153</c:v>
                </c:pt>
                <c:pt idx="80">
                  <c:v>42.307692307692307</c:v>
                </c:pt>
                <c:pt idx="81">
                  <c:v>42.83653846153846</c:v>
                </c:pt>
                <c:pt idx="82">
                  <c:v>43.365384615384613</c:v>
                </c:pt>
                <c:pt idx="83">
                  <c:v>43.894230769230774</c:v>
                </c:pt>
                <c:pt idx="84">
                  <c:v>44.423076923076927</c:v>
                </c:pt>
                <c:pt idx="85">
                  <c:v>44.951923076923073</c:v>
                </c:pt>
                <c:pt idx="86">
                  <c:v>45.480769230769226</c:v>
                </c:pt>
                <c:pt idx="87">
                  <c:v>46.009615384615387</c:v>
                </c:pt>
                <c:pt idx="88">
                  <c:v>46.53846153846154</c:v>
                </c:pt>
                <c:pt idx="89">
                  <c:v>47.067307692307693</c:v>
                </c:pt>
                <c:pt idx="90">
                  <c:v>47.596153846153847</c:v>
                </c:pt>
                <c:pt idx="91">
                  <c:v>48.125</c:v>
                </c:pt>
                <c:pt idx="92">
                  <c:v>48.653846153846153</c:v>
                </c:pt>
                <c:pt idx="93">
                  <c:v>49.182692307692307</c:v>
                </c:pt>
                <c:pt idx="94">
                  <c:v>49.71153846153846</c:v>
                </c:pt>
                <c:pt idx="95">
                  <c:v>50.240384615384613</c:v>
                </c:pt>
                <c:pt idx="96">
                  <c:v>50.769230769230774</c:v>
                </c:pt>
                <c:pt idx="97">
                  <c:v>51.298076923076927</c:v>
                </c:pt>
                <c:pt idx="98">
                  <c:v>51.826923076923073</c:v>
                </c:pt>
                <c:pt idx="99">
                  <c:v>52.355769230769226</c:v>
                </c:pt>
                <c:pt idx="100">
                  <c:v>52.884615384615387</c:v>
                </c:pt>
                <c:pt idx="101">
                  <c:v>53.41346153846154</c:v>
                </c:pt>
              </c:numCache>
            </c:numRef>
          </c:xVal>
          <c:yVal>
            <c:numRef>
              <c:f>Start_up!$G$10:$G$112</c:f>
              <c:numCache>
                <c:formatCode>General</c:formatCode>
                <c:ptCount val="103"/>
                <c:pt idx="0">
                  <c:v>7</c:v>
                </c:pt>
                <c:pt idx="1">
                  <c:v>7</c:v>
                </c:pt>
                <c:pt idx="2">
                  <c:v>7</c:v>
                </c:pt>
                <c:pt idx="3">
                  <c:v>7</c:v>
                </c:pt>
                <c:pt idx="4">
                  <c:v>7</c:v>
                </c:pt>
                <c:pt idx="5">
                  <c:v>7</c:v>
                </c:pt>
                <c:pt idx="6">
                  <c:v>7</c:v>
                </c:pt>
                <c:pt idx="7">
                  <c:v>7</c:v>
                </c:pt>
                <c:pt idx="8">
                  <c:v>7</c:v>
                </c:pt>
                <c:pt idx="9">
                  <c:v>7</c:v>
                </c:pt>
                <c:pt idx="10">
                  <c:v>7</c:v>
                </c:pt>
                <c:pt idx="11">
                  <c:v>7</c:v>
                </c:pt>
                <c:pt idx="12">
                  <c:v>9.115384615384615</c:v>
                </c:pt>
                <c:pt idx="13">
                  <c:v>9.2916666666666661</c:v>
                </c:pt>
                <c:pt idx="14">
                  <c:v>9.4679487179487172</c:v>
                </c:pt>
                <c:pt idx="15">
                  <c:v>9.6442307692307683</c:v>
                </c:pt>
                <c:pt idx="16">
                  <c:v>9.8205128205128212</c:v>
                </c:pt>
                <c:pt idx="17">
                  <c:v>9.9967948717948723</c:v>
                </c:pt>
                <c:pt idx="18">
                  <c:v>10.173076923076923</c:v>
                </c:pt>
                <c:pt idx="19">
                  <c:v>10.349358974358974</c:v>
                </c:pt>
                <c:pt idx="20">
                  <c:v>10.525641025641026</c:v>
                </c:pt>
                <c:pt idx="21">
                  <c:v>10.701923076923077</c:v>
                </c:pt>
                <c:pt idx="22">
                  <c:v>10.878205128205128</c:v>
                </c:pt>
                <c:pt idx="23">
                  <c:v>11.054487179487179</c:v>
                </c:pt>
                <c:pt idx="24">
                  <c:v>11.23076923076923</c:v>
                </c:pt>
                <c:pt idx="25">
                  <c:v>11.407051282051281</c:v>
                </c:pt>
                <c:pt idx="26">
                  <c:v>11.583333333333332</c:v>
                </c:pt>
                <c:pt idx="27">
                  <c:v>11.759615384615385</c:v>
                </c:pt>
                <c:pt idx="28">
                  <c:v>11.935897435897434</c:v>
                </c:pt>
                <c:pt idx="29">
                  <c:v>12.112179487179487</c:v>
                </c:pt>
                <c:pt idx="30">
                  <c:v>12.288461538461537</c:v>
                </c:pt>
                <c:pt idx="31">
                  <c:v>12.464743589743591</c:v>
                </c:pt>
                <c:pt idx="32">
                  <c:v>12.641025641025642</c:v>
                </c:pt>
                <c:pt idx="33">
                  <c:v>12.817307692307693</c:v>
                </c:pt>
                <c:pt idx="34">
                  <c:v>12.993589743589745</c:v>
                </c:pt>
                <c:pt idx="35">
                  <c:v>13.169871794871796</c:v>
                </c:pt>
                <c:pt idx="36">
                  <c:v>13.346153846153847</c:v>
                </c:pt>
                <c:pt idx="37">
                  <c:v>13.522435897435898</c:v>
                </c:pt>
                <c:pt idx="38">
                  <c:v>13.698717948717949</c:v>
                </c:pt>
                <c:pt idx="39">
                  <c:v>13.875</c:v>
                </c:pt>
                <c:pt idx="40">
                  <c:v>14.051282051282051</c:v>
                </c:pt>
                <c:pt idx="41">
                  <c:v>14.227564102564102</c:v>
                </c:pt>
                <c:pt idx="42">
                  <c:v>14.403846153846153</c:v>
                </c:pt>
                <c:pt idx="43">
                  <c:v>14.580128205128204</c:v>
                </c:pt>
                <c:pt idx="44">
                  <c:v>14.756410256410255</c:v>
                </c:pt>
                <c:pt idx="45">
                  <c:v>14.932692307692307</c:v>
                </c:pt>
                <c:pt idx="46">
                  <c:v>15.108974358974359</c:v>
                </c:pt>
                <c:pt idx="47">
                  <c:v>15.285256410256411</c:v>
                </c:pt>
                <c:pt idx="48">
                  <c:v>15.461538461538462</c:v>
                </c:pt>
                <c:pt idx="49">
                  <c:v>15.637820512820513</c:v>
                </c:pt>
                <c:pt idx="50">
                  <c:v>15.814102564102564</c:v>
                </c:pt>
                <c:pt idx="51">
                  <c:v>15.990384615384615</c:v>
                </c:pt>
                <c:pt idx="52">
                  <c:v>16.166666666666664</c:v>
                </c:pt>
                <c:pt idx="53">
                  <c:v>16.342948717948715</c:v>
                </c:pt>
                <c:pt idx="54">
                  <c:v>16.51923076923077</c:v>
                </c:pt>
                <c:pt idx="55">
                  <c:v>16.695512820512821</c:v>
                </c:pt>
                <c:pt idx="56">
                  <c:v>16.871794871794869</c:v>
                </c:pt>
                <c:pt idx="57">
                  <c:v>17.048076923076927</c:v>
                </c:pt>
                <c:pt idx="58">
                  <c:v>17.224358974358974</c:v>
                </c:pt>
                <c:pt idx="59">
                  <c:v>17.400641025641026</c:v>
                </c:pt>
                <c:pt idx="60">
                  <c:v>17.576923076923073</c:v>
                </c:pt>
                <c:pt idx="61">
                  <c:v>17.753205128205131</c:v>
                </c:pt>
                <c:pt idx="62">
                  <c:v>17.929487179487182</c:v>
                </c:pt>
                <c:pt idx="63">
                  <c:v>18.105769230769234</c:v>
                </c:pt>
                <c:pt idx="64">
                  <c:v>18.282051282051285</c:v>
                </c:pt>
                <c:pt idx="65">
                  <c:v>18.458333333333336</c:v>
                </c:pt>
                <c:pt idx="66">
                  <c:v>18.634615384615387</c:v>
                </c:pt>
                <c:pt idx="67">
                  <c:v>18.810897435897438</c:v>
                </c:pt>
                <c:pt idx="68">
                  <c:v>18.987179487179489</c:v>
                </c:pt>
                <c:pt idx="69">
                  <c:v>19.16346153846154</c:v>
                </c:pt>
                <c:pt idx="70">
                  <c:v>19.339743589743591</c:v>
                </c:pt>
                <c:pt idx="71">
                  <c:v>19.516025641025642</c:v>
                </c:pt>
                <c:pt idx="72">
                  <c:v>19.692307692307693</c:v>
                </c:pt>
                <c:pt idx="73">
                  <c:v>19.868589743589745</c:v>
                </c:pt>
                <c:pt idx="74">
                  <c:v>20.044871794871796</c:v>
                </c:pt>
                <c:pt idx="75">
                  <c:v>20.221153846153847</c:v>
                </c:pt>
                <c:pt idx="76">
                  <c:v>20.397435897435898</c:v>
                </c:pt>
                <c:pt idx="77">
                  <c:v>20.573717948717949</c:v>
                </c:pt>
                <c:pt idx="78">
                  <c:v>20.75</c:v>
                </c:pt>
                <c:pt idx="79">
                  <c:v>20.926282051282051</c:v>
                </c:pt>
                <c:pt idx="80">
                  <c:v>21.102564102564102</c:v>
                </c:pt>
                <c:pt idx="81">
                  <c:v>21.278846153846153</c:v>
                </c:pt>
                <c:pt idx="82">
                  <c:v>21.455128205128204</c:v>
                </c:pt>
                <c:pt idx="83">
                  <c:v>21.631410256410255</c:v>
                </c:pt>
                <c:pt idx="84">
                  <c:v>21.807692307692307</c:v>
                </c:pt>
                <c:pt idx="85">
                  <c:v>21.983974358974358</c:v>
                </c:pt>
                <c:pt idx="86">
                  <c:v>22.160256410256409</c:v>
                </c:pt>
                <c:pt idx="87">
                  <c:v>22.33653846153846</c:v>
                </c:pt>
                <c:pt idx="88">
                  <c:v>22.512820512820511</c:v>
                </c:pt>
                <c:pt idx="89">
                  <c:v>22.689102564102562</c:v>
                </c:pt>
                <c:pt idx="90">
                  <c:v>22.865384615384613</c:v>
                </c:pt>
                <c:pt idx="91">
                  <c:v>23.041666666666668</c:v>
                </c:pt>
                <c:pt idx="92">
                  <c:v>23.217948717948719</c:v>
                </c:pt>
                <c:pt idx="93">
                  <c:v>23.39423076923077</c:v>
                </c:pt>
                <c:pt idx="94">
                  <c:v>23.570512820512821</c:v>
                </c:pt>
                <c:pt idx="95">
                  <c:v>23.746794871794872</c:v>
                </c:pt>
                <c:pt idx="96">
                  <c:v>23.923076923076923</c:v>
                </c:pt>
                <c:pt idx="97">
                  <c:v>24.099358974358974</c:v>
                </c:pt>
                <c:pt idx="98">
                  <c:v>24.275641025641026</c:v>
                </c:pt>
                <c:pt idx="99">
                  <c:v>24.451923076923077</c:v>
                </c:pt>
                <c:pt idx="100">
                  <c:v>24.628205128205128</c:v>
                </c:pt>
                <c:pt idx="101">
                  <c:v>24.804487179487179</c:v>
                </c:pt>
                <c:pt idx="102">
                  <c:v>24.98076923076923</c:v>
                </c:pt>
              </c:numCache>
            </c:numRef>
          </c:yVal>
          <c:smooth val="1"/>
          <c:extLst>
            <c:ext xmlns:c16="http://schemas.microsoft.com/office/drawing/2014/chart" uri="{C3380CC4-5D6E-409C-BE32-E72D297353CC}">
              <c16:uniqueId val="{00000001-599F-4709-A81F-37F79BC45DA4}"/>
            </c:ext>
          </c:extLst>
        </c:ser>
        <c:dLbls>
          <c:showLegendKey val="0"/>
          <c:showVal val="0"/>
          <c:showCatName val="0"/>
          <c:showSerName val="0"/>
          <c:showPercent val="0"/>
          <c:showBubbleSize val="0"/>
        </c:dLbls>
        <c:axId val="161790976"/>
        <c:axId val="161793152"/>
      </c:scatterChart>
      <c:valAx>
        <c:axId val="161790976"/>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161793152"/>
        <c:crosses val="autoZero"/>
        <c:crossBetween val="midCat"/>
      </c:valAx>
      <c:valAx>
        <c:axId val="161793152"/>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161790976"/>
        <c:crosses val="autoZero"/>
        <c:crossBetween val="midCat"/>
      </c:valAx>
    </c:plotArea>
    <c:legend>
      <c:legendPos val="r"/>
      <c:layout>
        <c:manualLayout>
          <c:xMode val="edge"/>
          <c:yMode val="edge"/>
          <c:x val="0.34624252358789726"/>
          <c:y val="0.24479126489117176"/>
          <c:w val="0.21462230092985587"/>
          <c:h val="0.16792443955258282"/>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hyperlink" Target="https://training.ti.com/node/1133673" TargetMode="External"/><Relationship Id="rId13"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raining.ti.com/node/1133677" TargetMode="External"/><Relationship Id="rId2" Type="http://schemas.openxmlformats.org/officeDocument/2006/relationships/image" Target="../media/image2.png"/><Relationship Id="rId16" Type="http://schemas.openxmlformats.org/officeDocument/2006/relationships/image" Target="../media/image11.png"/><Relationship Id="rId1" Type="http://schemas.openxmlformats.org/officeDocument/2006/relationships/hyperlink" Target="http://www.ti.com" TargetMode="External"/><Relationship Id="rId6" Type="http://schemas.openxmlformats.org/officeDocument/2006/relationships/chart" Target="../charts/chart2.xm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10.png"/><Relationship Id="rId10" Type="http://schemas.openxmlformats.org/officeDocument/2006/relationships/hyperlink" Target="https://training.ti.com/node/1133664" TargetMode="External"/><Relationship Id="rId4" Type="http://schemas.openxmlformats.org/officeDocument/2006/relationships/chart" Target="../charts/chart1.xml"/><Relationship Id="rId9" Type="http://schemas.openxmlformats.org/officeDocument/2006/relationships/image" Target="../media/image6.png"/><Relationship Id="rId1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95250</xdr:rowOff>
    </xdr:from>
    <xdr:to>
      <xdr:col>15</xdr:col>
      <xdr:colOff>581025</xdr:colOff>
      <xdr:row>5</xdr:row>
      <xdr:rowOff>28575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66700"/>
          <a:ext cx="9725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xdr:row>
      <xdr:rowOff>0</xdr:rowOff>
    </xdr:from>
    <xdr:to>
      <xdr:col>4</xdr:col>
      <xdr:colOff>0</xdr:colOff>
      <xdr:row>4</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33375"/>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26669</xdr:colOff>
      <xdr:row>1</xdr:row>
      <xdr:rowOff>104775</xdr:rowOff>
    </xdr:from>
    <xdr:to>
      <xdr:col>7</xdr:col>
      <xdr:colOff>19050</xdr:colOff>
      <xdr:row>7</xdr:row>
      <xdr:rowOff>33617</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26669" y="877981"/>
          <a:ext cx="6973646" cy="91496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This worksheet provides reasonable understanding on the Mosfet SOA margin while starting up with dvdt control.Tolerances of the components are not included in the calculations. See the Instructions tab for additional information.</a:t>
          </a:r>
        </a:p>
      </xdr:txBody>
    </xdr:sp>
    <xdr:clientData/>
  </xdr:twoCellAnchor>
  <xdr:twoCellAnchor>
    <xdr:from>
      <xdr:col>39</xdr:col>
      <xdr:colOff>0</xdr:colOff>
      <xdr:row>57</xdr:row>
      <xdr:rowOff>0</xdr:rowOff>
    </xdr:from>
    <xdr:to>
      <xdr:col>39</xdr:col>
      <xdr:colOff>0</xdr:colOff>
      <xdr:row>65</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1</xdr:col>
      <xdr:colOff>50987</xdr:colOff>
      <xdr:row>0</xdr:row>
      <xdr:rowOff>171450</xdr:rowOff>
    </xdr:from>
    <xdr:to>
      <xdr:col>1</xdr:col>
      <xdr:colOff>1713717</xdr:colOff>
      <xdr:row>0</xdr:row>
      <xdr:rowOff>609600</xdr:rowOff>
    </xdr:to>
    <xdr:pic>
      <xdr:nvPicPr>
        <xdr:cNvPr id="10" name="Picture 9">
          <a:hlinkClick xmlns:r="http://schemas.openxmlformats.org/officeDocument/2006/relationships" r:id="rId1"/>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print"/>
        <a:srcRect r="26499"/>
        <a:stretch>
          <a:fillRect/>
        </a:stretch>
      </xdr:blipFill>
      <xdr:spPr bwMode="auto">
        <a:xfrm>
          <a:off x="84605" y="171450"/>
          <a:ext cx="1662730" cy="438150"/>
        </a:xfrm>
        <a:prstGeom prst="rect">
          <a:avLst/>
        </a:prstGeom>
        <a:noFill/>
        <a:ln w="9525">
          <a:noFill/>
          <a:miter lim="800000"/>
          <a:headEnd/>
          <a:tailEnd/>
        </a:ln>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xdr:from>
      <xdr:col>7</xdr:col>
      <xdr:colOff>274321</xdr:colOff>
      <xdr:row>47</xdr:row>
      <xdr:rowOff>76201</xdr:rowOff>
    </xdr:from>
    <xdr:to>
      <xdr:col>38</xdr:col>
      <xdr:colOff>209550</xdr:colOff>
      <xdr:row>63</xdr:row>
      <xdr:rowOff>107950</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8</xdr:col>
      <xdr:colOff>53340</xdr:colOff>
      <xdr:row>46</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434340</xdr:colOff>
      <xdr:row>53</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12</xdr:col>
      <xdr:colOff>662940</xdr:colOff>
      <xdr:row>67</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335280</xdr:colOff>
      <xdr:row>91</xdr:row>
      <xdr:rowOff>120015</xdr:rowOff>
    </xdr:from>
    <xdr:to>
      <xdr:col>10</xdr:col>
      <xdr:colOff>603849</xdr:colOff>
      <xdr:row>101</xdr:row>
      <xdr:rowOff>100642</xdr:rowOff>
    </xdr:to>
    <xdr:grpSp>
      <xdr:nvGrpSpPr>
        <xdr:cNvPr id="7" name="Group 6">
          <a:extLst>
            <a:ext uri="{FF2B5EF4-FFF2-40B4-BE49-F238E27FC236}">
              <a16:creationId xmlns:a16="http://schemas.microsoft.com/office/drawing/2014/main" id="{C3C0FEE9-E327-4649-9154-7DE736DC91EE}"/>
            </a:ext>
          </a:extLst>
        </xdr:cNvPr>
        <xdr:cNvGrpSpPr/>
      </xdr:nvGrpSpPr>
      <xdr:grpSpPr>
        <a:xfrm>
          <a:off x="8283986" y="11138647"/>
          <a:ext cx="2210922" cy="0"/>
          <a:chOff x="8153609" y="18606344"/>
          <a:chExt cx="2173996" cy="1796418"/>
        </a:xfrm>
      </xdr:grpSpPr>
      <xdr:pic>
        <xdr:nvPicPr>
          <xdr:cNvPr id="35" name="Picture 34">
            <a:extLst>
              <a:ext uri="{FF2B5EF4-FFF2-40B4-BE49-F238E27FC236}">
                <a16:creationId xmlns:a16="http://schemas.microsoft.com/office/drawing/2014/main" id="{25599EE1-4AD1-41F5-B87D-D7381E7E592B}"/>
              </a:ext>
            </a:extLst>
          </xdr:cNvPr>
          <xdr:cNvPicPr>
            <a:picLocks noChangeAspect="1"/>
          </xdr:cNvPicPr>
        </xdr:nvPicPr>
        <xdr:blipFill>
          <a:blip xmlns:r="http://schemas.openxmlformats.org/officeDocument/2006/relationships" r:embed="rId5"/>
          <a:stretch>
            <a:fillRect/>
          </a:stretch>
        </xdr:blipFill>
        <xdr:spPr>
          <a:xfrm>
            <a:off x="8153609" y="18606344"/>
            <a:ext cx="2173996" cy="1796418"/>
          </a:xfrm>
          <a:prstGeom prst="rect">
            <a:avLst/>
          </a:prstGeom>
        </xdr:spPr>
      </xdr:pic>
      <xdr:sp macro="" textlink="">
        <xdr:nvSpPr>
          <xdr:cNvPr id="6" name="TextBox 5">
            <a:extLst>
              <a:ext uri="{FF2B5EF4-FFF2-40B4-BE49-F238E27FC236}">
                <a16:creationId xmlns:a16="http://schemas.microsoft.com/office/drawing/2014/main" id="{D83CBE66-5ABA-4591-A7A1-E64EC00DDB9F}"/>
              </a:ext>
            </a:extLst>
          </xdr:cNvPr>
          <xdr:cNvSpPr txBox="1"/>
        </xdr:nvSpPr>
        <xdr:spPr>
          <a:xfrm>
            <a:off x="9340850" y="19230215"/>
            <a:ext cx="379293" cy="288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R2</a:t>
            </a:r>
          </a:p>
        </xdr:txBody>
      </xdr:sp>
    </xdr:grpSp>
    <xdr:clientData/>
  </xdr:twoCellAnchor>
  <xdr:twoCellAnchor>
    <xdr:from>
      <xdr:col>7</xdr:col>
      <xdr:colOff>71888</xdr:colOff>
      <xdr:row>65</xdr:row>
      <xdr:rowOff>144779</xdr:rowOff>
    </xdr:from>
    <xdr:to>
      <xdr:col>38</xdr:col>
      <xdr:colOff>686521</xdr:colOff>
      <xdr:row>78</xdr:row>
      <xdr:rowOff>7187</xdr:rowOff>
    </xdr:to>
    <xdr:graphicFrame macro="">
      <xdr:nvGraphicFramePr>
        <xdr:cNvPr id="24" name="Chart 23">
          <a:extLst>
            <a:ext uri="{FF2B5EF4-FFF2-40B4-BE49-F238E27FC236}">
              <a16:creationId xmlns:a16="http://schemas.microsoft.com/office/drawing/2014/main" id="{DF0A6787-F01E-47FA-AF39-AB8609634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118572</xdr:colOff>
      <xdr:row>106</xdr:row>
      <xdr:rowOff>63487</xdr:rowOff>
    </xdr:from>
    <xdr:to>
      <xdr:col>4</xdr:col>
      <xdr:colOff>934528</xdr:colOff>
      <xdr:row>119</xdr:row>
      <xdr:rowOff>88074</xdr:rowOff>
    </xdr:to>
    <xdr:grpSp>
      <xdr:nvGrpSpPr>
        <xdr:cNvPr id="17" name="Group 16">
          <a:extLst>
            <a:ext uri="{FF2B5EF4-FFF2-40B4-BE49-F238E27FC236}">
              <a16:creationId xmlns:a16="http://schemas.microsoft.com/office/drawing/2014/main" id="{8DC9FF2B-F2F9-4E19-8CCE-6F9DAAFE475E}"/>
            </a:ext>
          </a:extLst>
        </xdr:cNvPr>
        <xdr:cNvGrpSpPr/>
      </xdr:nvGrpSpPr>
      <xdr:grpSpPr>
        <a:xfrm>
          <a:off x="148454" y="11138647"/>
          <a:ext cx="5148898" cy="0"/>
          <a:chOff x="147327" y="21536072"/>
          <a:chExt cx="5057276" cy="2526247"/>
        </a:xfrm>
      </xdr:grpSpPr>
      <xdr:pic>
        <xdr:nvPicPr>
          <xdr:cNvPr id="13" name="Picture 12">
            <a:extLst>
              <a:ext uri="{FF2B5EF4-FFF2-40B4-BE49-F238E27FC236}">
                <a16:creationId xmlns:a16="http://schemas.microsoft.com/office/drawing/2014/main" id="{24C63187-AF1A-488F-A4CB-BCA4D4367A3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47327" y="21536072"/>
            <a:ext cx="5057276" cy="2526247"/>
          </a:xfrm>
          <a:prstGeom prst="rect">
            <a:avLst/>
          </a:prstGeom>
        </xdr:spPr>
      </xdr:pic>
      <xdr:sp macro="" textlink="">
        <xdr:nvSpPr>
          <xdr:cNvPr id="15" name="TextBox 14">
            <a:extLst>
              <a:ext uri="{FF2B5EF4-FFF2-40B4-BE49-F238E27FC236}">
                <a16:creationId xmlns:a16="http://schemas.microsoft.com/office/drawing/2014/main" id="{AD0F7310-B833-4978-850B-41473D2D210E}"/>
              </a:ext>
            </a:extLst>
          </xdr:cNvPr>
          <xdr:cNvSpPr txBox="1"/>
        </xdr:nvSpPr>
        <xdr:spPr>
          <a:xfrm>
            <a:off x="265982" y="21954226"/>
            <a:ext cx="287546" cy="186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Z1</a:t>
            </a:r>
          </a:p>
        </xdr:txBody>
      </xdr:sp>
    </xdr:grpSp>
    <xdr:clientData/>
  </xdr:twoCellAnchor>
  <xdr:twoCellAnchor editAs="oneCell">
    <xdr:from>
      <xdr:col>1</xdr:col>
      <xdr:colOff>7620</xdr:colOff>
      <xdr:row>49</xdr:row>
      <xdr:rowOff>114300</xdr:rowOff>
    </xdr:from>
    <xdr:to>
      <xdr:col>1</xdr:col>
      <xdr:colOff>1878678</xdr:colOff>
      <xdr:row>55</xdr:row>
      <xdr:rowOff>45720</xdr:rowOff>
    </xdr:to>
    <xdr:pic>
      <xdr:nvPicPr>
        <xdr:cNvPr id="26" name="Picture 25">
          <a:hlinkClick xmlns:r="http://schemas.openxmlformats.org/officeDocument/2006/relationships" r:id="rId8"/>
          <a:extLst>
            <a:ext uri="{FF2B5EF4-FFF2-40B4-BE49-F238E27FC236}">
              <a16:creationId xmlns:a16="http://schemas.microsoft.com/office/drawing/2014/main" id="{37F4A645-F28B-4CFE-A26A-73340EA67723}"/>
            </a:ext>
          </a:extLst>
        </xdr:cNvPr>
        <xdr:cNvPicPr>
          <a:picLocks noChangeAspect="1"/>
        </xdr:cNvPicPr>
      </xdr:nvPicPr>
      <xdr:blipFill>
        <a:blip xmlns:r="http://schemas.openxmlformats.org/officeDocument/2006/relationships" r:embed="rId9"/>
        <a:stretch>
          <a:fillRect/>
        </a:stretch>
      </xdr:blipFill>
      <xdr:spPr>
        <a:xfrm>
          <a:off x="38100" y="5501640"/>
          <a:ext cx="1864708" cy="1089660"/>
        </a:xfrm>
        <a:prstGeom prst="rect">
          <a:avLst/>
        </a:prstGeom>
      </xdr:spPr>
    </xdr:pic>
    <xdr:clientData/>
  </xdr:twoCellAnchor>
  <xdr:twoCellAnchor editAs="oneCell">
    <xdr:from>
      <xdr:col>1</xdr:col>
      <xdr:colOff>15240</xdr:colOff>
      <xdr:row>67</xdr:row>
      <xdr:rowOff>76200</xdr:rowOff>
    </xdr:from>
    <xdr:to>
      <xdr:col>1</xdr:col>
      <xdr:colOff>1991965</xdr:colOff>
      <xdr:row>73</xdr:row>
      <xdr:rowOff>134054</xdr:rowOff>
    </xdr:to>
    <xdr:pic>
      <xdr:nvPicPr>
        <xdr:cNvPr id="27" name="Picture 26">
          <a:hlinkClick xmlns:r="http://schemas.openxmlformats.org/officeDocument/2006/relationships" r:id="rId10"/>
          <a:extLst>
            <a:ext uri="{FF2B5EF4-FFF2-40B4-BE49-F238E27FC236}">
              <a16:creationId xmlns:a16="http://schemas.microsoft.com/office/drawing/2014/main" id="{472C6922-F9E6-46A2-97A7-F67DE950C1D1}"/>
            </a:ext>
          </a:extLst>
        </xdr:cNvPr>
        <xdr:cNvPicPr>
          <a:picLocks noChangeAspect="1"/>
        </xdr:cNvPicPr>
      </xdr:nvPicPr>
      <xdr:blipFill>
        <a:blip xmlns:r="http://schemas.openxmlformats.org/officeDocument/2006/relationships" r:embed="rId11"/>
        <a:stretch>
          <a:fillRect/>
        </a:stretch>
      </xdr:blipFill>
      <xdr:spPr>
        <a:xfrm>
          <a:off x="45720" y="8999220"/>
          <a:ext cx="1976725" cy="1155134"/>
        </a:xfrm>
        <a:prstGeom prst="rect">
          <a:avLst/>
        </a:prstGeom>
      </xdr:spPr>
    </xdr:pic>
    <xdr:clientData/>
  </xdr:twoCellAnchor>
  <xdr:twoCellAnchor editAs="oneCell">
    <xdr:from>
      <xdr:col>1</xdr:col>
      <xdr:colOff>53340</xdr:colOff>
      <xdr:row>14</xdr:row>
      <xdr:rowOff>182880</xdr:rowOff>
    </xdr:from>
    <xdr:to>
      <xdr:col>1</xdr:col>
      <xdr:colOff>1801730</xdr:colOff>
      <xdr:row>21</xdr:row>
      <xdr:rowOff>179301</xdr:rowOff>
    </xdr:to>
    <xdr:pic>
      <xdr:nvPicPr>
        <xdr:cNvPr id="29" name="Picture 28">
          <a:hlinkClick xmlns:r="http://schemas.openxmlformats.org/officeDocument/2006/relationships" r:id="rId12"/>
          <a:extLst>
            <a:ext uri="{FF2B5EF4-FFF2-40B4-BE49-F238E27FC236}">
              <a16:creationId xmlns:a16="http://schemas.microsoft.com/office/drawing/2014/main" id="{B92F952D-6DB1-4628-91B1-0F71D05D08D2}"/>
            </a:ext>
          </a:extLst>
        </xdr:cNvPr>
        <xdr:cNvPicPr>
          <a:picLocks noChangeAspect="1"/>
        </xdr:cNvPicPr>
      </xdr:nvPicPr>
      <xdr:blipFill>
        <a:blip xmlns:r="http://schemas.openxmlformats.org/officeDocument/2006/relationships" r:embed="rId13"/>
        <a:stretch>
          <a:fillRect/>
        </a:stretch>
      </xdr:blipFill>
      <xdr:spPr>
        <a:xfrm>
          <a:off x="83820" y="3482340"/>
          <a:ext cx="1748390" cy="948921"/>
        </a:xfrm>
        <a:prstGeom prst="rect">
          <a:avLst/>
        </a:prstGeom>
      </xdr:spPr>
    </xdr:pic>
    <xdr:clientData/>
  </xdr:twoCellAnchor>
  <xdr:twoCellAnchor editAs="oneCell">
    <xdr:from>
      <xdr:col>10</xdr:col>
      <xdr:colOff>583988</xdr:colOff>
      <xdr:row>1</xdr:row>
      <xdr:rowOff>32721</xdr:rowOff>
    </xdr:from>
    <xdr:to>
      <xdr:col>38</xdr:col>
      <xdr:colOff>859700</xdr:colOff>
      <xdr:row>12</xdr:row>
      <xdr:rowOff>89383</xdr:rowOff>
    </xdr:to>
    <xdr:pic>
      <xdr:nvPicPr>
        <xdr:cNvPr id="9" name="Picture 8">
          <a:extLst>
            <a:ext uri="{FF2B5EF4-FFF2-40B4-BE49-F238E27FC236}">
              <a16:creationId xmlns:a16="http://schemas.microsoft.com/office/drawing/2014/main" id="{50EB0F6C-D5FC-42CD-8E73-17A1AAC7A63B}"/>
            </a:ext>
          </a:extLst>
        </xdr:cNvPr>
        <xdr:cNvPicPr>
          <a:picLocks noChangeAspect="1"/>
        </xdr:cNvPicPr>
      </xdr:nvPicPr>
      <xdr:blipFill>
        <a:blip xmlns:r="http://schemas.openxmlformats.org/officeDocument/2006/relationships" r:embed="rId14"/>
        <a:stretch>
          <a:fillRect/>
        </a:stretch>
      </xdr:blipFill>
      <xdr:spPr>
        <a:xfrm>
          <a:off x="10301729" y="803686"/>
          <a:ext cx="2247947" cy="2217156"/>
        </a:xfrm>
        <a:prstGeom prst="rect">
          <a:avLst/>
        </a:prstGeom>
        <a:ln w="38100">
          <a:solidFill>
            <a:schemeClr val="tx2">
              <a:lumMod val="60000"/>
              <a:lumOff val="40000"/>
            </a:schemeClr>
          </a:solidFill>
        </a:ln>
      </xdr:spPr>
    </xdr:pic>
    <xdr:clientData/>
  </xdr:twoCellAnchor>
  <xdr:twoCellAnchor editAs="oneCell">
    <xdr:from>
      <xdr:col>45</xdr:col>
      <xdr:colOff>92072</xdr:colOff>
      <xdr:row>0</xdr:row>
      <xdr:rowOff>465584</xdr:rowOff>
    </xdr:from>
    <xdr:to>
      <xdr:col>48</xdr:col>
      <xdr:colOff>454958</xdr:colOff>
      <xdr:row>12</xdr:row>
      <xdr:rowOff>102382</xdr:rowOff>
    </xdr:to>
    <xdr:pic>
      <xdr:nvPicPr>
        <xdr:cNvPr id="3" name="Picture 2">
          <a:extLst>
            <a:ext uri="{FF2B5EF4-FFF2-40B4-BE49-F238E27FC236}">
              <a16:creationId xmlns:a16="http://schemas.microsoft.com/office/drawing/2014/main" id="{111955C3-6D1F-4F5B-A0BD-4EF7C0AEB3A6}"/>
            </a:ext>
          </a:extLst>
        </xdr:cNvPr>
        <xdr:cNvPicPr>
          <a:picLocks noChangeAspect="1"/>
        </xdr:cNvPicPr>
      </xdr:nvPicPr>
      <xdr:blipFill>
        <a:blip xmlns:r="http://schemas.openxmlformats.org/officeDocument/2006/relationships" r:embed="rId15"/>
        <a:stretch>
          <a:fillRect/>
        </a:stretch>
      </xdr:blipFill>
      <xdr:spPr>
        <a:xfrm>
          <a:off x="12687484" y="465584"/>
          <a:ext cx="3034368" cy="2568257"/>
        </a:xfrm>
        <a:prstGeom prst="rect">
          <a:avLst/>
        </a:prstGeom>
        <a:ln w="38100">
          <a:solidFill>
            <a:schemeClr val="accent6">
              <a:lumMod val="60000"/>
              <a:lumOff val="40000"/>
            </a:schemeClr>
          </a:solidFill>
        </a:ln>
      </xdr:spPr>
    </xdr:pic>
    <xdr:clientData/>
  </xdr:twoCellAnchor>
  <xdr:twoCellAnchor editAs="oneCell">
    <xdr:from>
      <xdr:col>45</xdr:col>
      <xdr:colOff>85724</xdr:colOff>
      <xdr:row>13</xdr:row>
      <xdr:rowOff>43329</xdr:rowOff>
    </xdr:from>
    <xdr:to>
      <xdr:col>48</xdr:col>
      <xdr:colOff>473074</xdr:colOff>
      <xdr:row>50</xdr:row>
      <xdr:rowOff>9350</xdr:rowOff>
    </xdr:to>
    <xdr:pic>
      <xdr:nvPicPr>
        <xdr:cNvPr id="8" name="Picture 7">
          <a:extLst>
            <a:ext uri="{FF2B5EF4-FFF2-40B4-BE49-F238E27FC236}">
              <a16:creationId xmlns:a16="http://schemas.microsoft.com/office/drawing/2014/main" id="{9A1F8F33-C7D5-4165-ACF2-635927D1D0BE}"/>
            </a:ext>
          </a:extLst>
        </xdr:cNvPr>
        <xdr:cNvPicPr>
          <a:picLocks noChangeAspect="1"/>
        </xdr:cNvPicPr>
      </xdr:nvPicPr>
      <xdr:blipFill>
        <a:blip xmlns:r="http://schemas.openxmlformats.org/officeDocument/2006/relationships" r:embed="rId16"/>
        <a:stretch>
          <a:fillRect/>
        </a:stretch>
      </xdr:blipFill>
      <xdr:spPr>
        <a:xfrm>
          <a:off x="12681136" y="3163047"/>
          <a:ext cx="3058832" cy="2395456"/>
        </a:xfrm>
        <a:prstGeom prst="rect">
          <a:avLst/>
        </a:prstGeom>
        <a:ln w="38100">
          <a:solidFill>
            <a:schemeClr val="bg2">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182</xdr:row>
      <xdr:rowOff>133350</xdr:rowOff>
    </xdr:from>
    <xdr:to>
      <xdr:col>9</xdr:col>
      <xdr:colOff>276225</xdr:colOff>
      <xdr:row>193</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1.71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500482/AppData/Local/Microsoft/Windows/INetCache/Content.Outlook/W324GN3S/TPS4811-Q1_Design_Calculator_Rev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Sheet"/>
      <sheetName val="Res EIA Tables"/>
      <sheetName val="Cap Tables"/>
      <sheetName val="Nretry"/>
    </sheetNames>
    <sheetDataSet>
      <sheetData sheetId="0" refreshError="1">
        <row r="6">
          <cell r="D6">
            <v>48</v>
          </cell>
        </row>
        <row r="7">
          <cell r="D7">
            <v>24</v>
          </cell>
        </row>
        <row r="8">
          <cell r="D8">
            <v>60</v>
          </cell>
        </row>
        <row r="9">
          <cell r="D9">
            <v>440</v>
          </cell>
        </row>
        <row r="11">
          <cell r="D11">
            <v>422.4</v>
          </cell>
        </row>
        <row r="12">
          <cell r="D12">
            <v>42</v>
          </cell>
        </row>
        <row r="13">
          <cell r="D13">
            <v>50.4</v>
          </cell>
        </row>
        <row r="14">
          <cell r="D14">
            <v>60.48</v>
          </cell>
        </row>
        <row r="16">
          <cell r="D16">
            <v>1000</v>
          </cell>
        </row>
        <row r="18">
          <cell r="D18">
            <v>3.3</v>
          </cell>
        </row>
        <row r="22">
          <cell r="D22">
            <v>100</v>
          </cell>
        </row>
        <row r="25">
          <cell r="D25">
            <v>48.7</v>
          </cell>
        </row>
        <row r="26">
          <cell r="D26">
            <v>49.261601642710467</v>
          </cell>
        </row>
        <row r="32">
          <cell r="D32">
            <v>1.43</v>
          </cell>
        </row>
        <row r="37">
          <cell r="D37">
            <v>15</v>
          </cell>
        </row>
        <row r="43">
          <cell r="D43">
            <v>68</v>
          </cell>
        </row>
        <row r="61">
          <cell r="D61">
            <v>100</v>
          </cell>
        </row>
        <row r="104">
          <cell r="D104">
            <v>1.18</v>
          </cell>
        </row>
        <row r="105">
          <cell r="D105">
            <v>1.1200000000000001</v>
          </cell>
        </row>
        <row r="106">
          <cell r="D106">
            <v>1.18</v>
          </cell>
        </row>
        <row r="107">
          <cell r="D107">
            <v>1.1200000000000001</v>
          </cell>
        </row>
        <row r="108">
          <cell r="D108">
            <v>8</v>
          </cell>
        </row>
        <row r="109">
          <cell r="D109">
            <v>12</v>
          </cell>
        </row>
        <row r="110">
          <cell r="D110">
            <v>100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LIM_SOA_considerations"/>
      <sheetName val="Worksheet"/>
      <sheetName val="SOA"/>
      <sheetName val="Device Parmaters"/>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LIM_SOA_considerations"/>
      <sheetName val="Worksheet"/>
      <sheetName val="SOA"/>
    </sheetNames>
    <sheetDataSet>
      <sheetData sheetId="0" refreshError="1"/>
      <sheetData sheetId="1" refreshError="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training.ti.com/node/1133677" TargetMode="External"/><Relationship Id="rId7" Type="http://schemas.openxmlformats.org/officeDocument/2006/relationships/vmlDrawing" Target="../drawings/vmlDrawing1.vml"/><Relationship Id="rId2" Type="http://schemas.openxmlformats.org/officeDocument/2006/relationships/hyperlink" Target="https://training.ti.com/node/1133664" TargetMode="External"/><Relationship Id="rId1" Type="http://schemas.openxmlformats.org/officeDocument/2006/relationships/hyperlink" Target="https://training.ti.com/node/1133673"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training.ti.com/node/113367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www.rfcafe.com/references/electrical/capacitor-values.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4"/>
  <sheetViews>
    <sheetView topLeftCell="A9" workbookViewId="0">
      <selection activeCell="G118" sqref="G118"/>
    </sheetView>
  </sheetViews>
  <sheetFormatPr defaultRowHeight="12.5" x14ac:dyDescent="0.25"/>
  <sheetData>
    <row r="1" spans="1:17" ht="13" thickTop="1" x14ac:dyDescent="0.25">
      <c r="A1" s="105" t="s">
        <v>492</v>
      </c>
      <c r="B1" s="106"/>
      <c r="C1" s="106"/>
      <c r="D1" s="106"/>
      <c r="E1" s="106"/>
      <c r="F1" s="106"/>
      <c r="G1" s="106"/>
      <c r="H1" s="106"/>
      <c r="I1" s="106"/>
      <c r="J1" s="106"/>
      <c r="K1" s="106"/>
      <c r="L1" s="106"/>
      <c r="M1" s="106"/>
      <c r="N1" s="106"/>
      <c r="O1" s="106"/>
      <c r="P1" s="107"/>
    </row>
    <row r="2" spans="1:17" x14ac:dyDescent="0.25">
      <c r="A2" s="108"/>
      <c r="B2" s="109"/>
      <c r="C2" s="109"/>
      <c r="D2" s="109"/>
      <c r="E2" s="109"/>
      <c r="F2" s="109"/>
      <c r="G2" s="109"/>
      <c r="H2" s="109"/>
      <c r="I2" s="109"/>
      <c r="J2" s="109"/>
      <c r="K2" s="109"/>
      <c r="L2" s="109"/>
      <c r="M2" s="109"/>
      <c r="N2" s="109"/>
      <c r="O2" s="109"/>
      <c r="P2" s="110"/>
    </row>
    <row r="3" spans="1:17" ht="30" x14ac:dyDescent="0.6">
      <c r="A3" s="108"/>
      <c r="B3" s="109"/>
      <c r="C3" s="109"/>
      <c r="D3" s="111"/>
      <c r="E3" s="109"/>
      <c r="F3" s="109"/>
      <c r="G3" s="109"/>
      <c r="H3" s="109"/>
      <c r="I3" s="109"/>
      <c r="J3" s="109"/>
      <c r="K3" s="109"/>
      <c r="L3" s="112"/>
      <c r="M3" s="109"/>
      <c r="N3" s="109"/>
      <c r="O3" s="109"/>
      <c r="P3" s="110"/>
    </row>
    <row r="4" spans="1:17" ht="23" x14ac:dyDescent="0.5">
      <c r="A4" s="108"/>
      <c r="B4" s="109"/>
      <c r="C4" s="109"/>
      <c r="D4" s="113"/>
      <c r="E4" s="109"/>
      <c r="F4" s="109"/>
      <c r="G4" s="109"/>
      <c r="H4" s="109"/>
      <c r="I4" s="109"/>
      <c r="J4" s="109"/>
      <c r="K4" s="109"/>
      <c r="L4" s="109"/>
      <c r="M4" s="109"/>
      <c r="N4" s="109"/>
      <c r="O4" s="109"/>
      <c r="P4" s="110"/>
    </row>
    <row r="5" spans="1:17" x14ac:dyDescent="0.25">
      <c r="A5" s="108"/>
      <c r="B5" s="109"/>
      <c r="C5" s="109"/>
      <c r="D5" s="109"/>
      <c r="E5" s="109"/>
      <c r="F5" s="109"/>
      <c r="G5" s="109"/>
      <c r="H5" s="109"/>
      <c r="I5" s="109"/>
      <c r="J5" s="109"/>
      <c r="K5" s="109"/>
      <c r="L5" s="109"/>
      <c r="M5" s="109"/>
      <c r="N5" s="109"/>
      <c r="O5" s="109"/>
      <c r="P5" s="110"/>
    </row>
    <row r="6" spans="1:17" x14ac:dyDescent="0.25">
      <c r="A6" s="108"/>
      <c r="B6" s="109"/>
      <c r="C6" s="109"/>
      <c r="D6" s="109"/>
      <c r="E6" s="109"/>
      <c r="F6" s="109"/>
      <c r="G6" s="109"/>
      <c r="H6" s="109"/>
      <c r="I6" s="109"/>
      <c r="J6" s="109"/>
      <c r="K6" s="109"/>
      <c r="L6" s="109"/>
      <c r="M6" s="109"/>
      <c r="N6" s="109"/>
      <c r="O6" s="109"/>
      <c r="P6" s="110"/>
    </row>
    <row r="7" spans="1:17" ht="15.5" x14ac:dyDescent="0.35">
      <c r="A7" s="108"/>
      <c r="B7" s="109"/>
      <c r="C7" s="109"/>
      <c r="D7" s="109"/>
      <c r="E7" s="109"/>
      <c r="F7" s="109"/>
      <c r="G7" s="109"/>
      <c r="H7" s="109"/>
      <c r="I7" s="109"/>
      <c r="J7" s="109"/>
      <c r="K7" s="109"/>
      <c r="L7" s="109"/>
      <c r="M7" s="112" t="s">
        <v>409</v>
      </c>
      <c r="N7" s="109"/>
      <c r="O7" s="109"/>
      <c r="P7" s="110"/>
    </row>
    <row r="8" spans="1:17" ht="30" x14ac:dyDescent="0.6">
      <c r="A8" s="108"/>
      <c r="B8" s="111" t="s">
        <v>491</v>
      </c>
      <c r="C8" s="109"/>
      <c r="D8" s="109"/>
      <c r="E8" s="109"/>
      <c r="F8" s="109"/>
      <c r="G8" s="109"/>
      <c r="H8" s="109"/>
      <c r="I8" s="109"/>
      <c r="J8" s="109"/>
      <c r="K8" s="109"/>
      <c r="L8" s="109"/>
      <c r="M8" s="109"/>
      <c r="N8" s="109"/>
      <c r="O8" s="109"/>
      <c r="P8" s="110"/>
      <c r="Q8" t="s">
        <v>492</v>
      </c>
    </row>
    <row r="9" spans="1:17" x14ac:dyDescent="0.25">
      <c r="A9" s="108"/>
      <c r="B9" s="109"/>
      <c r="C9" s="109"/>
      <c r="D9" s="109"/>
      <c r="E9" s="109"/>
      <c r="F9" s="109"/>
      <c r="G9" s="109"/>
      <c r="H9" s="109"/>
      <c r="I9" s="109"/>
      <c r="J9" s="109"/>
      <c r="K9" s="109"/>
      <c r="L9" s="109"/>
      <c r="M9" s="109"/>
      <c r="N9" s="109"/>
      <c r="O9" s="109"/>
      <c r="P9" s="110"/>
    </row>
    <row r="10" spans="1:17" ht="20" x14ac:dyDescent="0.4">
      <c r="A10" s="108"/>
      <c r="B10" s="114" t="s">
        <v>349</v>
      </c>
      <c r="C10" s="109"/>
      <c r="D10" s="109"/>
      <c r="E10" s="109"/>
      <c r="F10" s="109"/>
      <c r="G10" s="109"/>
      <c r="H10" s="109"/>
      <c r="I10" s="109"/>
      <c r="J10" s="109"/>
      <c r="K10" s="109"/>
      <c r="L10" s="109"/>
      <c r="M10" s="109"/>
      <c r="N10" s="109"/>
      <c r="O10" s="109"/>
      <c r="P10" s="110"/>
    </row>
    <row r="11" spans="1:17" ht="14" x14ac:dyDescent="0.3">
      <c r="A11" s="108"/>
      <c r="B11" s="115" t="s">
        <v>350</v>
      </c>
      <c r="C11" s="116"/>
      <c r="D11" s="116"/>
      <c r="E11" s="116"/>
      <c r="F11" s="109"/>
      <c r="G11" s="109"/>
      <c r="H11" s="109"/>
      <c r="I11" s="109"/>
      <c r="J11" s="109"/>
      <c r="K11" s="109"/>
      <c r="L11" s="109"/>
      <c r="M11" s="109"/>
      <c r="N11" s="109"/>
      <c r="O11" s="109"/>
      <c r="P11" s="110"/>
    </row>
    <row r="12" spans="1:17" ht="14" x14ac:dyDescent="0.3">
      <c r="A12" s="108"/>
      <c r="B12" s="115" t="s">
        <v>351</v>
      </c>
      <c r="C12" s="116"/>
      <c r="D12" s="116"/>
      <c r="E12" s="116"/>
      <c r="F12" s="109"/>
      <c r="G12" s="109"/>
      <c r="H12" s="109"/>
      <c r="I12" s="109"/>
      <c r="J12" s="109"/>
      <c r="K12" s="109"/>
      <c r="L12" s="109"/>
      <c r="M12" s="109"/>
      <c r="N12" s="109"/>
      <c r="O12" s="109"/>
      <c r="P12" s="110"/>
    </row>
    <row r="13" spans="1:17" x14ac:dyDescent="0.25">
      <c r="A13" s="108"/>
      <c r="B13" s="109"/>
      <c r="C13" s="109"/>
      <c r="D13" s="109"/>
      <c r="E13" s="109"/>
      <c r="F13" s="109"/>
      <c r="G13" s="109"/>
      <c r="H13" s="109"/>
      <c r="I13" s="109"/>
      <c r="J13" s="109"/>
      <c r="K13" s="109"/>
      <c r="L13" s="109"/>
      <c r="M13" s="109"/>
      <c r="N13" s="109"/>
      <c r="O13" s="109"/>
      <c r="P13" s="110"/>
    </row>
    <row r="14" spans="1:17" ht="13" x14ac:dyDescent="0.25">
      <c r="A14" s="108"/>
      <c r="B14" s="117" t="s">
        <v>352</v>
      </c>
      <c r="C14" s="109"/>
      <c r="D14" s="109"/>
      <c r="E14" s="109"/>
      <c r="F14" s="109"/>
      <c r="G14" s="109"/>
      <c r="H14" s="109"/>
      <c r="I14" s="109"/>
      <c r="J14" s="109"/>
      <c r="K14" s="109"/>
      <c r="L14" s="109"/>
      <c r="M14" s="109"/>
      <c r="N14" s="109"/>
      <c r="O14" s="109"/>
      <c r="P14" s="110"/>
    </row>
    <row r="15" spans="1:17" ht="13" x14ac:dyDescent="0.3">
      <c r="A15" s="108"/>
      <c r="B15" s="118" t="s">
        <v>353</v>
      </c>
      <c r="C15" s="109"/>
      <c r="D15" s="109"/>
      <c r="E15" s="109"/>
      <c r="F15" s="109"/>
      <c r="G15" s="109"/>
      <c r="H15" s="109"/>
      <c r="I15" s="109"/>
      <c r="J15" s="109"/>
      <c r="K15" s="109"/>
      <c r="L15" s="109"/>
      <c r="M15" s="109"/>
      <c r="N15" s="109"/>
      <c r="O15" s="109"/>
      <c r="P15" s="110"/>
    </row>
    <row r="16" spans="1:17" ht="13" hidden="1" x14ac:dyDescent="0.3">
      <c r="A16" s="108"/>
      <c r="B16" s="118" t="s">
        <v>354</v>
      </c>
      <c r="C16" s="109"/>
      <c r="D16" s="109"/>
      <c r="E16" s="109"/>
      <c r="F16" s="109"/>
      <c r="G16" s="109"/>
      <c r="H16" s="109"/>
      <c r="I16" s="109"/>
      <c r="J16" s="109"/>
      <c r="K16" s="109"/>
      <c r="L16" s="109"/>
      <c r="M16" s="109"/>
      <c r="N16" s="109"/>
      <c r="O16" s="109"/>
      <c r="P16" s="110"/>
    </row>
    <row r="17" spans="1:16" ht="13" x14ac:dyDescent="0.3">
      <c r="A17" s="108"/>
      <c r="B17" s="118" t="s">
        <v>475</v>
      </c>
      <c r="C17" s="109"/>
      <c r="D17" s="109"/>
      <c r="E17" s="109"/>
      <c r="F17" s="109"/>
      <c r="G17" s="109"/>
      <c r="H17" s="109"/>
      <c r="I17" s="109"/>
      <c r="J17" s="109"/>
      <c r="K17" s="109"/>
      <c r="L17" s="109"/>
      <c r="M17" s="109"/>
      <c r="N17" s="109"/>
      <c r="O17" s="109"/>
      <c r="P17" s="110"/>
    </row>
    <row r="18" spans="1:16" ht="13" x14ac:dyDescent="0.3">
      <c r="A18" s="108"/>
      <c r="B18" s="118" t="s">
        <v>476</v>
      </c>
      <c r="C18" s="109"/>
      <c r="D18" s="109"/>
      <c r="E18" s="109"/>
      <c r="F18" s="109"/>
      <c r="G18" s="109"/>
      <c r="H18" s="109"/>
      <c r="I18" s="109"/>
      <c r="J18" s="109"/>
      <c r="K18" s="109"/>
      <c r="L18" s="109"/>
      <c r="M18" s="109"/>
      <c r="N18" s="109"/>
      <c r="O18" s="109"/>
      <c r="P18" s="110"/>
    </row>
    <row r="19" spans="1:16" ht="13" x14ac:dyDescent="0.3">
      <c r="A19" s="108"/>
      <c r="B19" s="118" t="s">
        <v>355</v>
      </c>
      <c r="C19" s="109"/>
      <c r="D19" s="109"/>
      <c r="E19" s="109"/>
      <c r="F19" s="109"/>
      <c r="G19" s="109"/>
      <c r="H19" s="109"/>
      <c r="I19" s="109"/>
      <c r="J19" s="109"/>
      <c r="K19" s="109"/>
      <c r="L19" s="109"/>
      <c r="M19" s="109"/>
      <c r="N19" s="109"/>
      <c r="O19" s="109"/>
      <c r="P19" s="110"/>
    </row>
    <row r="20" spans="1:16" ht="13" hidden="1" x14ac:dyDescent="0.3">
      <c r="A20" s="108"/>
      <c r="B20" s="118" t="s">
        <v>356</v>
      </c>
      <c r="C20" s="109"/>
      <c r="D20" s="109"/>
      <c r="E20" s="109"/>
      <c r="F20" s="109"/>
      <c r="G20" s="109"/>
      <c r="H20" s="109"/>
      <c r="I20" s="109"/>
      <c r="J20" s="109"/>
      <c r="K20" s="109"/>
      <c r="L20" s="109"/>
      <c r="M20" s="109"/>
      <c r="N20" s="109"/>
      <c r="O20" s="109"/>
      <c r="P20" s="110"/>
    </row>
    <row r="21" spans="1:16" ht="13" x14ac:dyDescent="0.3">
      <c r="A21" s="108"/>
      <c r="B21" s="118" t="s">
        <v>477</v>
      </c>
      <c r="C21" s="109"/>
      <c r="D21" s="109"/>
      <c r="E21" s="109"/>
      <c r="F21" s="109"/>
      <c r="G21" s="109"/>
      <c r="H21" s="109"/>
      <c r="I21" s="109"/>
      <c r="J21" s="109"/>
      <c r="K21" s="109"/>
      <c r="L21" s="109"/>
      <c r="M21" s="109"/>
      <c r="N21" s="109"/>
      <c r="O21" s="109"/>
      <c r="P21" s="110"/>
    </row>
    <row r="22" spans="1:16" ht="13" x14ac:dyDescent="0.3">
      <c r="A22" s="108"/>
      <c r="B22" s="118"/>
      <c r="C22" s="109"/>
      <c r="D22" s="109"/>
      <c r="E22" s="109"/>
      <c r="F22" s="109"/>
      <c r="G22" s="109"/>
      <c r="H22" s="109"/>
      <c r="I22" s="109"/>
      <c r="J22" s="109"/>
      <c r="K22" s="109"/>
      <c r="L22" s="109"/>
      <c r="M22" s="109"/>
      <c r="N22" s="109"/>
      <c r="O22" s="109"/>
      <c r="P22" s="110"/>
    </row>
    <row r="23" spans="1:16" ht="20" x14ac:dyDescent="0.4">
      <c r="A23" s="108"/>
      <c r="B23" s="114" t="s">
        <v>357</v>
      </c>
      <c r="C23" s="109"/>
      <c r="D23" s="109"/>
      <c r="E23" s="109"/>
      <c r="F23" s="109"/>
      <c r="G23" s="109"/>
      <c r="H23" s="109"/>
      <c r="I23" s="109"/>
      <c r="J23" s="109"/>
      <c r="K23" s="109"/>
      <c r="L23" s="109"/>
      <c r="M23" s="109"/>
      <c r="N23" s="109"/>
      <c r="O23" s="109"/>
      <c r="P23" s="110"/>
    </row>
    <row r="24" spans="1:16" x14ac:dyDescent="0.25">
      <c r="A24" s="108"/>
      <c r="B24" s="109" t="s">
        <v>358</v>
      </c>
      <c r="C24" s="109"/>
      <c r="D24" s="109"/>
      <c r="E24" s="109"/>
      <c r="F24" s="109"/>
      <c r="G24" s="109"/>
      <c r="H24" s="109"/>
      <c r="I24" s="109"/>
      <c r="J24" s="109"/>
      <c r="K24" s="109"/>
      <c r="L24" s="109"/>
      <c r="M24" s="109"/>
      <c r="N24" s="109"/>
      <c r="O24" s="109"/>
      <c r="P24" s="110"/>
    </row>
    <row r="25" spans="1:16" x14ac:dyDescent="0.25">
      <c r="A25" s="108"/>
      <c r="B25" s="109" t="s">
        <v>359</v>
      </c>
      <c r="C25" s="109"/>
      <c r="D25" s="109"/>
      <c r="E25" s="109"/>
      <c r="F25" s="109"/>
      <c r="G25" s="109"/>
      <c r="H25" s="109"/>
      <c r="I25" s="109"/>
      <c r="J25" s="109"/>
      <c r="K25" s="109"/>
      <c r="L25" s="109"/>
      <c r="M25" s="109"/>
      <c r="N25" s="109"/>
      <c r="O25" s="109"/>
      <c r="P25" s="110"/>
    </row>
    <row r="26" spans="1:16" x14ac:dyDescent="0.25">
      <c r="A26" s="108"/>
      <c r="B26" s="109"/>
      <c r="C26" s="109"/>
      <c r="D26" s="109"/>
      <c r="E26" s="109"/>
      <c r="F26" s="109"/>
      <c r="G26" s="109"/>
      <c r="H26" s="109"/>
      <c r="I26" s="109"/>
      <c r="J26" s="109"/>
      <c r="K26" s="109"/>
      <c r="L26" s="109"/>
      <c r="M26" s="109"/>
      <c r="N26" s="109"/>
      <c r="O26" s="109"/>
      <c r="P26" s="110"/>
    </row>
    <row r="27" spans="1:16" x14ac:dyDescent="0.25">
      <c r="A27" s="108"/>
      <c r="B27" s="109" t="s">
        <v>360</v>
      </c>
      <c r="C27" s="109"/>
      <c r="D27" s="109"/>
      <c r="E27" s="109"/>
      <c r="F27" s="109"/>
      <c r="G27" s="109"/>
      <c r="H27" s="109"/>
      <c r="I27" s="109"/>
      <c r="J27" s="109"/>
      <c r="K27" s="109"/>
      <c r="L27" s="109"/>
      <c r="M27" s="109"/>
      <c r="N27" s="109"/>
      <c r="O27" s="109"/>
      <c r="P27" s="110"/>
    </row>
    <row r="28" spans="1:16" x14ac:dyDescent="0.25">
      <c r="A28" s="108"/>
      <c r="B28" s="109"/>
      <c r="C28" s="109"/>
      <c r="D28" s="109"/>
      <c r="E28" s="109"/>
      <c r="F28" s="109"/>
      <c r="G28" s="109"/>
      <c r="H28" s="109"/>
      <c r="I28" s="109"/>
      <c r="J28" s="109"/>
      <c r="K28" s="109"/>
      <c r="L28" s="109"/>
      <c r="M28" s="109"/>
      <c r="N28" s="109"/>
      <c r="O28" s="109"/>
      <c r="P28" s="110"/>
    </row>
    <row r="29" spans="1:16" x14ac:dyDescent="0.25">
      <c r="A29" s="108"/>
      <c r="B29" s="109" t="s">
        <v>361</v>
      </c>
      <c r="C29" s="109"/>
      <c r="D29" s="109"/>
      <c r="E29" s="109"/>
      <c r="F29" s="109"/>
      <c r="G29" s="109"/>
      <c r="H29" s="109"/>
      <c r="I29" s="109"/>
      <c r="J29" s="109"/>
      <c r="K29" s="109"/>
      <c r="L29" s="109"/>
      <c r="M29" s="109"/>
      <c r="N29" s="109"/>
      <c r="O29" s="109"/>
      <c r="P29" s="110"/>
    </row>
    <row r="30" spans="1:16" ht="13" thickBot="1" x14ac:dyDescent="0.3">
      <c r="A30" s="108"/>
      <c r="B30" s="109"/>
      <c r="C30" s="109"/>
      <c r="D30" s="109"/>
      <c r="E30" s="109"/>
      <c r="F30" s="109"/>
      <c r="G30" s="109"/>
      <c r="H30" s="109"/>
      <c r="I30" s="109"/>
      <c r="J30" s="109"/>
      <c r="K30" s="109"/>
      <c r="L30" s="109"/>
      <c r="M30" s="109"/>
      <c r="N30" s="109"/>
      <c r="O30" s="109"/>
      <c r="P30" s="110"/>
    </row>
    <row r="31" spans="1:16" x14ac:dyDescent="0.25">
      <c r="A31" s="108"/>
      <c r="B31" s="267" t="s">
        <v>486</v>
      </c>
      <c r="C31" s="268"/>
      <c r="D31" s="268"/>
      <c r="E31" s="268"/>
      <c r="F31" s="268"/>
      <c r="G31" s="268"/>
      <c r="H31" s="268"/>
      <c r="I31" s="268"/>
      <c r="J31" s="268"/>
      <c r="K31" s="268"/>
      <c r="L31" s="268"/>
      <c r="M31" s="269"/>
      <c r="N31" s="109"/>
      <c r="O31" s="109"/>
      <c r="P31" s="110"/>
    </row>
    <row r="32" spans="1:16" x14ac:dyDescent="0.25">
      <c r="A32" s="108"/>
      <c r="B32" s="270"/>
      <c r="C32" s="271"/>
      <c r="D32" s="271"/>
      <c r="E32" s="271"/>
      <c r="F32" s="271"/>
      <c r="G32" s="271"/>
      <c r="H32" s="271"/>
      <c r="I32" s="271"/>
      <c r="J32" s="271"/>
      <c r="K32" s="271"/>
      <c r="L32" s="271"/>
      <c r="M32" s="272"/>
      <c r="N32" s="109"/>
      <c r="O32" s="109"/>
      <c r="P32" s="110"/>
    </row>
    <row r="33" spans="1:16" x14ac:dyDescent="0.25">
      <c r="A33" s="108"/>
      <c r="B33" s="270"/>
      <c r="C33" s="271"/>
      <c r="D33" s="271"/>
      <c r="E33" s="271"/>
      <c r="F33" s="271"/>
      <c r="G33" s="271"/>
      <c r="H33" s="271"/>
      <c r="I33" s="271"/>
      <c r="J33" s="271"/>
      <c r="K33" s="271"/>
      <c r="L33" s="271"/>
      <c r="M33" s="272"/>
      <c r="N33" s="109"/>
      <c r="O33" s="109"/>
      <c r="P33" s="110"/>
    </row>
    <row r="34" spans="1:16" x14ac:dyDescent="0.25">
      <c r="A34" s="108"/>
      <c r="B34" s="270"/>
      <c r="C34" s="271"/>
      <c r="D34" s="271"/>
      <c r="E34" s="271"/>
      <c r="F34" s="271"/>
      <c r="G34" s="271"/>
      <c r="H34" s="271"/>
      <c r="I34" s="271"/>
      <c r="J34" s="271"/>
      <c r="K34" s="271"/>
      <c r="L34" s="271"/>
      <c r="M34" s="272"/>
      <c r="N34" s="109"/>
      <c r="O34" s="109"/>
      <c r="P34" s="110"/>
    </row>
    <row r="35" spans="1:16" x14ac:dyDescent="0.25">
      <c r="A35" s="108"/>
      <c r="B35" s="270"/>
      <c r="C35" s="271"/>
      <c r="D35" s="271"/>
      <c r="E35" s="271"/>
      <c r="F35" s="271"/>
      <c r="G35" s="271"/>
      <c r="H35" s="271"/>
      <c r="I35" s="271"/>
      <c r="J35" s="271"/>
      <c r="K35" s="271"/>
      <c r="L35" s="271"/>
      <c r="M35" s="272"/>
      <c r="N35" s="109"/>
      <c r="O35" s="109"/>
      <c r="P35" s="110"/>
    </row>
    <row r="36" spans="1:16" x14ac:dyDescent="0.25">
      <c r="A36" s="108"/>
      <c r="B36" s="270"/>
      <c r="C36" s="271"/>
      <c r="D36" s="271"/>
      <c r="E36" s="271"/>
      <c r="F36" s="271"/>
      <c r="G36" s="271"/>
      <c r="H36" s="271"/>
      <c r="I36" s="271"/>
      <c r="J36" s="271"/>
      <c r="K36" s="271"/>
      <c r="L36" s="271"/>
      <c r="M36" s="272"/>
      <c r="N36" s="109"/>
      <c r="O36" s="109"/>
      <c r="P36" s="110"/>
    </row>
    <row r="37" spans="1:16" x14ac:dyDescent="0.25">
      <c r="A37" s="108"/>
      <c r="B37" s="270"/>
      <c r="C37" s="271"/>
      <c r="D37" s="271"/>
      <c r="E37" s="271"/>
      <c r="F37" s="271"/>
      <c r="G37" s="271"/>
      <c r="H37" s="271"/>
      <c r="I37" s="271"/>
      <c r="J37" s="271"/>
      <c r="K37" s="271"/>
      <c r="L37" s="271"/>
      <c r="M37" s="272"/>
      <c r="N37" s="109"/>
      <c r="O37" s="109"/>
      <c r="P37" s="110"/>
    </row>
    <row r="38" spans="1:16" x14ac:dyDescent="0.25">
      <c r="A38" s="108"/>
      <c r="B38" s="270"/>
      <c r="C38" s="271"/>
      <c r="D38" s="271"/>
      <c r="E38" s="271"/>
      <c r="F38" s="271"/>
      <c r="G38" s="271"/>
      <c r="H38" s="271"/>
      <c r="I38" s="271"/>
      <c r="J38" s="271"/>
      <c r="K38" s="271"/>
      <c r="L38" s="271"/>
      <c r="M38" s="272"/>
      <c r="N38" s="109"/>
      <c r="O38" s="109"/>
      <c r="P38" s="110"/>
    </row>
    <row r="39" spans="1:16" x14ac:dyDescent="0.25">
      <c r="A39" s="108"/>
      <c r="B39" s="270"/>
      <c r="C39" s="271"/>
      <c r="D39" s="271"/>
      <c r="E39" s="271"/>
      <c r="F39" s="271"/>
      <c r="G39" s="271"/>
      <c r="H39" s="271"/>
      <c r="I39" s="271"/>
      <c r="J39" s="271"/>
      <c r="K39" s="271"/>
      <c r="L39" s="271"/>
      <c r="M39" s="272"/>
      <c r="N39" s="109"/>
      <c r="O39" s="109"/>
      <c r="P39" s="110"/>
    </row>
    <row r="40" spans="1:16" x14ac:dyDescent="0.25">
      <c r="A40" s="108"/>
      <c r="B40" s="270"/>
      <c r="C40" s="271"/>
      <c r="D40" s="271"/>
      <c r="E40" s="271"/>
      <c r="F40" s="271"/>
      <c r="G40" s="271"/>
      <c r="H40" s="271"/>
      <c r="I40" s="271"/>
      <c r="J40" s="271"/>
      <c r="K40" s="271"/>
      <c r="L40" s="271"/>
      <c r="M40" s="272"/>
      <c r="N40" s="109"/>
      <c r="O40" s="109"/>
      <c r="P40" s="110"/>
    </row>
    <row r="41" spans="1:16" x14ac:dyDescent="0.25">
      <c r="A41" s="108"/>
      <c r="B41" s="270"/>
      <c r="C41" s="271"/>
      <c r="D41" s="271"/>
      <c r="E41" s="271"/>
      <c r="F41" s="271"/>
      <c r="G41" s="271"/>
      <c r="H41" s="271"/>
      <c r="I41" s="271"/>
      <c r="J41" s="271"/>
      <c r="K41" s="271"/>
      <c r="L41" s="271"/>
      <c r="M41" s="272"/>
      <c r="N41" s="109"/>
      <c r="O41" s="109"/>
      <c r="P41" s="110"/>
    </row>
    <row r="42" spans="1:16" x14ac:dyDescent="0.25">
      <c r="A42" s="108"/>
      <c r="B42" s="270"/>
      <c r="C42" s="271"/>
      <c r="D42" s="271"/>
      <c r="E42" s="271"/>
      <c r="F42" s="271"/>
      <c r="G42" s="271"/>
      <c r="H42" s="271"/>
      <c r="I42" s="271"/>
      <c r="J42" s="271"/>
      <c r="K42" s="271"/>
      <c r="L42" s="271"/>
      <c r="M42" s="272"/>
      <c r="N42" s="109"/>
      <c r="O42" s="109"/>
      <c r="P42" s="110"/>
    </row>
    <row r="43" spans="1:16" x14ac:dyDescent="0.25">
      <c r="A43" s="108"/>
      <c r="B43" s="270"/>
      <c r="C43" s="271"/>
      <c r="D43" s="271"/>
      <c r="E43" s="271"/>
      <c r="F43" s="271"/>
      <c r="G43" s="271"/>
      <c r="H43" s="271"/>
      <c r="I43" s="271"/>
      <c r="J43" s="271"/>
      <c r="K43" s="271"/>
      <c r="L43" s="271"/>
      <c r="M43" s="272"/>
      <c r="N43" s="109"/>
      <c r="O43" s="109"/>
      <c r="P43" s="110"/>
    </row>
    <row r="44" spans="1:16" x14ac:dyDescent="0.25">
      <c r="A44" s="108"/>
      <c r="B44" s="270"/>
      <c r="C44" s="271"/>
      <c r="D44" s="271"/>
      <c r="E44" s="271"/>
      <c r="F44" s="271"/>
      <c r="G44" s="271"/>
      <c r="H44" s="271"/>
      <c r="I44" s="271"/>
      <c r="J44" s="271"/>
      <c r="K44" s="271"/>
      <c r="L44" s="271"/>
      <c r="M44" s="272"/>
      <c r="N44" s="109"/>
      <c r="O44" s="109"/>
      <c r="P44" s="110"/>
    </row>
    <row r="45" spans="1:16" x14ac:dyDescent="0.25">
      <c r="A45" s="108"/>
      <c r="B45" s="270"/>
      <c r="C45" s="271"/>
      <c r="D45" s="271"/>
      <c r="E45" s="271"/>
      <c r="F45" s="271"/>
      <c r="G45" s="271"/>
      <c r="H45" s="271"/>
      <c r="I45" s="271"/>
      <c r="J45" s="271"/>
      <c r="K45" s="271"/>
      <c r="L45" s="271"/>
      <c r="M45" s="272"/>
      <c r="N45" s="109"/>
      <c r="O45" s="109"/>
      <c r="P45" s="110"/>
    </row>
    <row r="46" spans="1:16" x14ac:dyDescent="0.25">
      <c r="A46" s="108"/>
      <c r="B46" s="270"/>
      <c r="C46" s="271"/>
      <c r="D46" s="271"/>
      <c r="E46" s="271"/>
      <c r="F46" s="271"/>
      <c r="G46" s="271"/>
      <c r="H46" s="271"/>
      <c r="I46" s="271"/>
      <c r="J46" s="271"/>
      <c r="K46" s="271"/>
      <c r="L46" s="271"/>
      <c r="M46" s="272"/>
      <c r="N46" s="109"/>
      <c r="O46" s="109"/>
      <c r="P46" s="110"/>
    </row>
    <row r="47" spans="1:16" x14ac:dyDescent="0.25">
      <c r="A47" s="108"/>
      <c r="B47" s="270"/>
      <c r="C47" s="271"/>
      <c r="D47" s="271"/>
      <c r="E47" s="271"/>
      <c r="F47" s="271"/>
      <c r="G47" s="271"/>
      <c r="H47" s="271"/>
      <c r="I47" s="271"/>
      <c r="J47" s="271"/>
      <c r="K47" s="271"/>
      <c r="L47" s="271"/>
      <c r="M47" s="272"/>
      <c r="N47" s="109"/>
      <c r="O47" s="109"/>
      <c r="P47" s="110"/>
    </row>
    <row r="48" spans="1:16" x14ac:dyDescent="0.25">
      <c r="A48" s="108"/>
      <c r="B48" s="270"/>
      <c r="C48" s="271"/>
      <c r="D48" s="271"/>
      <c r="E48" s="271"/>
      <c r="F48" s="271"/>
      <c r="G48" s="271"/>
      <c r="H48" s="271"/>
      <c r="I48" s="271"/>
      <c r="J48" s="271"/>
      <c r="K48" s="271"/>
      <c r="L48" s="271"/>
      <c r="M48" s="272"/>
      <c r="N48" s="109"/>
      <c r="O48" s="109"/>
      <c r="P48" s="110"/>
    </row>
    <row r="49" spans="1:16" x14ac:dyDescent="0.25">
      <c r="A49" s="108"/>
      <c r="B49" s="270"/>
      <c r="C49" s="271"/>
      <c r="D49" s="271"/>
      <c r="E49" s="271"/>
      <c r="F49" s="271"/>
      <c r="G49" s="271"/>
      <c r="H49" s="271"/>
      <c r="I49" s="271"/>
      <c r="J49" s="271"/>
      <c r="K49" s="271"/>
      <c r="L49" s="271"/>
      <c r="M49" s="272"/>
      <c r="N49" s="109"/>
      <c r="O49" s="109"/>
      <c r="P49" s="110"/>
    </row>
    <row r="50" spans="1:16" x14ac:dyDescent="0.25">
      <c r="A50" s="108"/>
      <c r="B50" s="270"/>
      <c r="C50" s="271"/>
      <c r="D50" s="271"/>
      <c r="E50" s="271"/>
      <c r="F50" s="271"/>
      <c r="G50" s="271"/>
      <c r="H50" s="271"/>
      <c r="I50" s="271"/>
      <c r="J50" s="271"/>
      <c r="K50" s="271"/>
      <c r="L50" s="271"/>
      <c r="M50" s="272"/>
      <c r="N50" s="109"/>
      <c r="O50" s="109"/>
      <c r="P50" s="110"/>
    </row>
    <row r="51" spans="1:16" x14ac:dyDescent="0.25">
      <c r="A51" s="108"/>
      <c r="B51" s="270"/>
      <c r="C51" s="271"/>
      <c r="D51" s="271"/>
      <c r="E51" s="271"/>
      <c r="F51" s="271"/>
      <c r="G51" s="271"/>
      <c r="H51" s="271"/>
      <c r="I51" s="271"/>
      <c r="J51" s="271"/>
      <c r="K51" s="271"/>
      <c r="L51" s="271"/>
      <c r="M51" s="272"/>
      <c r="N51" s="109"/>
      <c r="O51" s="109"/>
      <c r="P51" s="110"/>
    </row>
    <row r="52" spans="1:16" x14ac:dyDescent="0.25">
      <c r="A52" s="108"/>
      <c r="B52" s="270"/>
      <c r="C52" s="271"/>
      <c r="D52" s="271"/>
      <c r="E52" s="271"/>
      <c r="F52" s="271"/>
      <c r="G52" s="271"/>
      <c r="H52" s="271"/>
      <c r="I52" s="271"/>
      <c r="J52" s="271"/>
      <c r="K52" s="271"/>
      <c r="L52" s="271"/>
      <c r="M52" s="272"/>
      <c r="N52" s="109"/>
      <c r="O52" s="109"/>
      <c r="P52" s="110"/>
    </row>
    <row r="53" spans="1:16" x14ac:dyDescent="0.25">
      <c r="A53" s="108"/>
      <c r="B53" s="270"/>
      <c r="C53" s="271"/>
      <c r="D53" s="271"/>
      <c r="E53" s="271"/>
      <c r="F53" s="271"/>
      <c r="G53" s="271"/>
      <c r="H53" s="271"/>
      <c r="I53" s="271"/>
      <c r="J53" s="271"/>
      <c r="K53" s="271"/>
      <c r="L53" s="271"/>
      <c r="M53" s="272"/>
      <c r="N53" s="109"/>
      <c r="O53" s="109"/>
      <c r="P53" s="110"/>
    </row>
    <row r="54" spans="1:16" x14ac:dyDescent="0.25">
      <c r="A54" s="108"/>
      <c r="B54" s="270"/>
      <c r="C54" s="271"/>
      <c r="D54" s="271"/>
      <c r="E54" s="271"/>
      <c r="F54" s="271"/>
      <c r="G54" s="271"/>
      <c r="H54" s="271"/>
      <c r="I54" s="271"/>
      <c r="J54" s="271"/>
      <c r="K54" s="271"/>
      <c r="L54" s="271"/>
      <c r="M54" s="272"/>
      <c r="N54" s="109"/>
      <c r="O54" s="109"/>
      <c r="P54" s="110"/>
    </row>
    <row r="55" spans="1:16" x14ac:dyDescent="0.25">
      <c r="A55" s="108"/>
      <c r="B55" s="270"/>
      <c r="C55" s="271"/>
      <c r="D55" s="271"/>
      <c r="E55" s="271"/>
      <c r="F55" s="271"/>
      <c r="G55" s="271"/>
      <c r="H55" s="271"/>
      <c r="I55" s="271"/>
      <c r="J55" s="271"/>
      <c r="K55" s="271"/>
      <c r="L55" s="271"/>
      <c r="M55" s="272"/>
      <c r="N55" s="109"/>
      <c r="O55" s="109"/>
      <c r="P55" s="110"/>
    </row>
    <row r="56" spans="1:16" x14ac:dyDescent="0.25">
      <c r="A56" s="108"/>
      <c r="B56" s="270"/>
      <c r="C56" s="271"/>
      <c r="D56" s="271"/>
      <c r="E56" s="271"/>
      <c r="F56" s="271"/>
      <c r="G56" s="271"/>
      <c r="H56" s="271"/>
      <c r="I56" s="271"/>
      <c r="J56" s="271"/>
      <c r="K56" s="271"/>
      <c r="L56" s="271"/>
      <c r="M56" s="272"/>
      <c r="N56" s="109"/>
      <c r="O56" s="109"/>
      <c r="P56" s="110"/>
    </row>
    <row r="57" spans="1:16" x14ac:dyDescent="0.25">
      <c r="A57" s="108"/>
      <c r="B57" s="270"/>
      <c r="C57" s="271"/>
      <c r="D57" s="271"/>
      <c r="E57" s="271"/>
      <c r="F57" s="271"/>
      <c r="G57" s="271"/>
      <c r="H57" s="271"/>
      <c r="I57" s="271"/>
      <c r="J57" s="271"/>
      <c r="K57" s="271"/>
      <c r="L57" s="271"/>
      <c r="M57" s="272"/>
      <c r="N57" s="109"/>
      <c r="O57" s="109"/>
      <c r="P57" s="110"/>
    </row>
    <row r="58" spans="1:16" x14ac:dyDescent="0.25">
      <c r="A58" s="108"/>
      <c r="B58" s="270"/>
      <c r="C58" s="271"/>
      <c r="D58" s="271"/>
      <c r="E58" s="271"/>
      <c r="F58" s="271"/>
      <c r="G58" s="271"/>
      <c r="H58" s="271"/>
      <c r="I58" s="271"/>
      <c r="J58" s="271"/>
      <c r="K58" s="271"/>
      <c r="L58" s="271"/>
      <c r="M58" s="272"/>
      <c r="N58" s="109"/>
      <c r="O58" s="109"/>
      <c r="P58" s="110"/>
    </row>
    <row r="59" spans="1:16" x14ac:dyDescent="0.25">
      <c r="A59" s="108"/>
      <c r="B59" s="270"/>
      <c r="C59" s="271"/>
      <c r="D59" s="271"/>
      <c r="E59" s="271"/>
      <c r="F59" s="271"/>
      <c r="G59" s="271"/>
      <c r="H59" s="271"/>
      <c r="I59" s="271"/>
      <c r="J59" s="271"/>
      <c r="K59" s="271"/>
      <c r="L59" s="271"/>
      <c r="M59" s="272"/>
      <c r="N59" s="109"/>
      <c r="O59" s="109"/>
      <c r="P59" s="110"/>
    </row>
    <row r="60" spans="1:16" x14ac:dyDescent="0.25">
      <c r="A60" s="108"/>
      <c r="B60" s="270"/>
      <c r="C60" s="271"/>
      <c r="D60" s="271"/>
      <c r="E60" s="271"/>
      <c r="F60" s="271"/>
      <c r="G60" s="271"/>
      <c r="H60" s="271"/>
      <c r="I60" s="271"/>
      <c r="J60" s="271"/>
      <c r="K60" s="271"/>
      <c r="L60" s="271"/>
      <c r="M60" s="272"/>
      <c r="N60" s="109"/>
      <c r="O60" s="109"/>
      <c r="P60" s="110"/>
    </row>
    <row r="61" spans="1:16" x14ac:dyDescent="0.25">
      <c r="A61" s="108"/>
      <c r="B61" s="270"/>
      <c r="C61" s="271"/>
      <c r="D61" s="271"/>
      <c r="E61" s="271"/>
      <c r="F61" s="271"/>
      <c r="G61" s="271"/>
      <c r="H61" s="271"/>
      <c r="I61" s="271"/>
      <c r="J61" s="271"/>
      <c r="K61" s="271"/>
      <c r="L61" s="271"/>
      <c r="M61" s="272"/>
      <c r="N61" s="109"/>
      <c r="O61" s="109"/>
      <c r="P61" s="110"/>
    </row>
    <row r="62" spans="1:16" x14ac:dyDescent="0.25">
      <c r="A62" s="108"/>
      <c r="B62" s="270"/>
      <c r="C62" s="271"/>
      <c r="D62" s="271"/>
      <c r="E62" s="271"/>
      <c r="F62" s="271"/>
      <c r="G62" s="271"/>
      <c r="H62" s="271"/>
      <c r="I62" s="271"/>
      <c r="J62" s="271"/>
      <c r="K62" s="271"/>
      <c r="L62" s="271"/>
      <c r="M62" s="272"/>
      <c r="N62" s="109"/>
      <c r="O62" s="109"/>
      <c r="P62" s="110"/>
    </row>
    <row r="63" spans="1:16" x14ac:dyDescent="0.25">
      <c r="A63" s="108"/>
      <c r="B63" s="270"/>
      <c r="C63" s="271"/>
      <c r="D63" s="271"/>
      <c r="E63" s="271"/>
      <c r="F63" s="271"/>
      <c r="G63" s="271"/>
      <c r="H63" s="271"/>
      <c r="I63" s="271"/>
      <c r="J63" s="271"/>
      <c r="K63" s="271"/>
      <c r="L63" s="271"/>
      <c r="M63" s="272"/>
      <c r="N63" s="109"/>
      <c r="O63" s="109"/>
      <c r="P63" s="110"/>
    </row>
    <row r="64" spans="1:16" x14ac:dyDescent="0.25">
      <c r="A64" s="108"/>
      <c r="B64" s="270"/>
      <c r="C64" s="271"/>
      <c r="D64" s="271"/>
      <c r="E64" s="271"/>
      <c r="F64" s="271"/>
      <c r="G64" s="271"/>
      <c r="H64" s="271"/>
      <c r="I64" s="271"/>
      <c r="J64" s="271"/>
      <c r="K64" s="271"/>
      <c r="L64" s="271"/>
      <c r="M64" s="272"/>
      <c r="N64" s="109"/>
      <c r="O64" s="109"/>
      <c r="P64" s="110"/>
    </row>
    <row r="65" spans="1:16" x14ac:dyDescent="0.25">
      <c r="A65" s="108"/>
      <c r="B65" s="270"/>
      <c r="C65" s="271"/>
      <c r="D65" s="271"/>
      <c r="E65" s="271"/>
      <c r="F65" s="271"/>
      <c r="G65" s="271"/>
      <c r="H65" s="271"/>
      <c r="I65" s="271"/>
      <c r="J65" s="271"/>
      <c r="K65" s="271"/>
      <c r="L65" s="271"/>
      <c r="M65" s="272"/>
      <c r="N65" s="109"/>
      <c r="O65" s="109"/>
      <c r="P65" s="110"/>
    </row>
    <row r="66" spans="1:16" x14ac:dyDescent="0.25">
      <c r="A66" s="108"/>
      <c r="B66" s="270"/>
      <c r="C66" s="271"/>
      <c r="D66" s="271"/>
      <c r="E66" s="271"/>
      <c r="F66" s="271"/>
      <c r="G66" s="271"/>
      <c r="H66" s="271"/>
      <c r="I66" s="271"/>
      <c r="J66" s="271"/>
      <c r="K66" s="271"/>
      <c r="L66" s="271"/>
      <c r="M66" s="272"/>
      <c r="N66" s="109"/>
      <c r="O66" s="109"/>
      <c r="P66" s="110"/>
    </row>
    <row r="67" spans="1:16" x14ac:dyDescent="0.25">
      <c r="A67" s="108"/>
      <c r="B67" s="270"/>
      <c r="C67" s="271"/>
      <c r="D67" s="271"/>
      <c r="E67" s="271"/>
      <c r="F67" s="271"/>
      <c r="G67" s="271"/>
      <c r="H67" s="271"/>
      <c r="I67" s="271"/>
      <c r="J67" s="271"/>
      <c r="K67" s="271"/>
      <c r="L67" s="271"/>
      <c r="M67" s="272"/>
      <c r="N67" s="109"/>
      <c r="O67" s="109"/>
      <c r="P67" s="110"/>
    </row>
    <row r="68" spans="1:16" x14ac:dyDescent="0.25">
      <c r="A68" s="108"/>
      <c r="B68" s="270"/>
      <c r="C68" s="271"/>
      <c r="D68" s="271"/>
      <c r="E68" s="271"/>
      <c r="F68" s="271"/>
      <c r="G68" s="271"/>
      <c r="H68" s="271"/>
      <c r="I68" s="271"/>
      <c r="J68" s="271"/>
      <c r="K68" s="271"/>
      <c r="L68" s="271"/>
      <c r="M68" s="272"/>
      <c r="N68" s="109"/>
      <c r="O68" s="109"/>
      <c r="P68" s="110"/>
    </row>
    <row r="69" spans="1:16" x14ac:dyDescent="0.25">
      <c r="A69" s="108"/>
      <c r="B69" s="270"/>
      <c r="C69" s="271"/>
      <c r="D69" s="271"/>
      <c r="E69" s="271"/>
      <c r="F69" s="271"/>
      <c r="G69" s="271"/>
      <c r="H69" s="271"/>
      <c r="I69" s="271"/>
      <c r="J69" s="271"/>
      <c r="K69" s="271"/>
      <c r="L69" s="271"/>
      <c r="M69" s="272"/>
      <c r="N69" s="109"/>
      <c r="O69" s="109"/>
      <c r="P69" s="110"/>
    </row>
    <row r="70" spans="1:16" x14ac:dyDescent="0.25">
      <c r="A70" s="108"/>
      <c r="B70" s="270"/>
      <c r="C70" s="271"/>
      <c r="D70" s="271"/>
      <c r="E70" s="271"/>
      <c r="F70" s="271"/>
      <c r="G70" s="271"/>
      <c r="H70" s="271"/>
      <c r="I70" s="271"/>
      <c r="J70" s="271"/>
      <c r="K70" s="271"/>
      <c r="L70" s="271"/>
      <c r="M70" s="272"/>
      <c r="N70" s="109"/>
      <c r="O70" s="109"/>
      <c r="P70" s="110"/>
    </row>
    <row r="71" spans="1:16" x14ac:dyDescent="0.25">
      <c r="A71" s="108"/>
      <c r="B71" s="270"/>
      <c r="C71" s="271"/>
      <c r="D71" s="271"/>
      <c r="E71" s="271"/>
      <c r="F71" s="271"/>
      <c r="G71" s="271"/>
      <c r="H71" s="271"/>
      <c r="I71" s="271"/>
      <c r="J71" s="271"/>
      <c r="K71" s="271"/>
      <c r="L71" s="271"/>
      <c r="M71" s="272"/>
      <c r="N71" s="109"/>
      <c r="O71" s="109"/>
      <c r="P71" s="110"/>
    </row>
    <row r="72" spans="1:16" x14ac:dyDescent="0.25">
      <c r="A72" s="108"/>
      <c r="B72" s="270"/>
      <c r="C72" s="271"/>
      <c r="D72" s="271"/>
      <c r="E72" s="271"/>
      <c r="F72" s="271"/>
      <c r="G72" s="271"/>
      <c r="H72" s="271"/>
      <c r="I72" s="271"/>
      <c r="J72" s="271"/>
      <c r="K72" s="271"/>
      <c r="L72" s="271"/>
      <c r="M72" s="272"/>
      <c r="N72" s="109"/>
      <c r="O72" s="109"/>
      <c r="P72" s="110"/>
    </row>
    <row r="73" spans="1:16" x14ac:dyDescent="0.25">
      <c r="A73" s="108"/>
      <c r="B73" s="270"/>
      <c r="C73" s="271"/>
      <c r="D73" s="271"/>
      <c r="E73" s="271"/>
      <c r="F73" s="271"/>
      <c r="G73" s="271"/>
      <c r="H73" s="271"/>
      <c r="I73" s="271"/>
      <c r="J73" s="271"/>
      <c r="K73" s="271"/>
      <c r="L73" s="271"/>
      <c r="M73" s="272"/>
      <c r="N73" s="109"/>
      <c r="O73" s="109"/>
      <c r="P73" s="110"/>
    </row>
    <row r="74" spans="1:16" x14ac:dyDescent="0.25">
      <c r="A74" s="108"/>
      <c r="B74" s="270"/>
      <c r="C74" s="271"/>
      <c r="D74" s="271"/>
      <c r="E74" s="271"/>
      <c r="F74" s="271"/>
      <c r="G74" s="271"/>
      <c r="H74" s="271"/>
      <c r="I74" s="271"/>
      <c r="J74" s="271"/>
      <c r="K74" s="271"/>
      <c r="L74" s="271"/>
      <c r="M74" s="272"/>
      <c r="N74" s="109"/>
      <c r="O74" s="109"/>
      <c r="P74" s="110"/>
    </row>
    <row r="75" spans="1:16" x14ac:dyDescent="0.25">
      <c r="A75" s="108"/>
      <c r="B75" s="270"/>
      <c r="C75" s="271"/>
      <c r="D75" s="271"/>
      <c r="E75" s="271"/>
      <c r="F75" s="271"/>
      <c r="G75" s="271"/>
      <c r="H75" s="271"/>
      <c r="I75" s="271"/>
      <c r="J75" s="271"/>
      <c r="K75" s="271"/>
      <c r="L75" s="271"/>
      <c r="M75" s="272"/>
      <c r="N75" s="109"/>
      <c r="O75" s="109"/>
      <c r="P75" s="110"/>
    </row>
    <row r="76" spans="1:16" x14ac:dyDescent="0.25">
      <c r="A76" s="108"/>
      <c r="B76" s="270"/>
      <c r="C76" s="271"/>
      <c r="D76" s="271"/>
      <c r="E76" s="271"/>
      <c r="F76" s="271"/>
      <c r="G76" s="271"/>
      <c r="H76" s="271"/>
      <c r="I76" s="271"/>
      <c r="J76" s="271"/>
      <c r="K76" s="271"/>
      <c r="L76" s="271"/>
      <c r="M76" s="272"/>
      <c r="N76" s="109"/>
      <c r="O76" s="109"/>
      <c r="P76" s="110"/>
    </row>
    <row r="77" spans="1:16" x14ac:dyDescent="0.25">
      <c r="A77" s="108"/>
      <c r="B77" s="270"/>
      <c r="C77" s="271"/>
      <c r="D77" s="271"/>
      <c r="E77" s="271"/>
      <c r="F77" s="271"/>
      <c r="G77" s="271"/>
      <c r="H77" s="271"/>
      <c r="I77" s="271"/>
      <c r="J77" s="271"/>
      <c r="K77" s="271"/>
      <c r="L77" s="271"/>
      <c r="M77" s="272"/>
      <c r="N77" s="109"/>
      <c r="O77" s="109"/>
      <c r="P77" s="110"/>
    </row>
    <row r="78" spans="1:16" x14ac:dyDescent="0.25">
      <c r="A78" s="108"/>
      <c r="B78" s="270"/>
      <c r="C78" s="271"/>
      <c r="D78" s="271"/>
      <c r="E78" s="271"/>
      <c r="F78" s="271"/>
      <c r="G78" s="271"/>
      <c r="H78" s="271"/>
      <c r="I78" s="271"/>
      <c r="J78" s="271"/>
      <c r="K78" s="271"/>
      <c r="L78" s="271"/>
      <c r="M78" s="272"/>
      <c r="N78" s="109"/>
      <c r="O78" s="109"/>
      <c r="P78" s="110"/>
    </row>
    <row r="79" spans="1:16" x14ac:dyDescent="0.25">
      <c r="A79" s="108"/>
      <c r="B79" s="270"/>
      <c r="C79" s="271"/>
      <c r="D79" s="271"/>
      <c r="E79" s="271"/>
      <c r="F79" s="271"/>
      <c r="G79" s="271"/>
      <c r="H79" s="271"/>
      <c r="I79" s="271"/>
      <c r="J79" s="271"/>
      <c r="K79" s="271"/>
      <c r="L79" s="271"/>
      <c r="M79" s="272"/>
      <c r="N79" s="109"/>
      <c r="O79" s="109"/>
      <c r="P79" s="110"/>
    </row>
    <row r="80" spans="1:16" x14ac:dyDescent="0.25">
      <c r="A80" s="108"/>
      <c r="B80" s="270"/>
      <c r="C80" s="271"/>
      <c r="D80" s="271"/>
      <c r="E80" s="271"/>
      <c r="F80" s="271"/>
      <c r="G80" s="271"/>
      <c r="H80" s="271"/>
      <c r="I80" s="271"/>
      <c r="J80" s="271"/>
      <c r="K80" s="271"/>
      <c r="L80" s="271"/>
      <c r="M80" s="272"/>
      <c r="N80" s="109"/>
      <c r="O80" s="109"/>
      <c r="P80" s="110"/>
    </row>
    <row r="81" spans="1:16" x14ac:dyDescent="0.25">
      <c r="A81" s="108"/>
      <c r="B81" s="270"/>
      <c r="C81" s="271"/>
      <c r="D81" s="271"/>
      <c r="E81" s="271"/>
      <c r="F81" s="271"/>
      <c r="G81" s="271"/>
      <c r="H81" s="271"/>
      <c r="I81" s="271"/>
      <c r="J81" s="271"/>
      <c r="K81" s="271"/>
      <c r="L81" s="271"/>
      <c r="M81" s="272"/>
      <c r="N81" s="109"/>
      <c r="O81" s="109"/>
      <c r="P81" s="110"/>
    </row>
    <row r="82" spans="1:16" x14ac:dyDescent="0.25">
      <c r="A82" s="108"/>
      <c r="B82" s="270"/>
      <c r="C82" s="271"/>
      <c r="D82" s="271"/>
      <c r="E82" s="271"/>
      <c r="F82" s="271"/>
      <c r="G82" s="271"/>
      <c r="H82" s="271"/>
      <c r="I82" s="271"/>
      <c r="J82" s="271"/>
      <c r="K82" s="271"/>
      <c r="L82" s="271"/>
      <c r="M82" s="272"/>
      <c r="N82" s="109"/>
      <c r="O82" s="109"/>
      <c r="P82" s="110"/>
    </row>
    <row r="83" spans="1:16" x14ac:dyDescent="0.25">
      <c r="A83" s="108"/>
      <c r="B83" s="270"/>
      <c r="C83" s="271"/>
      <c r="D83" s="271"/>
      <c r="E83" s="271"/>
      <c r="F83" s="271"/>
      <c r="G83" s="271"/>
      <c r="H83" s="271"/>
      <c r="I83" s="271"/>
      <c r="J83" s="271"/>
      <c r="K83" s="271"/>
      <c r="L83" s="271"/>
      <c r="M83" s="272"/>
      <c r="N83" s="109"/>
      <c r="O83" s="109"/>
      <c r="P83" s="110"/>
    </row>
    <row r="84" spans="1:16" x14ac:dyDescent="0.25">
      <c r="A84" s="108"/>
      <c r="B84" s="270"/>
      <c r="C84" s="271"/>
      <c r="D84" s="271"/>
      <c r="E84" s="271"/>
      <c r="F84" s="271"/>
      <c r="G84" s="271"/>
      <c r="H84" s="271"/>
      <c r="I84" s="271"/>
      <c r="J84" s="271"/>
      <c r="K84" s="271"/>
      <c r="L84" s="271"/>
      <c r="M84" s="272"/>
      <c r="N84" s="109"/>
      <c r="O84" s="109"/>
      <c r="P84" s="110"/>
    </row>
    <row r="85" spans="1:16" x14ac:dyDescent="0.25">
      <c r="A85" s="108"/>
      <c r="B85" s="270"/>
      <c r="C85" s="271"/>
      <c r="D85" s="271"/>
      <c r="E85" s="271"/>
      <c r="F85" s="271"/>
      <c r="G85" s="271"/>
      <c r="H85" s="271"/>
      <c r="I85" s="271"/>
      <c r="J85" s="271"/>
      <c r="K85" s="271"/>
      <c r="L85" s="271"/>
      <c r="M85" s="272"/>
      <c r="N85" s="109"/>
      <c r="O85" s="109"/>
      <c r="P85" s="110"/>
    </row>
    <row r="86" spans="1:16" x14ac:dyDescent="0.25">
      <c r="A86" s="108"/>
      <c r="B86" s="270"/>
      <c r="C86" s="271"/>
      <c r="D86" s="271"/>
      <c r="E86" s="271"/>
      <c r="F86" s="271"/>
      <c r="G86" s="271"/>
      <c r="H86" s="271"/>
      <c r="I86" s="271"/>
      <c r="J86" s="271"/>
      <c r="K86" s="271"/>
      <c r="L86" s="271"/>
      <c r="M86" s="272"/>
      <c r="N86" s="109"/>
      <c r="O86" s="109"/>
      <c r="P86" s="110"/>
    </row>
    <row r="87" spans="1:16" x14ac:dyDescent="0.25">
      <c r="A87" s="108"/>
      <c r="B87" s="270"/>
      <c r="C87" s="271"/>
      <c r="D87" s="271"/>
      <c r="E87" s="271"/>
      <c r="F87" s="271"/>
      <c r="G87" s="271"/>
      <c r="H87" s="271"/>
      <c r="I87" s="271"/>
      <c r="J87" s="271"/>
      <c r="K87" s="271"/>
      <c r="L87" s="271"/>
      <c r="M87" s="272"/>
      <c r="N87" s="109"/>
      <c r="O87" s="109"/>
      <c r="P87" s="110"/>
    </row>
    <row r="88" spans="1:16" x14ac:dyDescent="0.25">
      <c r="A88" s="108"/>
      <c r="B88" s="270"/>
      <c r="C88" s="271"/>
      <c r="D88" s="271"/>
      <c r="E88" s="271"/>
      <c r="F88" s="271"/>
      <c r="G88" s="271"/>
      <c r="H88" s="271"/>
      <c r="I88" s="271"/>
      <c r="J88" s="271"/>
      <c r="K88" s="271"/>
      <c r="L88" s="271"/>
      <c r="M88" s="272"/>
      <c r="N88" s="109"/>
      <c r="O88" s="109"/>
      <c r="P88" s="110"/>
    </row>
    <row r="89" spans="1:16" x14ac:dyDescent="0.25">
      <c r="A89" s="108"/>
      <c r="B89" s="270"/>
      <c r="C89" s="271"/>
      <c r="D89" s="271"/>
      <c r="E89" s="271"/>
      <c r="F89" s="271"/>
      <c r="G89" s="271"/>
      <c r="H89" s="271"/>
      <c r="I89" s="271"/>
      <c r="J89" s="271"/>
      <c r="K89" s="271"/>
      <c r="L89" s="271"/>
      <c r="M89" s="272"/>
      <c r="N89" s="109"/>
      <c r="O89" s="109"/>
      <c r="P89" s="110"/>
    </row>
    <row r="90" spans="1:16" x14ac:dyDescent="0.25">
      <c r="A90" s="108"/>
      <c r="B90" s="270"/>
      <c r="C90" s="271"/>
      <c r="D90" s="271"/>
      <c r="E90" s="271"/>
      <c r="F90" s="271"/>
      <c r="G90" s="271"/>
      <c r="H90" s="271"/>
      <c r="I90" s="271"/>
      <c r="J90" s="271"/>
      <c r="K90" s="271"/>
      <c r="L90" s="271"/>
      <c r="M90" s="272"/>
      <c r="N90" s="109"/>
      <c r="O90" s="109"/>
      <c r="P90" s="110"/>
    </row>
    <row r="91" spans="1:16" x14ac:dyDescent="0.25">
      <c r="A91" s="108"/>
      <c r="B91" s="270"/>
      <c r="C91" s="271"/>
      <c r="D91" s="271"/>
      <c r="E91" s="271"/>
      <c r="F91" s="271"/>
      <c r="G91" s="271"/>
      <c r="H91" s="271"/>
      <c r="I91" s="271"/>
      <c r="J91" s="271"/>
      <c r="K91" s="271"/>
      <c r="L91" s="271"/>
      <c r="M91" s="272"/>
      <c r="N91" s="109"/>
      <c r="O91" s="109"/>
      <c r="P91" s="110"/>
    </row>
    <row r="92" spans="1:16" x14ac:dyDescent="0.25">
      <c r="A92" s="108"/>
      <c r="B92" s="270"/>
      <c r="C92" s="271"/>
      <c r="D92" s="271"/>
      <c r="E92" s="271"/>
      <c r="F92" s="271"/>
      <c r="G92" s="271"/>
      <c r="H92" s="271"/>
      <c r="I92" s="271"/>
      <c r="J92" s="271"/>
      <c r="K92" s="271"/>
      <c r="L92" s="271"/>
      <c r="M92" s="272"/>
      <c r="N92" s="109"/>
      <c r="O92" s="109"/>
      <c r="P92" s="110"/>
    </row>
    <row r="93" spans="1:16" ht="13" thickBot="1" x14ac:dyDescent="0.3">
      <c r="A93" s="119"/>
      <c r="B93" s="273"/>
      <c r="C93" s="274"/>
      <c r="D93" s="274"/>
      <c r="E93" s="274"/>
      <c r="F93" s="274"/>
      <c r="G93" s="274"/>
      <c r="H93" s="274"/>
      <c r="I93" s="274"/>
      <c r="J93" s="274"/>
      <c r="K93" s="274"/>
      <c r="L93" s="274"/>
      <c r="M93" s="275"/>
      <c r="N93" s="120"/>
      <c r="O93" s="120"/>
      <c r="P93" s="121"/>
    </row>
    <row r="94" spans="1:16" ht="13" thickTop="1" x14ac:dyDescent="0.25">
      <c r="A94" s="33"/>
      <c r="B94" s="33"/>
      <c r="C94" s="33"/>
      <c r="D94" s="33"/>
      <c r="E94" s="33"/>
      <c r="F94" s="33"/>
      <c r="G94" s="33"/>
      <c r="H94" s="33"/>
      <c r="I94" s="33"/>
      <c r="J94" s="33"/>
      <c r="K94" s="33"/>
      <c r="L94" s="33"/>
      <c r="M94" s="33"/>
      <c r="N94" s="33"/>
      <c r="O94" s="33"/>
      <c r="P94" s="33"/>
    </row>
  </sheetData>
  <mergeCells count="1">
    <mergeCell ref="B31:M93"/>
  </mergeCells>
  <phoneticPr fontId="5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199"/>
  <sheetViews>
    <sheetView tabSelected="1" topLeftCell="C1" zoomScale="85" zoomScaleNormal="85" zoomScaleSheetLayoutView="100" workbookViewId="0">
      <selection activeCell="F57" sqref="F57"/>
    </sheetView>
  </sheetViews>
  <sheetFormatPr defaultRowHeight="12.5" x14ac:dyDescent="0.25"/>
  <cols>
    <col min="1" max="1" width="0.453125" customWidth="1"/>
    <col min="2" max="2" width="30" customWidth="1"/>
    <col min="3" max="3" width="15.36328125" customWidth="1"/>
    <col min="4" max="4" width="16.54296875" customWidth="1"/>
    <col min="5" max="5" width="20.6328125" customWidth="1"/>
    <col min="6" max="6" width="15.6328125" customWidth="1"/>
    <col min="7" max="7" width="5.54296875" style="1" customWidth="1"/>
    <col min="8" max="8" width="9.54296875" customWidth="1"/>
    <col min="9" max="9" width="19" customWidth="1"/>
    <col min="11" max="11" width="10.81640625" customWidth="1"/>
    <col min="12" max="12" width="8.36328125" customWidth="1"/>
    <col min="13" max="13" width="9.6328125" customWidth="1"/>
    <col min="14" max="19" width="0" hidden="1" customWidth="1"/>
    <col min="20" max="20" width="2.6328125" hidden="1" customWidth="1"/>
    <col min="21" max="21" width="3" hidden="1" customWidth="1"/>
    <col min="22" max="22" width="1.36328125" hidden="1" customWidth="1"/>
    <col min="23" max="23" width="3.6328125" hidden="1" customWidth="1"/>
    <col min="24" max="38" width="0" hidden="1" customWidth="1"/>
    <col min="39" max="39" width="13.1796875" customWidth="1"/>
    <col min="40" max="40" width="6.6328125" hidden="1" customWidth="1"/>
    <col min="41" max="41" width="9.36328125" hidden="1" customWidth="1"/>
    <col min="42" max="42" width="12.36328125" hidden="1" customWidth="1"/>
    <col min="43" max="43" width="12" hidden="1" customWidth="1"/>
    <col min="44" max="44" width="13.453125" hidden="1" customWidth="1"/>
    <col min="45" max="45" width="1.54296875" hidden="1" customWidth="1"/>
    <col min="46" max="46" width="14.6328125" customWidth="1"/>
    <col min="47" max="47" width="11.36328125" customWidth="1"/>
    <col min="48" max="48" width="13" customWidth="1"/>
    <col min="49" max="49" width="13.453125" customWidth="1"/>
    <col min="50" max="50" width="14.6328125" customWidth="1"/>
    <col min="51" max="51" width="14.36328125" customWidth="1"/>
    <col min="52" max="52" width="12.6328125" customWidth="1"/>
    <col min="53" max="53" width="12.54296875" customWidth="1"/>
    <col min="54" max="54" width="9.6328125" customWidth="1"/>
    <col min="55" max="55" width="12.6328125" customWidth="1"/>
    <col min="56" max="57" width="13.6328125" customWidth="1"/>
    <col min="58" max="59" width="14.453125" customWidth="1"/>
    <col min="60" max="60" width="15.453125" customWidth="1"/>
    <col min="61" max="61" width="15.36328125" customWidth="1"/>
    <col min="62" max="62" width="15.6328125" customWidth="1"/>
    <col min="63" max="63" width="12.54296875" customWidth="1"/>
    <col min="64" max="64" width="16.6328125" customWidth="1"/>
    <col min="65" max="65" width="15.453125" customWidth="1"/>
    <col min="66" max="66" width="14.54296875" customWidth="1"/>
    <col min="67" max="67" width="10" customWidth="1"/>
    <col min="68" max="68" width="6.36328125" customWidth="1"/>
    <col min="69" max="69" width="7.36328125" customWidth="1"/>
    <col min="70" max="70" width="8.36328125" customWidth="1"/>
    <col min="71" max="71" width="4.6328125" customWidth="1"/>
  </cols>
  <sheetData>
    <row r="1" spans="1:39" s="58" customFormat="1" ht="60.75" customHeight="1" x14ac:dyDescent="0.3">
      <c r="A1" s="280" t="s">
        <v>480</v>
      </c>
      <c r="B1" s="281"/>
      <c r="C1" s="281"/>
      <c r="D1" s="281"/>
      <c r="E1" s="281"/>
      <c r="F1" s="281"/>
      <c r="G1" s="281"/>
      <c r="H1" s="281"/>
      <c r="I1" s="281"/>
      <c r="J1" s="281"/>
      <c r="K1" s="281"/>
      <c r="L1" s="281"/>
      <c r="M1" s="281"/>
      <c r="N1" s="26"/>
      <c r="O1" s="26"/>
      <c r="P1" s="26"/>
      <c r="Q1" s="26"/>
      <c r="R1" s="25"/>
      <c r="S1" s="25"/>
      <c r="T1" s="24"/>
      <c r="U1" s="24"/>
      <c r="V1" s="24"/>
      <c r="W1" s="24"/>
      <c r="X1" s="24"/>
      <c r="Y1" s="24"/>
      <c r="Z1" s="24"/>
      <c r="AA1" s="24"/>
      <c r="AB1" s="24"/>
      <c r="AC1" s="24"/>
      <c r="AD1" s="24"/>
      <c r="AE1" s="24"/>
      <c r="AF1" s="24"/>
      <c r="AG1" s="24"/>
      <c r="AH1" s="24"/>
      <c r="AI1" s="24"/>
      <c r="AJ1" s="24"/>
      <c r="AK1" s="24"/>
      <c r="AL1" s="24"/>
      <c r="AM1" s="24"/>
    </row>
    <row r="2" spans="1:39" ht="15.5" x14ac:dyDescent="0.25">
      <c r="A2" s="9"/>
      <c r="B2" s="23"/>
      <c r="C2" s="9"/>
      <c r="D2" s="9"/>
      <c r="E2" s="9"/>
      <c r="F2" s="10"/>
      <c r="G2" s="10"/>
      <c r="H2" s="9"/>
      <c r="I2" s="9"/>
      <c r="J2" s="9"/>
      <c r="K2" s="9"/>
      <c r="L2" s="297"/>
      <c r="M2" s="297"/>
      <c r="N2" s="9"/>
      <c r="O2" s="9"/>
      <c r="P2" s="9"/>
      <c r="Q2" s="9"/>
      <c r="R2" s="9"/>
      <c r="S2" s="9"/>
      <c r="T2" s="9"/>
      <c r="U2" s="9"/>
      <c r="V2" s="9"/>
      <c r="W2" s="9"/>
      <c r="X2" s="9"/>
      <c r="Y2" s="9"/>
      <c r="Z2" s="9"/>
      <c r="AA2" s="9"/>
      <c r="AB2" s="9"/>
      <c r="AC2" s="9"/>
      <c r="AD2" s="9"/>
      <c r="AE2" s="9"/>
      <c r="AF2" s="9"/>
      <c r="AG2" s="9"/>
      <c r="AH2" s="9"/>
      <c r="AI2" s="9"/>
      <c r="AJ2" s="9"/>
      <c r="AK2" s="9"/>
      <c r="AL2" s="9"/>
      <c r="AM2" s="9"/>
    </row>
    <row r="3" spans="1:39" x14ac:dyDescent="0.25">
      <c r="A3" s="9"/>
      <c r="B3" s="9"/>
      <c r="C3" s="9"/>
      <c r="D3" s="9"/>
      <c r="E3" s="9"/>
      <c r="F3" s="9"/>
      <c r="G3" s="10"/>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x14ac:dyDescent="0.25">
      <c r="A4" s="9"/>
      <c r="B4" s="9"/>
      <c r="C4" s="9"/>
      <c r="D4" s="9"/>
      <c r="E4" s="9"/>
      <c r="F4" s="9"/>
      <c r="G4" s="10"/>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row>
    <row r="5" spans="1:39" x14ac:dyDescent="0.25">
      <c r="A5" s="9"/>
      <c r="B5" s="9"/>
      <c r="C5" s="9"/>
      <c r="D5" s="9"/>
      <c r="E5" s="9"/>
      <c r="F5" s="9"/>
      <c r="G5" s="10"/>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row>
    <row r="6" spans="1:39" x14ac:dyDescent="0.25">
      <c r="A6" s="9"/>
      <c r="B6" s="9"/>
      <c r="C6" s="9"/>
      <c r="D6" s="9"/>
      <c r="E6" s="9"/>
      <c r="F6" s="9"/>
      <c r="G6" s="10"/>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1:39" x14ac:dyDescent="0.25">
      <c r="A7" s="9"/>
      <c r="B7" s="9"/>
      <c r="C7" s="9"/>
      <c r="D7" s="9"/>
      <c r="E7" s="9"/>
      <c r="F7" s="9"/>
      <c r="G7" s="10"/>
      <c r="H7" s="9"/>
      <c r="I7" s="9"/>
      <c r="J7" s="9"/>
      <c r="K7" s="9"/>
      <c r="M7" s="9"/>
      <c r="N7" s="9"/>
      <c r="O7" s="9"/>
      <c r="P7" s="9"/>
      <c r="Q7" s="9"/>
      <c r="R7" s="9"/>
      <c r="S7" s="9"/>
      <c r="T7" s="9"/>
      <c r="U7" s="9"/>
      <c r="V7" s="9"/>
      <c r="W7" s="9"/>
      <c r="X7" s="9"/>
      <c r="Y7" s="9"/>
      <c r="Z7" s="9"/>
      <c r="AA7" s="9"/>
      <c r="AB7" s="9"/>
      <c r="AC7" s="9"/>
      <c r="AD7" s="9"/>
      <c r="AE7" s="9"/>
      <c r="AF7" s="9"/>
      <c r="AG7" s="9"/>
      <c r="AH7" s="9"/>
      <c r="AI7" s="9"/>
      <c r="AJ7" s="9"/>
      <c r="AK7" s="9"/>
      <c r="AL7" s="9"/>
      <c r="AM7" s="9"/>
    </row>
    <row r="8" spans="1:39" x14ac:dyDescent="0.25">
      <c r="A8" s="9"/>
      <c r="B8" s="9"/>
      <c r="C8" s="9"/>
      <c r="D8" s="9"/>
      <c r="E8" s="9"/>
      <c r="F8" s="9"/>
      <c r="G8" s="10"/>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row>
    <row r="9" spans="1:39" ht="15" customHeight="1" x14ac:dyDescent="0.25">
      <c r="A9" s="9"/>
      <c r="B9" s="12"/>
      <c r="C9" s="100"/>
      <c r="D9" s="60" t="s">
        <v>293</v>
      </c>
      <c r="E9" s="1"/>
      <c r="F9" s="9"/>
      <c r="G9" s="10"/>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row>
    <row r="10" spans="1:39" ht="15" customHeight="1" x14ac:dyDescent="0.25">
      <c r="A10" s="9"/>
      <c r="B10" s="13"/>
      <c r="C10" s="11"/>
      <c r="D10" s="60" t="s">
        <v>448</v>
      </c>
      <c r="E10" s="55"/>
      <c r="F10" s="9"/>
      <c r="G10" s="10"/>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row>
    <row r="11" spans="1:39" ht="23" customHeight="1" x14ac:dyDescent="0.25">
      <c r="A11" s="9"/>
      <c r="B11" s="13"/>
      <c r="C11" s="104"/>
      <c r="D11" s="282" t="s">
        <v>348</v>
      </c>
      <c r="E11" s="283"/>
      <c r="F11" s="9"/>
      <c r="G11" s="10"/>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row>
    <row r="12" spans="1:39" ht="21.65" customHeight="1" x14ac:dyDescent="0.25">
      <c r="A12" s="9"/>
      <c r="B12" s="13"/>
      <c r="C12" s="103"/>
      <c r="D12" s="282"/>
      <c r="E12" s="283"/>
      <c r="F12" s="9"/>
      <c r="G12" s="10"/>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row>
    <row r="13" spans="1:39" ht="15" customHeight="1" thickBot="1" x14ac:dyDescent="0.3">
      <c r="A13" s="9"/>
      <c r="B13" s="9"/>
      <c r="C13" s="9"/>
      <c r="D13" s="9"/>
      <c r="E13" s="9"/>
      <c r="F13" s="18"/>
      <c r="G13" s="10"/>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row>
    <row r="14" spans="1:39" ht="15" customHeight="1" x14ac:dyDescent="0.3">
      <c r="A14" s="9"/>
      <c r="B14" s="71" t="s">
        <v>112</v>
      </c>
      <c r="C14" s="41"/>
      <c r="D14" s="41"/>
      <c r="E14" s="42" t="s">
        <v>437</v>
      </c>
      <c r="F14" s="95">
        <v>40</v>
      </c>
      <c r="G14" s="86" t="s">
        <v>68</v>
      </c>
      <c r="H14" s="41"/>
      <c r="I14" s="245" t="s">
        <v>470</v>
      </c>
      <c r="J14" s="246" t="s">
        <v>471</v>
      </c>
      <c r="K14" s="247"/>
      <c r="L14" s="248" t="s">
        <v>121</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59"/>
    </row>
    <row r="15" spans="1:39" ht="15" customHeight="1" x14ac:dyDescent="0.3">
      <c r="A15" s="9"/>
      <c r="B15" s="43"/>
      <c r="C15" s="9"/>
      <c r="D15" s="9"/>
      <c r="E15" s="30" t="s">
        <v>438</v>
      </c>
      <c r="F15" s="96">
        <v>50</v>
      </c>
      <c r="G15" s="87" t="s">
        <v>68</v>
      </c>
      <c r="H15" s="9"/>
      <c r="I15" s="257" t="s">
        <v>481</v>
      </c>
      <c r="J15" s="286">
        <v>60</v>
      </c>
      <c r="K15" s="287"/>
      <c r="L15" s="258" t="s">
        <v>472</v>
      </c>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49"/>
    </row>
    <row r="16" spans="1:39" ht="15" customHeight="1" x14ac:dyDescent="0.25">
      <c r="A16" s="9"/>
      <c r="B16" s="44"/>
      <c r="C16" s="9"/>
      <c r="D16" s="9"/>
      <c r="E16" s="30" t="s">
        <v>439</v>
      </c>
      <c r="F16" s="96">
        <v>55</v>
      </c>
      <c r="G16" s="87" t="s">
        <v>68</v>
      </c>
      <c r="H16" s="9"/>
      <c r="I16" s="257" t="s">
        <v>482</v>
      </c>
      <c r="J16" s="286">
        <v>55</v>
      </c>
      <c r="K16" s="287"/>
      <c r="L16" s="258" t="s">
        <v>472</v>
      </c>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49"/>
    </row>
    <row r="17" spans="1:45" ht="15" customHeight="1" x14ac:dyDescent="0.25">
      <c r="A17" s="9"/>
      <c r="B17" s="44"/>
      <c r="C17" s="9"/>
      <c r="D17" s="9"/>
      <c r="E17" s="30" t="s">
        <v>87</v>
      </c>
      <c r="F17" s="96">
        <v>50</v>
      </c>
      <c r="G17" s="87" t="s">
        <v>27</v>
      </c>
      <c r="H17" s="9"/>
      <c r="I17" s="257" t="s">
        <v>484</v>
      </c>
      <c r="J17" s="286">
        <v>50</v>
      </c>
      <c r="K17" s="287"/>
      <c r="L17" s="258" t="s">
        <v>472</v>
      </c>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49"/>
    </row>
    <row r="18" spans="1:45" ht="15" customHeight="1" x14ac:dyDescent="0.25">
      <c r="A18" s="9"/>
      <c r="B18" s="44"/>
      <c r="C18" s="9"/>
      <c r="D18" s="9"/>
      <c r="E18" s="30" t="s">
        <v>449</v>
      </c>
      <c r="F18" s="96">
        <v>2800</v>
      </c>
      <c r="G18" s="87" t="s">
        <v>65</v>
      </c>
      <c r="H18" s="9"/>
      <c r="I18" s="257" t="s">
        <v>483</v>
      </c>
      <c r="J18" s="286">
        <v>55</v>
      </c>
      <c r="K18" s="287"/>
      <c r="L18" s="258" t="s">
        <v>472</v>
      </c>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49"/>
    </row>
    <row r="19" spans="1:45" ht="15" customHeight="1" x14ac:dyDescent="0.25">
      <c r="A19" s="9"/>
      <c r="B19" s="44"/>
      <c r="C19" s="9"/>
      <c r="D19" s="9"/>
      <c r="E19" s="30" t="s">
        <v>86</v>
      </c>
      <c r="F19" s="133">
        <v>55</v>
      </c>
      <c r="G19" s="87" t="s">
        <v>89</v>
      </c>
      <c r="H19" s="9"/>
      <c r="I19" s="251"/>
      <c r="J19" s="276"/>
      <c r="K19" s="277"/>
      <c r="L19" s="24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49"/>
    </row>
    <row r="20" spans="1:45" s="56" customFormat="1" ht="15" hidden="1" customHeight="1" x14ac:dyDescent="0.25">
      <c r="E20" s="57" t="s">
        <v>456</v>
      </c>
      <c r="F20" s="181">
        <v>2.7</v>
      </c>
      <c r="G20" s="182" t="s">
        <v>68</v>
      </c>
      <c r="I20" s="252"/>
      <c r="J20" s="276"/>
      <c r="K20" s="277"/>
      <c r="L20" s="249"/>
      <c r="AM20" s="183"/>
    </row>
    <row r="21" spans="1:45" s="56" customFormat="1" ht="15" hidden="1" customHeight="1" x14ac:dyDescent="0.25">
      <c r="E21" s="57" t="s">
        <v>465</v>
      </c>
      <c r="F21" s="181">
        <v>1</v>
      </c>
      <c r="G21" s="182" t="s">
        <v>8</v>
      </c>
      <c r="I21" s="252"/>
      <c r="J21" s="276"/>
      <c r="K21" s="277"/>
      <c r="L21" s="249"/>
      <c r="AM21" s="183"/>
    </row>
    <row r="22" spans="1:45" ht="15" customHeight="1" x14ac:dyDescent="0.25">
      <c r="A22" s="9"/>
      <c r="C22" s="9"/>
      <c r="D22" s="9"/>
      <c r="E22" s="30" t="s">
        <v>455</v>
      </c>
      <c r="F22" s="133">
        <v>1000</v>
      </c>
      <c r="G22" s="87" t="s">
        <v>379</v>
      </c>
      <c r="H22" s="9"/>
      <c r="I22" s="259" t="s">
        <v>488</v>
      </c>
      <c r="J22" s="288">
        <v>100</v>
      </c>
      <c r="K22" s="289"/>
      <c r="L22" s="260" t="s">
        <v>472</v>
      </c>
      <c r="M22" s="292" t="s">
        <v>490</v>
      </c>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4"/>
    </row>
    <row r="23" spans="1:45" s="56" customFormat="1" ht="15" hidden="1" customHeight="1" x14ac:dyDescent="0.25">
      <c r="B23" s="180"/>
      <c r="E23" s="57" t="s">
        <v>443</v>
      </c>
      <c r="F23" s="181">
        <v>15</v>
      </c>
      <c r="G23" s="182" t="s">
        <v>27</v>
      </c>
      <c r="I23" s="252"/>
      <c r="J23" s="276"/>
      <c r="K23" s="277"/>
      <c r="L23" s="249"/>
      <c r="AM23" s="183"/>
    </row>
    <row r="24" spans="1:45" s="56" customFormat="1" ht="15" hidden="1" customHeight="1" x14ac:dyDescent="0.25">
      <c r="B24" s="180"/>
      <c r="E24" s="57" t="s">
        <v>457</v>
      </c>
      <c r="F24" s="181">
        <v>30</v>
      </c>
      <c r="G24" s="182" t="s">
        <v>27</v>
      </c>
      <c r="I24" s="252"/>
      <c r="J24" s="276"/>
      <c r="K24" s="277"/>
      <c r="L24" s="249"/>
      <c r="AM24" s="183"/>
    </row>
    <row r="25" spans="1:45" ht="15" customHeight="1" x14ac:dyDescent="0.25">
      <c r="A25" s="9"/>
      <c r="B25" s="298" t="s">
        <v>463</v>
      </c>
      <c r="C25" s="9"/>
      <c r="D25" s="9"/>
      <c r="E25" s="30" t="s">
        <v>474</v>
      </c>
      <c r="F25" s="133">
        <v>55</v>
      </c>
      <c r="G25" s="87" t="s">
        <v>472</v>
      </c>
      <c r="H25" s="9"/>
      <c r="I25" s="251"/>
      <c r="J25" s="276"/>
      <c r="K25" s="277"/>
      <c r="L25" s="24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49"/>
      <c r="AN25" s="167"/>
      <c r="AO25" s="167"/>
      <c r="AP25" s="167"/>
      <c r="AQ25" s="167"/>
      <c r="AR25" s="167"/>
      <c r="AS25" s="167"/>
    </row>
    <row r="26" spans="1:45" ht="15" customHeight="1" thickBot="1" x14ac:dyDescent="0.35">
      <c r="A26" s="9"/>
      <c r="B26" s="298"/>
      <c r="C26" s="9"/>
      <c r="D26" s="9"/>
      <c r="E26" s="30"/>
      <c r="F26" s="254"/>
      <c r="G26" s="87"/>
      <c r="H26" s="9"/>
      <c r="I26" s="261" t="s">
        <v>488</v>
      </c>
      <c r="J26" s="290">
        <v>75.599999999999994</v>
      </c>
      <c r="K26" s="291"/>
      <c r="L26" s="262" t="s">
        <v>472</v>
      </c>
      <c r="M26" s="265" t="s">
        <v>489</v>
      </c>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4"/>
      <c r="AN26" s="167"/>
      <c r="AO26" s="167"/>
      <c r="AP26" s="167"/>
      <c r="AQ26" s="167"/>
      <c r="AR26" s="167"/>
      <c r="AS26" s="167"/>
    </row>
    <row r="27" spans="1:45" ht="15" customHeight="1" thickBot="1" x14ac:dyDescent="0.3">
      <c r="A27" s="9"/>
      <c r="B27" s="298"/>
      <c r="C27" s="45"/>
      <c r="D27" s="45"/>
      <c r="E27" s="46"/>
      <c r="F27" s="254"/>
      <c r="G27" s="89"/>
      <c r="H27" s="45"/>
      <c r="I27" s="253"/>
      <c r="J27" s="300"/>
      <c r="K27" s="301"/>
      <c r="L27" s="250"/>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53"/>
      <c r="AN27" s="167"/>
      <c r="AO27" s="167"/>
      <c r="AP27" s="167"/>
      <c r="AQ27" s="167"/>
      <c r="AR27" s="167"/>
      <c r="AS27" s="167"/>
    </row>
    <row r="28" spans="1:45" s="56" customFormat="1" ht="15" hidden="1" customHeight="1" x14ac:dyDescent="0.3">
      <c r="B28" s="184" t="s">
        <v>172</v>
      </c>
      <c r="E28" s="185"/>
      <c r="F28" s="186"/>
      <c r="G28" s="182"/>
      <c r="J28" s="302"/>
      <c r="K28" s="303"/>
      <c r="AM28" s="183"/>
      <c r="AN28" s="187" t="s">
        <v>159</v>
      </c>
      <c r="AO28" s="188"/>
      <c r="AP28" s="188"/>
      <c r="AQ28" s="188"/>
      <c r="AR28" s="188"/>
      <c r="AS28" s="188"/>
    </row>
    <row r="29" spans="1:45" s="56" customFormat="1" ht="15" hidden="1" customHeight="1" x14ac:dyDescent="0.3">
      <c r="B29" s="189"/>
      <c r="E29" s="57" t="s">
        <v>464</v>
      </c>
      <c r="F29" s="190">
        <v>1</v>
      </c>
      <c r="G29" s="182" t="s">
        <v>67</v>
      </c>
      <c r="H29" s="191"/>
      <c r="J29" s="276"/>
      <c r="K29" s="277"/>
      <c r="AM29" s="183"/>
      <c r="AN29" s="187" t="s">
        <v>157</v>
      </c>
      <c r="AO29" s="188"/>
      <c r="AP29" s="188"/>
      <c r="AQ29" s="188"/>
      <c r="AR29" s="188"/>
      <c r="AS29" s="188"/>
    </row>
    <row r="30" spans="1:45" s="56" customFormat="1" ht="15" hidden="1" customHeight="1" x14ac:dyDescent="0.25">
      <c r="B30" s="180"/>
      <c r="E30" s="57" t="s">
        <v>440</v>
      </c>
      <c r="F30" s="190">
        <v>50</v>
      </c>
      <c r="G30" s="192" t="s">
        <v>69</v>
      </c>
      <c r="H30" s="191"/>
      <c r="J30" s="276"/>
      <c r="K30" s="277"/>
      <c r="AM30" s="183"/>
      <c r="AN30" s="187"/>
      <c r="AO30" s="188"/>
      <c r="AP30" s="188"/>
      <c r="AQ30" s="188"/>
      <c r="AR30" s="193">
        <v>10</v>
      </c>
      <c r="AS30" s="194" t="e">
        <f>AS38/0.1</f>
        <v>#DIV/0!</v>
      </c>
    </row>
    <row r="31" spans="1:45" s="56" customFormat="1" ht="15" hidden="1" customHeight="1" x14ac:dyDescent="0.25">
      <c r="B31" s="180"/>
      <c r="E31" s="57" t="s">
        <v>441</v>
      </c>
      <c r="F31" s="195">
        <f>Equations!F28</f>
        <v>40</v>
      </c>
      <c r="G31" s="182" t="s">
        <v>66</v>
      </c>
      <c r="H31" s="191"/>
      <c r="J31" s="276"/>
      <c r="K31" s="277"/>
      <c r="AM31" s="183"/>
      <c r="AN31" s="187"/>
      <c r="AO31" s="188"/>
      <c r="AP31" s="188"/>
      <c r="AQ31" s="188"/>
      <c r="AR31" s="193"/>
      <c r="AS31" s="194"/>
    </row>
    <row r="32" spans="1:45" s="56" customFormat="1" ht="15" hidden="1" customHeight="1" x14ac:dyDescent="0.25">
      <c r="B32" s="180"/>
      <c r="E32" s="57" t="s">
        <v>410</v>
      </c>
      <c r="F32" s="196">
        <v>40</v>
      </c>
      <c r="G32" s="182" t="s">
        <v>66</v>
      </c>
      <c r="H32" s="191"/>
      <c r="J32" s="276"/>
      <c r="K32" s="277"/>
      <c r="AM32" s="183"/>
      <c r="AN32" s="187"/>
      <c r="AO32" s="188"/>
      <c r="AP32" s="188"/>
      <c r="AQ32" s="188"/>
      <c r="AR32" s="193"/>
      <c r="AS32" s="194"/>
    </row>
    <row r="33" spans="1:45" s="56" customFormat="1" ht="15" hidden="1" customHeight="1" x14ac:dyDescent="0.25">
      <c r="B33" s="180"/>
      <c r="E33" s="57" t="s">
        <v>73</v>
      </c>
      <c r="F33" s="197">
        <f>F34*0.9</f>
        <v>13.5</v>
      </c>
      <c r="G33" s="182" t="s">
        <v>27</v>
      </c>
      <c r="H33" s="191"/>
      <c r="J33" s="276"/>
      <c r="K33" s="277"/>
      <c r="AM33" s="183"/>
      <c r="AN33" s="187"/>
      <c r="AO33" s="188"/>
      <c r="AP33" s="188"/>
      <c r="AQ33" s="188"/>
      <c r="AR33" s="193"/>
      <c r="AS33" s="194"/>
    </row>
    <row r="34" spans="1:45" s="56" customFormat="1" ht="15" hidden="1" customHeight="1" x14ac:dyDescent="0.25">
      <c r="B34" s="180"/>
      <c r="E34" s="57" t="s">
        <v>74</v>
      </c>
      <c r="F34" s="198">
        <f>Equations!I23</f>
        <v>15</v>
      </c>
      <c r="G34" s="182" t="s">
        <v>27</v>
      </c>
      <c r="H34" s="191"/>
      <c r="J34" s="276"/>
      <c r="K34" s="277"/>
      <c r="AM34" s="183"/>
      <c r="AN34" s="187"/>
      <c r="AO34" s="188"/>
      <c r="AP34" s="188"/>
      <c r="AQ34" s="188"/>
      <c r="AR34" s="193"/>
      <c r="AS34" s="194"/>
    </row>
    <row r="35" spans="1:45" s="56" customFormat="1" ht="15" hidden="1" customHeight="1" x14ac:dyDescent="0.25">
      <c r="B35" s="299" t="s">
        <v>463</v>
      </c>
      <c r="E35" s="57" t="s">
        <v>75</v>
      </c>
      <c r="F35" s="198">
        <f>F34*1.1</f>
        <v>16.5</v>
      </c>
      <c r="G35" s="182" t="s">
        <v>27</v>
      </c>
      <c r="H35" s="191"/>
      <c r="J35" s="276"/>
      <c r="K35" s="277"/>
      <c r="AM35" s="183"/>
      <c r="AN35" s="187"/>
      <c r="AO35" s="188"/>
      <c r="AP35" s="188"/>
      <c r="AQ35" s="188"/>
      <c r="AR35" s="193"/>
      <c r="AS35" s="194"/>
    </row>
    <row r="36" spans="1:45" s="56" customFormat="1" ht="15" hidden="1" customHeight="1" x14ac:dyDescent="0.25">
      <c r="B36" s="299"/>
      <c r="E36" s="57" t="s">
        <v>430</v>
      </c>
      <c r="F36" s="195">
        <f>Equations!F29</f>
        <v>10</v>
      </c>
      <c r="G36" s="182" t="s">
        <v>66</v>
      </c>
      <c r="H36" s="191"/>
      <c r="J36" s="276"/>
      <c r="K36" s="277"/>
      <c r="AM36" s="183"/>
      <c r="AN36" s="187"/>
      <c r="AO36" s="188"/>
      <c r="AP36" s="188"/>
      <c r="AQ36" s="188"/>
      <c r="AR36" s="193">
        <v>100</v>
      </c>
      <c r="AS36" s="194" t="e">
        <f>AS38</f>
        <v>#DIV/0!</v>
      </c>
    </row>
    <row r="37" spans="1:45" s="56" customFormat="1" ht="15" hidden="1" customHeight="1" x14ac:dyDescent="0.25">
      <c r="B37" s="299"/>
      <c r="E37" s="57" t="s">
        <v>429</v>
      </c>
      <c r="F37" s="195">
        <f>Equations!L29</f>
        <v>18.518518518518519</v>
      </c>
      <c r="G37" s="182" t="s">
        <v>66</v>
      </c>
      <c r="H37" s="191"/>
      <c r="J37" s="276"/>
      <c r="K37" s="277"/>
      <c r="AM37" s="183"/>
      <c r="AN37" s="187"/>
      <c r="AO37" s="188"/>
      <c r="AP37" s="188"/>
      <c r="AQ37" s="188"/>
      <c r="AR37" s="193"/>
      <c r="AS37" s="194"/>
    </row>
    <row r="38" spans="1:45" s="56" customFormat="1" ht="15" hidden="1" customHeight="1" x14ac:dyDescent="0.25">
      <c r="B38" s="180"/>
      <c r="E38" s="57" t="s">
        <v>412</v>
      </c>
      <c r="F38" s="196">
        <v>10</v>
      </c>
      <c r="G38" s="182" t="s">
        <v>66</v>
      </c>
      <c r="H38" s="191"/>
      <c r="J38" s="276"/>
      <c r="K38" s="277"/>
      <c r="AM38" s="183"/>
      <c r="AN38" s="187"/>
      <c r="AO38" s="188"/>
      <c r="AP38" s="188"/>
      <c r="AQ38" s="188"/>
      <c r="AR38" s="193"/>
      <c r="AS38" s="194" t="e">
        <f>0.35/(RSNS*IOUTMAX)*100</f>
        <v>#DIV/0!</v>
      </c>
    </row>
    <row r="39" spans="1:45" s="56" customFormat="1" ht="15" hidden="1" customHeight="1" x14ac:dyDescent="0.25">
      <c r="B39" s="180"/>
      <c r="E39" s="57" t="s">
        <v>450</v>
      </c>
      <c r="F39" s="195">
        <f>Equations!I29</f>
        <v>2.7</v>
      </c>
      <c r="G39" s="182" t="s">
        <v>68</v>
      </c>
      <c r="H39" s="191"/>
      <c r="J39" s="276"/>
      <c r="K39" s="277"/>
      <c r="AM39" s="183"/>
      <c r="AN39" s="187"/>
      <c r="AO39" s="188"/>
      <c r="AP39" s="188"/>
      <c r="AQ39" s="188"/>
      <c r="AR39" s="188"/>
      <c r="AS39" s="188"/>
    </row>
    <row r="40" spans="1:45" s="56" customFormat="1" ht="15" hidden="1" customHeight="1" x14ac:dyDescent="0.25">
      <c r="B40" s="180"/>
      <c r="E40" s="57" t="s">
        <v>433</v>
      </c>
      <c r="F40" s="195">
        <f>Equations!F32</f>
        <v>1</v>
      </c>
      <c r="G40" s="182" t="s">
        <v>66</v>
      </c>
      <c r="H40" s="191"/>
      <c r="J40" s="276"/>
      <c r="K40" s="277"/>
      <c r="AM40" s="183"/>
      <c r="AN40" s="187"/>
      <c r="AO40" s="188"/>
      <c r="AP40" s="188"/>
      <c r="AQ40" s="188"/>
      <c r="AR40" s="188"/>
      <c r="AS40" s="188"/>
    </row>
    <row r="41" spans="1:45" s="56" customFormat="1" ht="15" hidden="1" customHeight="1" x14ac:dyDescent="0.25">
      <c r="B41" s="180"/>
      <c r="E41" s="57" t="s">
        <v>432</v>
      </c>
      <c r="F41" s="190">
        <v>1</v>
      </c>
      <c r="G41" s="182" t="s">
        <v>66</v>
      </c>
      <c r="H41" s="191"/>
      <c r="J41" s="276"/>
      <c r="K41" s="277"/>
      <c r="AM41" s="183"/>
      <c r="AN41" s="187"/>
      <c r="AO41" s="188"/>
      <c r="AP41" s="188"/>
      <c r="AQ41" s="188"/>
      <c r="AR41" s="188"/>
      <c r="AS41" s="188"/>
    </row>
    <row r="42" spans="1:45" s="56" customFormat="1" ht="15" hidden="1" customHeight="1" x14ac:dyDescent="0.25">
      <c r="B42" s="180"/>
      <c r="E42" s="57" t="s">
        <v>436</v>
      </c>
      <c r="F42" s="195">
        <f>Equations!I32</f>
        <v>30</v>
      </c>
      <c r="G42" s="182" t="s">
        <v>27</v>
      </c>
      <c r="H42" s="191"/>
      <c r="J42" s="276"/>
      <c r="K42" s="277"/>
      <c r="AM42" s="183"/>
      <c r="AN42" s="187"/>
      <c r="AO42" s="188"/>
      <c r="AP42" s="188"/>
      <c r="AQ42" s="188"/>
      <c r="AR42" s="188"/>
      <c r="AS42" s="188"/>
    </row>
    <row r="43" spans="1:45" s="56" customFormat="1" ht="15" hidden="1" customHeight="1" x14ac:dyDescent="0.25">
      <c r="B43" s="180"/>
      <c r="E43" s="57" t="s">
        <v>431</v>
      </c>
      <c r="F43" s="195">
        <f>INDEX('Cap Tables'!B4:B75,MATCH(Equations!F30,'Cap Tables'!B4:B75)+1)</f>
        <v>68</v>
      </c>
      <c r="G43" s="182" t="s">
        <v>85</v>
      </c>
      <c r="H43" s="191"/>
      <c r="J43" s="276"/>
      <c r="K43" s="277"/>
      <c r="AM43" s="183"/>
      <c r="AN43" s="187">
        <f>Equations!F30</f>
        <v>64.583333333333343</v>
      </c>
      <c r="AO43" s="188"/>
      <c r="AP43" s="188"/>
      <c r="AQ43" s="188"/>
      <c r="AR43" s="188"/>
      <c r="AS43" s="188"/>
    </row>
    <row r="44" spans="1:45" s="56" customFormat="1" ht="15" hidden="1" customHeight="1" x14ac:dyDescent="0.25">
      <c r="B44" s="180"/>
      <c r="E44" s="57" t="s">
        <v>445</v>
      </c>
      <c r="F44" s="196">
        <v>68</v>
      </c>
      <c r="G44" s="182" t="s">
        <v>85</v>
      </c>
      <c r="H44" s="191"/>
      <c r="J44" s="276"/>
      <c r="K44" s="277"/>
      <c r="AM44" s="183"/>
      <c r="AN44" s="187"/>
      <c r="AO44" s="188"/>
      <c r="AP44" s="188"/>
      <c r="AQ44" s="188"/>
      <c r="AR44" s="188"/>
      <c r="AS44" s="188"/>
    </row>
    <row r="45" spans="1:45" s="56" customFormat="1" ht="15" hidden="1" customHeight="1" x14ac:dyDescent="0.25">
      <c r="B45" s="180"/>
      <c r="E45" s="57" t="s">
        <v>442</v>
      </c>
      <c r="F45" s="195">
        <f>Equations!I31</f>
        <v>1.0529032258064515</v>
      </c>
      <c r="G45" s="182" t="s">
        <v>8</v>
      </c>
      <c r="H45" s="191"/>
      <c r="J45" s="276"/>
      <c r="K45" s="277"/>
      <c r="AM45" s="183"/>
      <c r="AN45" s="187"/>
      <c r="AO45" s="188"/>
      <c r="AP45" s="188"/>
      <c r="AQ45" s="188"/>
      <c r="AR45" s="188"/>
      <c r="AS45" s="188"/>
    </row>
    <row r="46" spans="1:45" s="56" customFormat="1" ht="15" hidden="1" customHeight="1" x14ac:dyDescent="0.25">
      <c r="B46" s="180"/>
      <c r="E46" s="57" t="s">
        <v>389</v>
      </c>
      <c r="F46" s="199">
        <f>Equations!F31</f>
        <v>1543.6</v>
      </c>
      <c r="G46" s="182" t="s">
        <v>8</v>
      </c>
      <c r="H46" s="191"/>
      <c r="J46" s="276"/>
      <c r="K46" s="277"/>
      <c r="AM46" s="183"/>
      <c r="AN46" s="187"/>
      <c r="AO46" s="188"/>
      <c r="AP46" s="188"/>
      <c r="AQ46" s="188"/>
      <c r="AR46" s="188"/>
      <c r="AS46" s="188"/>
    </row>
    <row r="47" spans="1:45" s="56" customFormat="1" ht="15" hidden="1" customHeight="1" thickBot="1" x14ac:dyDescent="0.3">
      <c r="B47" s="200"/>
      <c r="E47" s="201"/>
      <c r="F47" s="202"/>
      <c r="G47" s="203"/>
      <c r="H47" s="204"/>
      <c r="J47" s="276"/>
      <c r="K47" s="277"/>
      <c r="AM47" s="183"/>
      <c r="AN47" s="188"/>
      <c r="AO47" s="188"/>
      <c r="AP47" s="188"/>
      <c r="AQ47" s="188"/>
      <c r="AR47" s="188"/>
      <c r="AS47" s="188"/>
    </row>
    <row r="48" spans="1:45" ht="14" x14ac:dyDescent="0.3">
      <c r="A48" s="9"/>
      <c r="B48" s="71" t="s">
        <v>478</v>
      </c>
      <c r="C48" s="41"/>
      <c r="D48" s="41"/>
      <c r="E48" s="22" t="s">
        <v>473</v>
      </c>
      <c r="F48" s="165" t="s">
        <v>493</v>
      </c>
      <c r="G48" s="88"/>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59"/>
      <c r="AN48" s="167"/>
      <c r="AO48" s="167"/>
      <c r="AP48" s="167"/>
      <c r="AQ48" s="167"/>
      <c r="AR48" s="167"/>
      <c r="AS48" s="167"/>
    </row>
    <row r="49" spans="1:45" ht="15.5" x14ac:dyDescent="0.4">
      <c r="A49" s="9"/>
      <c r="B49" s="44"/>
      <c r="C49" s="9"/>
      <c r="D49" s="9"/>
      <c r="E49" s="22" t="s">
        <v>201</v>
      </c>
      <c r="F49" s="166">
        <v>40</v>
      </c>
      <c r="G49" s="87" t="s">
        <v>90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49"/>
      <c r="AN49" s="167">
        <f>((((TJMAX-TAMB)/ThetaJA)/(CLMAX^2))*1000)*NUMFETS^2</f>
        <v>44.0771349862259</v>
      </c>
      <c r="AO49" s="167">
        <f>((TJMAX-TAMB)/ThetaJA)</f>
        <v>3</v>
      </c>
      <c r="AP49" s="167"/>
      <c r="AQ49" s="167"/>
      <c r="AR49" s="167"/>
      <c r="AS49" s="167"/>
    </row>
    <row r="50" spans="1:45" ht="13" x14ac:dyDescent="0.3">
      <c r="A50" s="9"/>
      <c r="B50" s="44"/>
      <c r="C50" s="9"/>
      <c r="D50" s="9"/>
      <c r="E50" s="22" t="s">
        <v>466</v>
      </c>
      <c r="F50" s="98">
        <v>2</v>
      </c>
      <c r="G50" s="87" t="s">
        <v>88</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49"/>
      <c r="AN50" s="169" t="s">
        <v>202</v>
      </c>
      <c r="AO50" s="167"/>
      <c r="AP50" s="167"/>
      <c r="AQ50" s="167"/>
      <c r="AR50" s="167"/>
      <c r="AS50" s="167"/>
    </row>
    <row r="51" spans="1:45" ht="15.5" x14ac:dyDescent="0.4">
      <c r="A51" s="9"/>
      <c r="B51" s="44"/>
      <c r="C51" s="9"/>
      <c r="D51" s="9"/>
      <c r="E51" s="22" t="s">
        <v>204</v>
      </c>
      <c r="F51" s="98">
        <v>1.9</v>
      </c>
      <c r="G51" s="87" t="s">
        <v>67</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49"/>
      <c r="AN51" s="168">
        <f>F51</f>
        <v>1.9</v>
      </c>
      <c r="AO51" s="167"/>
      <c r="AP51" s="167"/>
      <c r="AQ51" s="167"/>
      <c r="AR51" s="167"/>
      <c r="AS51" s="167"/>
    </row>
    <row r="52" spans="1:45" ht="14.5" x14ac:dyDescent="0.25">
      <c r="A52" s="9"/>
      <c r="B52" s="44"/>
      <c r="C52" s="9"/>
      <c r="D52" s="9"/>
      <c r="E52" s="22" t="s">
        <v>91</v>
      </c>
      <c r="F52" s="98">
        <v>175</v>
      </c>
      <c r="G52" s="87" t="s">
        <v>149</v>
      </c>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49"/>
      <c r="AN52" s="168">
        <f t="shared" ref="AN52:AN57" si="0">F52</f>
        <v>175</v>
      </c>
      <c r="AO52" s="167"/>
      <c r="AP52" s="167"/>
      <c r="AQ52" s="167"/>
      <c r="AR52" s="167"/>
      <c r="AS52" s="167"/>
    </row>
    <row r="53" spans="1:45" ht="15.5" x14ac:dyDescent="0.4">
      <c r="A53" s="9"/>
      <c r="B53" s="134"/>
      <c r="C53" s="9"/>
      <c r="D53" s="9"/>
      <c r="E53" s="22" t="s">
        <v>299</v>
      </c>
      <c r="F53" s="99">
        <v>100</v>
      </c>
      <c r="G53" s="87" t="s">
        <v>27</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49"/>
      <c r="AN53" s="168">
        <f t="shared" si="0"/>
        <v>100</v>
      </c>
      <c r="AO53" s="167"/>
      <c r="AP53" s="167"/>
      <c r="AQ53" s="167"/>
      <c r="AR53" s="167"/>
      <c r="AS53" s="167"/>
    </row>
    <row r="54" spans="1:45" ht="15.5" x14ac:dyDescent="0.4">
      <c r="A54" s="9"/>
      <c r="B54" s="134"/>
      <c r="C54" s="9"/>
      <c r="D54" s="9"/>
      <c r="E54" s="22" t="s">
        <v>300</v>
      </c>
      <c r="F54" s="99">
        <v>8</v>
      </c>
      <c r="G54" s="87" t="s">
        <v>27</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49"/>
      <c r="AN54" s="168">
        <f t="shared" si="0"/>
        <v>8</v>
      </c>
      <c r="AO54" s="167"/>
      <c r="AP54" s="167"/>
      <c r="AQ54" s="167"/>
      <c r="AR54" s="167"/>
      <c r="AS54" s="167"/>
    </row>
    <row r="55" spans="1:45" ht="15.5" x14ac:dyDescent="0.4">
      <c r="A55" s="9"/>
      <c r="C55" s="9"/>
      <c r="D55" s="9"/>
      <c r="E55" s="22" t="s">
        <v>301</v>
      </c>
      <c r="F55" s="99">
        <v>2</v>
      </c>
      <c r="G55" s="87" t="s">
        <v>27</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49"/>
      <c r="AN55" s="168">
        <f t="shared" si="0"/>
        <v>2</v>
      </c>
      <c r="AO55" s="167"/>
      <c r="AP55" s="167"/>
      <c r="AQ55" s="167"/>
      <c r="AR55" s="295"/>
      <c r="AS55" s="167"/>
    </row>
    <row r="56" spans="1:45" ht="15.5" x14ac:dyDescent="0.4">
      <c r="A56" s="9"/>
      <c r="B56" s="134"/>
      <c r="C56" s="9"/>
      <c r="D56" s="9"/>
      <c r="E56" s="22" t="s">
        <v>302</v>
      </c>
      <c r="F56" s="99">
        <v>2</v>
      </c>
      <c r="G56" s="87" t="s">
        <v>27</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49"/>
      <c r="AN56" s="168">
        <f t="shared" si="0"/>
        <v>2</v>
      </c>
      <c r="AO56" s="167"/>
      <c r="AP56" s="167"/>
      <c r="AQ56" s="167"/>
      <c r="AR56" s="295"/>
      <c r="AS56" s="167"/>
    </row>
    <row r="57" spans="1:45" ht="15.5" x14ac:dyDescent="0.4">
      <c r="A57" s="9"/>
      <c r="B57" s="136" t="s">
        <v>478</v>
      </c>
      <c r="C57" s="9"/>
      <c r="D57" s="9"/>
      <c r="E57" s="22" t="s">
        <v>303</v>
      </c>
      <c r="F57" s="99">
        <v>2</v>
      </c>
      <c r="G57" s="87" t="s">
        <v>27</v>
      </c>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49"/>
      <c r="AN57" s="168">
        <f t="shared" si="0"/>
        <v>2</v>
      </c>
      <c r="AO57" s="167"/>
      <c r="AP57" s="167"/>
      <c r="AQ57" s="167"/>
      <c r="AR57" s="295"/>
      <c r="AS57" s="167"/>
    </row>
    <row r="58" spans="1:45" ht="15" customHeight="1" x14ac:dyDescent="0.25">
      <c r="A58" s="9"/>
      <c r="B58" s="296" t="s">
        <v>362</v>
      </c>
      <c r="C58" s="9"/>
      <c r="D58" s="9"/>
      <c r="E58" s="22" t="s">
        <v>255</v>
      </c>
      <c r="F58" s="176">
        <f>(F17/NUMFETS)^2*RDSON/1000</f>
        <v>1.1875</v>
      </c>
      <c r="G58" s="87" t="s">
        <v>69</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49"/>
      <c r="AN58" s="167"/>
      <c r="AO58" s="167"/>
      <c r="AP58" s="167"/>
      <c r="AQ58" s="167"/>
      <c r="AR58" s="295"/>
      <c r="AS58" s="167"/>
    </row>
    <row r="59" spans="1:45" ht="15" customHeight="1" x14ac:dyDescent="0.4">
      <c r="A59" s="9"/>
      <c r="B59" s="296"/>
      <c r="C59" s="9"/>
      <c r="D59" s="9"/>
      <c r="E59" s="22" t="s">
        <v>203</v>
      </c>
      <c r="F59" s="171">
        <f>TAMB+(FETPDISS*ThetaJA)</f>
        <v>102.5</v>
      </c>
      <c r="G59" s="87" t="s">
        <v>89</v>
      </c>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49"/>
      <c r="AN59" s="167"/>
      <c r="AO59" s="167"/>
      <c r="AP59" s="167"/>
      <c r="AQ59" s="167"/>
      <c r="AR59" s="295"/>
      <c r="AS59" s="167"/>
    </row>
    <row r="60" spans="1:45" ht="15" customHeight="1" x14ac:dyDescent="0.25">
      <c r="A60" s="9"/>
      <c r="B60" s="296"/>
      <c r="C60" s="9"/>
      <c r="D60" s="9"/>
      <c r="E60" s="22"/>
      <c r="F60" s="170"/>
      <c r="G60" s="87"/>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49"/>
      <c r="AN60" s="167"/>
      <c r="AO60" s="167"/>
      <c r="AP60" s="167"/>
      <c r="AQ60" s="167"/>
      <c r="AR60" s="295"/>
      <c r="AS60" s="167"/>
    </row>
    <row r="61" spans="1:45" ht="15" customHeight="1" x14ac:dyDescent="0.25">
      <c r="A61" s="9"/>
      <c r="B61" s="296"/>
      <c r="C61" s="9"/>
      <c r="D61" s="9"/>
      <c r="E61" s="21"/>
      <c r="F61" s="21"/>
      <c r="G61" s="15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49"/>
      <c r="AN61" s="167"/>
      <c r="AO61" s="167"/>
      <c r="AP61" s="167"/>
      <c r="AQ61" s="167"/>
      <c r="AR61" s="295"/>
      <c r="AS61" s="167"/>
    </row>
    <row r="62" spans="1:45" ht="15" customHeight="1" x14ac:dyDescent="0.25">
      <c r="A62" s="9"/>
      <c r="B62" s="296"/>
      <c r="C62" s="9"/>
      <c r="D62" s="9"/>
      <c r="E62" s="21"/>
      <c r="F62" s="21"/>
      <c r="G62" s="15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49"/>
      <c r="AN62" s="167"/>
      <c r="AO62" s="167"/>
      <c r="AP62" s="167"/>
      <c r="AQ62" s="167"/>
      <c r="AR62" s="295"/>
      <c r="AS62" s="167"/>
    </row>
    <row r="63" spans="1:45" ht="15" customHeight="1" x14ac:dyDescent="0.25">
      <c r="A63" s="9"/>
      <c r="B63" s="296"/>
      <c r="C63" s="9"/>
      <c r="D63" s="9"/>
      <c r="E63" s="21"/>
      <c r="F63" s="21"/>
      <c r="G63" s="15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49"/>
      <c r="AN63" s="167"/>
      <c r="AO63" s="167"/>
      <c r="AP63" s="167"/>
      <c r="AQ63" s="167"/>
      <c r="AR63" s="167"/>
      <c r="AS63" s="167"/>
    </row>
    <row r="64" spans="1:45" ht="15" customHeight="1" x14ac:dyDescent="0.25">
      <c r="A64" s="9"/>
      <c r="B64" s="296"/>
      <c r="C64" s="9"/>
      <c r="D64" s="9"/>
      <c r="E64" s="21"/>
      <c r="F64" s="21"/>
      <c r="G64" s="15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49"/>
      <c r="AN64" s="167"/>
      <c r="AO64" s="167"/>
      <c r="AP64" s="167"/>
      <c r="AQ64" s="167"/>
      <c r="AR64" s="167"/>
      <c r="AS64" s="167"/>
    </row>
    <row r="65" spans="1:45" ht="24" customHeight="1" thickBot="1" x14ac:dyDescent="0.3">
      <c r="A65" s="9"/>
      <c r="B65" s="296"/>
      <c r="C65" s="9"/>
      <c r="D65" s="9"/>
      <c r="E65" s="21"/>
      <c r="F65" s="21"/>
      <c r="G65" s="161"/>
      <c r="H65" s="9"/>
      <c r="I65" s="284" t="s">
        <v>377</v>
      </c>
      <c r="J65" s="285"/>
      <c r="K65" s="285"/>
      <c r="L65" s="285"/>
      <c r="M65" s="285"/>
      <c r="N65" s="9"/>
      <c r="O65" s="9"/>
      <c r="P65" s="9"/>
      <c r="Q65" s="9"/>
      <c r="R65" s="9"/>
      <c r="S65" s="9"/>
      <c r="T65" s="9"/>
      <c r="U65" s="9"/>
      <c r="V65" s="9"/>
      <c r="W65" s="9"/>
      <c r="X65" s="9"/>
      <c r="Y65" s="9"/>
      <c r="Z65" s="9"/>
      <c r="AA65" s="9"/>
      <c r="AB65" s="9"/>
      <c r="AC65" s="9"/>
      <c r="AD65" s="9"/>
      <c r="AE65" s="9"/>
      <c r="AF65" s="9"/>
      <c r="AG65" s="9"/>
      <c r="AH65" s="9"/>
      <c r="AI65" s="9"/>
      <c r="AJ65" s="9"/>
      <c r="AK65" s="9"/>
      <c r="AL65" s="9"/>
      <c r="AM65" s="49"/>
      <c r="AN65" s="167"/>
      <c r="AO65" s="167"/>
      <c r="AP65" s="167"/>
      <c r="AQ65" s="167"/>
      <c r="AR65" s="167"/>
      <c r="AS65" s="167"/>
    </row>
    <row r="66" spans="1:45" ht="14" x14ac:dyDescent="0.3">
      <c r="A66" s="9"/>
      <c r="B66" s="71" t="s">
        <v>479</v>
      </c>
      <c r="C66" s="71"/>
      <c r="D66" s="41"/>
      <c r="E66" s="42" t="s">
        <v>152</v>
      </c>
      <c r="F66" s="98">
        <v>6</v>
      </c>
      <c r="G66" s="90" t="s">
        <v>68</v>
      </c>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59"/>
      <c r="AN66" s="168"/>
      <c r="AO66" s="167"/>
      <c r="AP66" s="167"/>
      <c r="AQ66" s="167"/>
      <c r="AR66" s="167"/>
      <c r="AS66" s="167"/>
    </row>
    <row r="67" spans="1:45" x14ac:dyDescent="0.25">
      <c r="A67" s="9"/>
      <c r="B67" s="47"/>
      <c r="C67" s="9"/>
      <c r="D67" s="9"/>
      <c r="E67" s="30" t="s">
        <v>97</v>
      </c>
      <c r="F67" s="98" t="s">
        <v>100</v>
      </c>
      <c r="G67" s="266"/>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49"/>
      <c r="AN67" s="168"/>
      <c r="AO67" s="167"/>
      <c r="AP67" s="167"/>
      <c r="AQ67" s="167"/>
      <c r="AR67" s="167"/>
      <c r="AS67" s="167"/>
    </row>
    <row r="68" spans="1:45" x14ac:dyDescent="0.25">
      <c r="A68" s="9"/>
      <c r="B68" s="44"/>
      <c r="C68" s="9"/>
      <c r="D68" s="9"/>
      <c r="E68" s="30" t="s">
        <v>98</v>
      </c>
      <c r="F68" s="98">
        <v>3</v>
      </c>
      <c r="G68" s="266" t="str">
        <f>IF(F67="Constant Current","A","Ohms")</f>
        <v>Ohms</v>
      </c>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49"/>
      <c r="AN68" s="167" t="s">
        <v>99</v>
      </c>
      <c r="AO68" s="167"/>
      <c r="AP68" s="167"/>
      <c r="AQ68" s="167"/>
      <c r="AR68" s="167"/>
      <c r="AS68" s="167"/>
    </row>
    <row r="69" spans="1:45" x14ac:dyDescent="0.25">
      <c r="A69" s="9"/>
      <c r="B69" s="44"/>
      <c r="C69" s="9"/>
      <c r="D69" s="9"/>
      <c r="E69" s="30" t="s">
        <v>158</v>
      </c>
      <c r="F69" s="97" t="s">
        <v>159</v>
      </c>
      <c r="G69" s="266"/>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49"/>
      <c r="AN69" s="167" t="s">
        <v>100</v>
      </c>
      <c r="AO69" s="167"/>
      <c r="AP69" s="167"/>
      <c r="AQ69" s="167"/>
      <c r="AR69" s="167"/>
      <c r="AS69" s="167"/>
    </row>
    <row r="70" spans="1:45" ht="15" customHeight="1" x14ac:dyDescent="0.25">
      <c r="A70" s="9"/>
      <c r="B70" s="44"/>
      <c r="C70" s="9"/>
      <c r="D70" s="21"/>
      <c r="E70" s="30" t="s">
        <v>467</v>
      </c>
      <c r="F70" s="98">
        <v>0.5</v>
      </c>
      <c r="G70" s="91" t="s">
        <v>85</v>
      </c>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49"/>
      <c r="AN70" s="167"/>
      <c r="AO70" s="167"/>
      <c r="AP70" s="167"/>
      <c r="AQ70" s="167"/>
      <c r="AR70" s="167"/>
      <c r="AS70" s="167"/>
    </row>
    <row r="71" spans="1:45" ht="15" customHeight="1" x14ac:dyDescent="0.25">
      <c r="A71" s="9"/>
      <c r="B71" s="177"/>
      <c r="C71" s="178"/>
      <c r="D71" s="21"/>
      <c r="E71" s="30" t="s">
        <v>453</v>
      </c>
      <c r="F71" s="173">
        <f>Equations!F71</f>
        <v>154</v>
      </c>
      <c r="G71" s="91" t="s">
        <v>85</v>
      </c>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49"/>
      <c r="AN71" s="167"/>
      <c r="AO71" s="167"/>
      <c r="AP71" s="167"/>
      <c r="AQ71" s="167"/>
      <c r="AR71" s="167"/>
      <c r="AS71" s="167"/>
    </row>
    <row r="72" spans="1:45" ht="15" customHeight="1" x14ac:dyDescent="0.25">
      <c r="A72" s="9"/>
      <c r="B72" s="177"/>
      <c r="C72" s="178"/>
      <c r="D72" s="21"/>
      <c r="E72" s="30" t="s">
        <v>454</v>
      </c>
      <c r="F72" s="98">
        <v>22</v>
      </c>
      <c r="G72" s="91" t="s">
        <v>85</v>
      </c>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49"/>
      <c r="AN72" s="167"/>
      <c r="AO72" s="167"/>
      <c r="AP72" s="167"/>
      <c r="AQ72" s="167"/>
      <c r="AR72" s="167"/>
      <c r="AS72" s="167"/>
    </row>
    <row r="73" spans="1:45" ht="15" customHeight="1" x14ac:dyDescent="0.25">
      <c r="A73" s="9"/>
      <c r="B73" s="177"/>
      <c r="C73" s="178"/>
      <c r="D73" s="21"/>
      <c r="E73" s="30" t="s">
        <v>446</v>
      </c>
      <c r="F73" s="172">
        <f>Equations!F73</f>
        <v>2.5</v>
      </c>
      <c r="G73" s="91" t="s">
        <v>258</v>
      </c>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49"/>
      <c r="AN73" s="167"/>
      <c r="AO73" s="167"/>
      <c r="AP73" s="167"/>
      <c r="AQ73" s="167"/>
      <c r="AR73" s="167"/>
      <c r="AS73" s="167"/>
    </row>
    <row r="74" spans="1:45" ht="15" customHeight="1" x14ac:dyDescent="0.25">
      <c r="A74" s="9"/>
      <c r="C74" s="178"/>
      <c r="D74" s="21"/>
      <c r="E74" s="30" t="s">
        <v>458</v>
      </c>
      <c r="F74" s="174">
        <f>I_Cout_ss</f>
        <v>7</v>
      </c>
      <c r="G74" s="91" t="s">
        <v>27</v>
      </c>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49"/>
      <c r="AN74" s="167"/>
      <c r="AO74" s="167"/>
      <c r="AP74" s="167"/>
      <c r="AQ74" s="167"/>
      <c r="AR74" s="167"/>
      <c r="AS74" s="167"/>
    </row>
    <row r="75" spans="1:45" ht="14.4" customHeight="1" x14ac:dyDescent="0.25">
      <c r="A75" s="9"/>
      <c r="B75" s="179" t="s">
        <v>485</v>
      </c>
      <c r="C75" s="178"/>
      <c r="D75" s="21"/>
      <c r="E75" s="30" t="s">
        <v>287</v>
      </c>
      <c r="F75" s="172">
        <f>Equations!F80</f>
        <v>0.18282623394194003</v>
      </c>
      <c r="G75" s="91"/>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49"/>
      <c r="AN75" s="167"/>
      <c r="AO75" s="167"/>
      <c r="AP75" s="167"/>
      <c r="AQ75" s="167"/>
      <c r="AR75" s="167"/>
      <c r="AS75" s="167"/>
    </row>
    <row r="76" spans="1:45" ht="12.65" customHeight="1" x14ac:dyDescent="0.25">
      <c r="A76" s="9"/>
      <c r="B76" s="44"/>
      <c r="C76" s="9"/>
      <c r="D76" s="21"/>
      <c r="E76" s="30" t="s">
        <v>487</v>
      </c>
      <c r="F76" s="255">
        <f>VINMAX/F73</f>
        <v>22</v>
      </c>
      <c r="G76" s="256" t="s">
        <v>8</v>
      </c>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49"/>
      <c r="AN76" s="167"/>
      <c r="AO76" s="167"/>
      <c r="AP76" s="167"/>
      <c r="AQ76" s="167"/>
      <c r="AR76" s="167"/>
      <c r="AS76" s="167"/>
    </row>
    <row r="77" spans="1:45" ht="17" customHeight="1" x14ac:dyDescent="0.25">
      <c r="A77" s="9"/>
      <c r="B77" s="44"/>
      <c r="C77" s="9"/>
      <c r="D77" s="21"/>
      <c r="E77" s="21"/>
      <c r="F77" s="21"/>
      <c r="G77" s="15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49"/>
      <c r="AN77" s="167"/>
      <c r="AO77" s="167"/>
      <c r="AP77" s="167"/>
      <c r="AQ77" s="167"/>
      <c r="AR77" s="167"/>
      <c r="AS77" s="167"/>
    </row>
    <row r="78" spans="1:45" ht="17" customHeight="1" x14ac:dyDescent="0.25">
      <c r="A78" s="9"/>
      <c r="B78" s="44"/>
      <c r="C78" s="9"/>
      <c r="D78" s="21"/>
      <c r="E78" s="21"/>
      <c r="F78" s="21"/>
      <c r="G78" s="15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49"/>
      <c r="AN78" s="167"/>
      <c r="AO78" s="167"/>
      <c r="AP78" s="167"/>
      <c r="AQ78" s="167"/>
      <c r="AR78" s="167"/>
      <c r="AS78" s="167"/>
    </row>
    <row r="79" spans="1:45" ht="15" customHeight="1" thickBot="1" x14ac:dyDescent="0.3">
      <c r="A79" s="9"/>
      <c r="B79" s="242"/>
      <c r="C79" s="243"/>
      <c r="D79" s="244"/>
      <c r="E79" s="244"/>
      <c r="F79" s="244"/>
      <c r="G79" s="161"/>
      <c r="H79" s="60"/>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49"/>
      <c r="AN79" s="167"/>
      <c r="AO79" s="167"/>
      <c r="AP79" s="167"/>
      <c r="AQ79" s="167"/>
      <c r="AR79" s="167"/>
      <c r="AS79" s="167"/>
    </row>
    <row r="80" spans="1:45" ht="15" hidden="1" customHeight="1" x14ac:dyDescent="0.3">
      <c r="A80" s="9"/>
      <c r="B80" s="137" t="s">
        <v>169</v>
      </c>
      <c r="C80" s="138"/>
      <c r="D80" s="9"/>
      <c r="E80" s="29" t="s">
        <v>23</v>
      </c>
      <c r="F80" s="241" t="s">
        <v>22</v>
      </c>
      <c r="G80" s="90"/>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59"/>
      <c r="AN80" s="168" t="s">
        <v>21</v>
      </c>
      <c r="AO80" s="167"/>
      <c r="AP80" s="167"/>
      <c r="AQ80" s="167"/>
      <c r="AR80" s="167"/>
      <c r="AS80" s="167"/>
    </row>
    <row r="81" spans="1:45" ht="15" hidden="1" customHeight="1" x14ac:dyDescent="0.25">
      <c r="A81" s="9"/>
      <c r="B81" s="44"/>
      <c r="C81" s="9"/>
      <c r="D81" s="9"/>
      <c r="E81" s="30" t="s">
        <v>392</v>
      </c>
      <c r="F81" s="98">
        <v>5</v>
      </c>
      <c r="G81" s="91" t="s">
        <v>68</v>
      </c>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49"/>
      <c r="AN81" s="168" t="s">
        <v>22</v>
      </c>
      <c r="AO81" s="167"/>
      <c r="AP81" s="167"/>
      <c r="AQ81" s="167"/>
      <c r="AR81" s="167"/>
      <c r="AS81" s="167"/>
    </row>
    <row r="82" spans="1:45" ht="15" hidden="1" customHeight="1" x14ac:dyDescent="0.25">
      <c r="A82" s="9"/>
      <c r="B82" s="44"/>
      <c r="C82" s="9"/>
      <c r="D82" s="9"/>
      <c r="E82" s="30"/>
      <c r="G82" s="91"/>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49"/>
      <c r="AN82" s="167"/>
      <c r="AO82" s="167"/>
      <c r="AP82" s="167"/>
      <c r="AQ82" s="167"/>
      <c r="AR82" s="167"/>
      <c r="AS82" s="167"/>
    </row>
    <row r="83" spans="1:45" ht="15" hidden="1" customHeight="1" x14ac:dyDescent="0.25">
      <c r="A83" s="9"/>
      <c r="B83" s="44"/>
      <c r="C83" s="9"/>
      <c r="D83" s="9"/>
      <c r="E83" s="30" t="s">
        <v>393</v>
      </c>
      <c r="F83" s="98">
        <v>37</v>
      </c>
      <c r="G83" s="91" t="s">
        <v>68</v>
      </c>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49"/>
      <c r="AN83" s="167"/>
      <c r="AO83" s="167"/>
      <c r="AP83" s="167"/>
      <c r="AQ83" s="167"/>
      <c r="AR83" s="167"/>
      <c r="AS83" s="167"/>
    </row>
    <row r="84" spans="1:45" ht="15" hidden="1" customHeight="1" x14ac:dyDescent="0.25">
      <c r="A84" s="9"/>
      <c r="B84" s="44"/>
      <c r="C84" s="9"/>
      <c r="D84" s="9"/>
      <c r="E84" s="157"/>
      <c r="G84" s="91"/>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49"/>
      <c r="AN84" s="167"/>
      <c r="AO84" s="167"/>
      <c r="AP84" s="167"/>
      <c r="AQ84" s="167"/>
      <c r="AR84" s="167"/>
      <c r="AS84" s="167"/>
    </row>
    <row r="85" spans="1:45" ht="15" hidden="1" customHeight="1" x14ac:dyDescent="0.25">
      <c r="A85" s="9"/>
      <c r="B85" s="44"/>
      <c r="C85" s="9"/>
      <c r="D85" s="9"/>
      <c r="E85" s="163" t="s">
        <v>200</v>
      </c>
      <c r="F85" s="175">
        <f>IF(F80="Option A",Equations!F137,Equations!G137)</f>
        <v>100</v>
      </c>
      <c r="G85" s="92" t="s">
        <v>66</v>
      </c>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49"/>
      <c r="AN85" s="167"/>
      <c r="AO85" s="167"/>
      <c r="AP85" s="167"/>
      <c r="AQ85" s="167"/>
      <c r="AR85" s="167"/>
      <c r="AS85" s="167"/>
    </row>
    <row r="86" spans="1:45" ht="15" hidden="1" customHeight="1" x14ac:dyDescent="0.25">
      <c r="A86" s="9"/>
      <c r="B86" s="44"/>
      <c r="C86" s="9"/>
      <c r="D86" s="9"/>
      <c r="E86" s="164" t="s">
        <v>24</v>
      </c>
      <c r="F86" s="175">
        <f>IF(F80="Option A",Equations!F138,Equations!G138)</f>
        <v>12.359550561797754</v>
      </c>
      <c r="G86" s="92" t="s">
        <v>66</v>
      </c>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49"/>
      <c r="AN86" s="167"/>
      <c r="AO86" s="167"/>
      <c r="AP86" s="167"/>
      <c r="AQ86" s="167"/>
      <c r="AR86" s="167"/>
      <c r="AS86" s="167"/>
    </row>
    <row r="87" spans="1:45" ht="15" hidden="1" customHeight="1" x14ac:dyDescent="0.25">
      <c r="A87" s="9"/>
      <c r="B87" s="135"/>
      <c r="C87" s="9"/>
      <c r="D87" s="9"/>
      <c r="E87" s="164" t="s">
        <v>25</v>
      </c>
      <c r="F87" s="175">
        <f>IF(F80="Option A",Equations!F139,Equations!G139)</f>
        <v>100</v>
      </c>
      <c r="G87" s="92" t="s">
        <v>66</v>
      </c>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49"/>
      <c r="AN87" s="167"/>
      <c r="AO87" s="167"/>
      <c r="AP87" s="167"/>
      <c r="AQ87" s="167"/>
      <c r="AR87" s="167"/>
      <c r="AS87" s="167"/>
    </row>
    <row r="88" spans="1:45" ht="15" hidden="1" customHeight="1" x14ac:dyDescent="0.3">
      <c r="A88" s="9"/>
      <c r="B88" s="44"/>
      <c r="C88" s="9"/>
      <c r="D88" s="9"/>
      <c r="E88" s="54" t="s">
        <v>26</v>
      </c>
      <c r="F88" s="175">
        <f>IF(F80="Option A",Equations!F140,Equations!G140)</f>
        <v>1.6483516483516485</v>
      </c>
      <c r="G88" s="91" t="s">
        <v>66</v>
      </c>
      <c r="H88" s="9"/>
      <c r="I88" s="9"/>
      <c r="J88" s="52"/>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49"/>
      <c r="AN88" s="167"/>
      <c r="AO88" s="167"/>
      <c r="AP88" s="167"/>
      <c r="AQ88" s="167"/>
      <c r="AR88" s="167"/>
      <c r="AS88" s="167"/>
    </row>
    <row r="89" spans="1:45" ht="15" hidden="1" customHeight="1" x14ac:dyDescent="0.3">
      <c r="A89" s="9"/>
      <c r="B89" s="44"/>
      <c r="C89" s="9"/>
      <c r="D89" s="9"/>
      <c r="E89" s="30" t="s">
        <v>76</v>
      </c>
      <c r="F89" s="98">
        <v>100</v>
      </c>
      <c r="G89" s="92" t="s">
        <v>66</v>
      </c>
      <c r="H89" s="9"/>
      <c r="I89" s="9"/>
      <c r="J89" s="52"/>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49"/>
      <c r="AN89" s="167"/>
      <c r="AO89" s="167"/>
      <c r="AP89" s="167"/>
      <c r="AQ89" s="167"/>
      <c r="AR89" s="167"/>
      <c r="AS89" s="167"/>
    </row>
    <row r="90" spans="1:45" ht="15" hidden="1" customHeight="1" x14ac:dyDescent="0.3">
      <c r="A90" s="9"/>
      <c r="B90" s="44"/>
      <c r="C90" s="9"/>
      <c r="D90" s="9"/>
      <c r="E90" s="30" t="s">
        <v>77</v>
      </c>
      <c r="F90" s="98">
        <v>11.5</v>
      </c>
      <c r="G90" s="92" t="s">
        <v>66</v>
      </c>
      <c r="H90" s="9"/>
      <c r="I90" s="9"/>
      <c r="J90" s="52"/>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49"/>
      <c r="AN90" s="167"/>
      <c r="AO90" s="167"/>
      <c r="AP90" s="167"/>
      <c r="AQ90" s="167"/>
      <c r="AR90" s="167"/>
      <c r="AS90" s="167"/>
    </row>
    <row r="91" spans="1:45" ht="15" hidden="1" customHeight="1" x14ac:dyDescent="0.3">
      <c r="A91" s="9"/>
      <c r="B91" s="44"/>
      <c r="C91" s="9"/>
      <c r="D91" s="9"/>
      <c r="E91" s="30" t="s">
        <v>78</v>
      </c>
      <c r="F91" s="98">
        <v>100</v>
      </c>
      <c r="G91" s="92" t="s">
        <v>66</v>
      </c>
      <c r="H91" s="9"/>
      <c r="I91" s="9"/>
      <c r="J91" s="52"/>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49"/>
      <c r="AN91" s="167"/>
      <c r="AO91" s="167"/>
      <c r="AP91" s="167"/>
      <c r="AQ91" s="167"/>
      <c r="AR91" s="167"/>
      <c r="AS91" s="167"/>
    </row>
    <row r="92" spans="1:45" ht="15" hidden="1" customHeight="1" x14ac:dyDescent="0.25">
      <c r="A92" s="9"/>
      <c r="B92" s="44"/>
      <c r="C92" s="9"/>
      <c r="D92" s="9"/>
      <c r="E92" s="30" t="s">
        <v>79</v>
      </c>
      <c r="F92" s="70">
        <v>1.65</v>
      </c>
      <c r="G92" s="92" t="s">
        <v>66</v>
      </c>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49"/>
      <c r="AN92" s="167"/>
      <c r="AO92" s="167"/>
      <c r="AP92" s="167"/>
      <c r="AQ92" s="167"/>
      <c r="AR92" s="167"/>
      <c r="AS92" s="167"/>
    </row>
    <row r="93" spans="1:45" ht="15" hidden="1" customHeight="1" x14ac:dyDescent="0.25">
      <c r="A93" s="9"/>
      <c r="B93" s="44"/>
      <c r="C93" s="9"/>
      <c r="D93" s="9"/>
      <c r="E93" s="9"/>
      <c r="F93" s="9"/>
      <c r="G93" s="93"/>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49"/>
      <c r="AN93" s="167"/>
      <c r="AO93" s="167"/>
      <c r="AP93" s="167"/>
      <c r="AQ93" s="167"/>
      <c r="AR93" s="167"/>
      <c r="AS93" s="167"/>
    </row>
    <row r="94" spans="1:45" ht="15" hidden="1" customHeight="1" x14ac:dyDescent="0.3">
      <c r="A94" s="9"/>
      <c r="B94" s="44"/>
      <c r="C94" s="21"/>
      <c r="D94" s="51"/>
      <c r="E94" s="50" t="s">
        <v>35</v>
      </c>
      <c r="F94" s="51"/>
      <c r="G94" s="93"/>
      <c r="H94" s="21"/>
      <c r="I94" s="21"/>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49"/>
      <c r="AN94" s="167"/>
      <c r="AO94" s="167"/>
      <c r="AP94" s="167"/>
      <c r="AQ94" s="167"/>
      <c r="AR94" s="167"/>
      <c r="AS94" s="167"/>
    </row>
    <row r="95" spans="1:45" ht="15" hidden="1" customHeight="1" x14ac:dyDescent="0.25">
      <c r="A95" s="9"/>
      <c r="B95" s="44"/>
      <c r="C95" s="21"/>
      <c r="D95" s="139"/>
      <c r="E95" s="131" t="s">
        <v>460</v>
      </c>
      <c r="F95" s="172">
        <f>IF(F80="Option A",Equations!F142,Equations!H142)</f>
        <v>5.3326086956521745</v>
      </c>
      <c r="G95" s="91" t="s">
        <v>68</v>
      </c>
      <c r="H95" s="21"/>
      <c r="I95" s="21"/>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49"/>
      <c r="AN95" s="167"/>
      <c r="AO95" s="167"/>
      <c r="AP95" s="167"/>
      <c r="AQ95" s="167"/>
      <c r="AR95" s="167"/>
      <c r="AS95" s="167"/>
    </row>
    <row r="96" spans="1:45" ht="15" hidden="1" customHeight="1" x14ac:dyDescent="0.25">
      <c r="A96" s="9"/>
      <c r="B96" s="44"/>
      <c r="C96" s="21"/>
      <c r="D96" s="278" t="s">
        <v>459</v>
      </c>
      <c r="E96" s="279"/>
      <c r="F96" s="172">
        <f>IF(F80="Option A",Equations!G142,Equations!I142)</f>
        <v>5.8173913043478249</v>
      </c>
      <c r="G96" s="91" t="s">
        <v>68</v>
      </c>
      <c r="H96" s="21"/>
      <c r="I96" s="21"/>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49"/>
      <c r="AN96" s="167"/>
      <c r="AO96" s="167"/>
      <c r="AP96" s="167"/>
      <c r="AQ96" s="167"/>
      <c r="AR96" s="167"/>
      <c r="AS96" s="167"/>
    </row>
    <row r="97" spans="1:45" ht="15" hidden="1" customHeight="1" x14ac:dyDescent="0.25">
      <c r="A97" s="9"/>
      <c r="B97" s="44"/>
      <c r="C97" s="21"/>
      <c r="D97" s="278" t="s">
        <v>462</v>
      </c>
      <c r="E97" s="279"/>
      <c r="F97" s="172">
        <f>IF(F80="Option A",Equations!G143,Equations!I143)</f>
        <v>33.88333333333334</v>
      </c>
      <c r="G97" s="91" t="s">
        <v>68</v>
      </c>
      <c r="H97" s="21"/>
      <c r="I97" s="21"/>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49"/>
      <c r="AN97" s="167"/>
      <c r="AO97" s="167"/>
      <c r="AP97" s="167"/>
      <c r="AQ97" s="167"/>
      <c r="AR97" s="167"/>
      <c r="AS97" s="167"/>
    </row>
    <row r="98" spans="1:45" ht="15" hidden="1" customHeight="1" x14ac:dyDescent="0.25">
      <c r="A98" s="9"/>
      <c r="B98" s="44"/>
      <c r="C98" s="22"/>
      <c r="D98" s="139"/>
      <c r="E98" s="131" t="s">
        <v>461</v>
      </c>
      <c r="F98" s="172">
        <f>IF(F80="Option A",Equations!F143,Equations!H143)</f>
        <v>36.963636363636368</v>
      </c>
      <c r="G98" s="91" t="s">
        <v>68</v>
      </c>
      <c r="H98" s="21"/>
      <c r="I98" s="21"/>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49"/>
      <c r="AN98" s="167"/>
      <c r="AO98" s="167"/>
      <c r="AP98" s="167"/>
      <c r="AQ98" s="167"/>
      <c r="AR98" s="167"/>
      <c r="AS98" s="167"/>
    </row>
    <row r="99" spans="1:45" ht="15" hidden="1" customHeight="1" x14ac:dyDescent="0.25">
      <c r="A99" s="9"/>
      <c r="B99" s="44"/>
      <c r="D99" s="162"/>
      <c r="E99" s="162"/>
      <c r="F99" s="21"/>
      <c r="G99" s="91"/>
      <c r="H99" s="21"/>
      <c r="I99" s="21"/>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49"/>
      <c r="AN99" s="167"/>
      <c r="AO99" s="167"/>
      <c r="AP99" s="167"/>
      <c r="AQ99" s="167"/>
      <c r="AR99" s="167"/>
      <c r="AS99" s="167"/>
    </row>
    <row r="100" spans="1:45" ht="15" hidden="1" customHeight="1" x14ac:dyDescent="0.3">
      <c r="A100" s="9"/>
      <c r="B100" s="44"/>
      <c r="C100" s="52" t="s">
        <v>447</v>
      </c>
      <c r="D100" s="2"/>
      <c r="E100" s="2"/>
      <c r="G100" s="91"/>
      <c r="H100" s="21"/>
      <c r="I100" s="21"/>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49"/>
      <c r="AN100" s="167"/>
      <c r="AO100" s="167"/>
      <c r="AP100" s="167"/>
      <c r="AQ100" s="167"/>
      <c r="AR100" s="167"/>
      <c r="AS100" s="167"/>
    </row>
    <row r="101" spans="1:45" ht="15" hidden="1" customHeight="1" x14ac:dyDescent="0.25">
      <c r="A101" s="9"/>
      <c r="B101" s="44"/>
      <c r="D101" s="21"/>
      <c r="E101" s="21"/>
      <c r="F101" s="21"/>
      <c r="G101" s="158"/>
      <c r="H101" s="21"/>
      <c r="I101" s="21"/>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49"/>
      <c r="AN101" s="167"/>
      <c r="AO101" s="167"/>
      <c r="AP101" s="167"/>
      <c r="AQ101" s="167"/>
      <c r="AR101" s="167"/>
      <c r="AS101" s="167"/>
    </row>
    <row r="102" spans="1:45" ht="15" hidden="1" customHeight="1" x14ac:dyDescent="0.3">
      <c r="A102" s="9"/>
      <c r="B102" s="43"/>
      <c r="C102" s="9"/>
      <c r="D102" s="21"/>
      <c r="E102" s="21"/>
      <c r="F102" s="21"/>
      <c r="G102" s="159"/>
      <c r="H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49"/>
      <c r="AN102" s="167"/>
      <c r="AO102" s="167"/>
      <c r="AP102" s="167"/>
      <c r="AQ102" s="167"/>
      <c r="AR102" s="167"/>
      <c r="AS102" s="167"/>
    </row>
    <row r="103" spans="1:45" ht="15" hidden="1" customHeight="1" x14ac:dyDescent="0.25">
      <c r="A103" s="9"/>
      <c r="B103" s="44"/>
      <c r="C103" s="9"/>
      <c r="D103" s="21"/>
      <c r="E103" s="21"/>
      <c r="F103" s="21"/>
      <c r="G103" s="15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49"/>
      <c r="AN103" s="167"/>
      <c r="AO103" s="167"/>
      <c r="AP103" s="167"/>
      <c r="AQ103" s="167"/>
      <c r="AR103" s="167"/>
      <c r="AS103" s="167"/>
    </row>
    <row r="104" spans="1:45" ht="15" hidden="1" customHeight="1" thickBot="1" x14ac:dyDescent="0.3">
      <c r="A104" s="9"/>
      <c r="B104" s="44"/>
      <c r="C104" s="45"/>
      <c r="D104" s="160"/>
      <c r="E104" s="21"/>
      <c r="F104" s="21"/>
      <c r="G104" s="161"/>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53"/>
      <c r="AN104" s="167"/>
      <c r="AO104" s="167"/>
      <c r="AP104" s="167"/>
      <c r="AQ104" s="167"/>
      <c r="AR104" s="167"/>
      <c r="AS104" s="167"/>
    </row>
    <row r="105" spans="1:45" s="56" customFormat="1" ht="16.25" hidden="1" customHeight="1" x14ac:dyDescent="0.3">
      <c r="B105" s="205" t="s">
        <v>170</v>
      </c>
      <c r="C105" s="206"/>
      <c r="D105" s="206"/>
      <c r="E105" s="207" t="s">
        <v>404</v>
      </c>
      <c r="F105" s="208">
        <f>Rs</f>
        <v>1</v>
      </c>
      <c r="G105" s="209" t="s">
        <v>67</v>
      </c>
      <c r="H105" s="206"/>
      <c r="I105" s="206"/>
      <c r="J105" s="206"/>
      <c r="K105" s="206"/>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10"/>
      <c r="AN105" s="188"/>
      <c r="AO105" s="188"/>
      <c r="AP105" s="188"/>
      <c r="AQ105" s="188"/>
      <c r="AR105" s="188"/>
      <c r="AS105" s="188"/>
    </row>
    <row r="106" spans="1:45" s="56" customFormat="1" ht="15" hidden="1" customHeight="1" x14ac:dyDescent="0.3">
      <c r="B106" s="211"/>
      <c r="E106" s="212" t="s">
        <v>405</v>
      </c>
      <c r="F106" s="213">
        <f>F30</f>
        <v>50</v>
      </c>
      <c r="G106" s="214" t="s">
        <v>69</v>
      </c>
      <c r="AM106" s="183"/>
      <c r="AN106" s="188"/>
      <c r="AO106" s="188"/>
      <c r="AP106" s="188"/>
      <c r="AQ106" s="188"/>
      <c r="AR106" s="188"/>
      <c r="AS106" s="188"/>
    </row>
    <row r="107" spans="1:45" s="56" customFormat="1" ht="14.25" hidden="1" customHeight="1" x14ac:dyDescent="0.3">
      <c r="B107" s="211"/>
      <c r="E107" s="212" t="s">
        <v>406</v>
      </c>
      <c r="F107" s="215">
        <f>F41</f>
        <v>1</v>
      </c>
      <c r="G107" s="216" t="s">
        <v>66</v>
      </c>
      <c r="AM107" s="183"/>
      <c r="AN107" s="188"/>
      <c r="AO107" s="188"/>
      <c r="AP107" s="188"/>
      <c r="AQ107" s="188"/>
      <c r="AR107" s="188"/>
      <c r="AS107" s="188"/>
    </row>
    <row r="108" spans="1:45" s="56" customFormat="1" ht="15" hidden="1" customHeight="1" x14ac:dyDescent="0.3">
      <c r="B108" s="180"/>
      <c r="E108" s="217" t="s">
        <v>19</v>
      </c>
      <c r="F108" s="199">
        <f>F43</f>
        <v>68</v>
      </c>
      <c r="G108" s="216" t="s">
        <v>85</v>
      </c>
      <c r="M108" s="218"/>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183"/>
      <c r="AN108" s="188"/>
      <c r="AO108" s="188"/>
      <c r="AP108" s="188"/>
      <c r="AQ108" s="188"/>
      <c r="AR108" s="188"/>
      <c r="AS108" s="188"/>
    </row>
    <row r="109" spans="1:45" s="56" customFormat="1" ht="15" hidden="1" customHeight="1" x14ac:dyDescent="0.25">
      <c r="B109" s="180"/>
      <c r="E109" s="217" t="s">
        <v>13</v>
      </c>
      <c r="F109" s="213">
        <f>F89</f>
        <v>100</v>
      </c>
      <c r="G109" s="220" t="s">
        <v>66</v>
      </c>
      <c r="M109" s="221"/>
      <c r="AM109" s="183"/>
      <c r="AN109" s="188"/>
      <c r="AO109" s="188"/>
      <c r="AP109" s="188"/>
      <c r="AQ109" s="188"/>
      <c r="AR109" s="188"/>
      <c r="AS109" s="188"/>
    </row>
    <row r="110" spans="1:45" s="56" customFormat="1" ht="15" hidden="1" customHeight="1" x14ac:dyDescent="0.25">
      <c r="B110" s="180"/>
      <c r="E110" s="217" t="s">
        <v>14</v>
      </c>
      <c r="F110" s="213">
        <f>F90</f>
        <v>11.5</v>
      </c>
      <c r="G110" s="220" t="s">
        <v>66</v>
      </c>
      <c r="M110" s="222"/>
      <c r="AM110" s="183"/>
      <c r="AN110" s="188"/>
      <c r="AO110" s="188"/>
      <c r="AP110" s="188"/>
      <c r="AQ110" s="188"/>
      <c r="AR110" s="188"/>
      <c r="AS110" s="188"/>
    </row>
    <row r="111" spans="1:45" s="56" customFormat="1" ht="15" hidden="1" customHeight="1" x14ac:dyDescent="0.25">
      <c r="B111" s="180"/>
      <c r="E111" s="217" t="s">
        <v>15</v>
      </c>
      <c r="F111" s="213">
        <f>F91</f>
        <v>100</v>
      </c>
      <c r="G111" s="220" t="s">
        <v>66</v>
      </c>
      <c r="M111" s="221"/>
      <c r="AM111" s="183"/>
      <c r="AN111" s="188"/>
      <c r="AO111" s="188"/>
      <c r="AP111" s="188"/>
      <c r="AQ111" s="188"/>
      <c r="AR111" s="188"/>
      <c r="AS111" s="188"/>
    </row>
    <row r="112" spans="1:45" s="56" customFormat="1" ht="15" hidden="1" customHeight="1" x14ac:dyDescent="0.25">
      <c r="B112" s="180"/>
      <c r="E112" s="217" t="s">
        <v>16</v>
      </c>
      <c r="F112" s="223">
        <f>IF(F80="Option A","N/A",F92)</f>
        <v>1.65</v>
      </c>
      <c r="G112" s="220" t="s">
        <v>66</v>
      </c>
      <c r="M112" s="224"/>
      <c r="AM112" s="183"/>
      <c r="AN112" s="188"/>
      <c r="AO112" s="188"/>
      <c r="AP112" s="188"/>
      <c r="AQ112" s="188"/>
      <c r="AR112" s="188"/>
      <c r="AS112" s="188"/>
    </row>
    <row r="113" spans="2:45" s="56" customFormat="1" ht="15" hidden="1" customHeight="1" x14ac:dyDescent="0.25">
      <c r="B113" s="180"/>
      <c r="E113" s="57" t="s">
        <v>407</v>
      </c>
      <c r="F113" s="225">
        <f>F32</f>
        <v>40</v>
      </c>
      <c r="G113" s="220" t="s">
        <v>66</v>
      </c>
      <c r="M113" s="221"/>
      <c r="AM113" s="183"/>
      <c r="AN113" s="188"/>
      <c r="AO113" s="188"/>
      <c r="AP113" s="188"/>
      <c r="AQ113" s="188"/>
      <c r="AR113" s="188"/>
      <c r="AS113" s="188"/>
    </row>
    <row r="114" spans="2:45" s="56" customFormat="1" ht="15" hidden="1" customHeight="1" x14ac:dyDescent="0.25">
      <c r="B114" s="180"/>
      <c r="E114" s="57" t="s">
        <v>408</v>
      </c>
      <c r="F114" s="226">
        <f>F38</f>
        <v>10</v>
      </c>
      <c r="G114" s="220" t="s">
        <v>66</v>
      </c>
      <c r="M114" s="227"/>
      <c r="AM114" s="183"/>
      <c r="AN114" s="188"/>
      <c r="AO114" s="188"/>
      <c r="AP114" s="188"/>
      <c r="AQ114" s="188"/>
      <c r="AR114" s="188"/>
      <c r="AS114" s="188"/>
    </row>
    <row r="115" spans="2:45" s="56" customFormat="1" ht="15" hidden="1" customHeight="1" x14ac:dyDescent="0.25">
      <c r="B115" s="180"/>
      <c r="E115" s="217" t="s">
        <v>36</v>
      </c>
      <c r="F115" s="228">
        <v>0.01</v>
      </c>
      <c r="G115" s="220" t="s">
        <v>65</v>
      </c>
      <c r="M115" s="227"/>
      <c r="AM115" s="183"/>
      <c r="AN115" s="188"/>
      <c r="AO115" s="188"/>
      <c r="AP115" s="188"/>
      <c r="AQ115" s="188"/>
      <c r="AR115" s="188"/>
      <c r="AS115" s="188"/>
    </row>
    <row r="116" spans="2:45" s="56" customFormat="1" ht="15" hidden="1" customHeight="1" x14ac:dyDescent="0.25">
      <c r="B116" s="180"/>
      <c r="E116" s="57" t="s">
        <v>451</v>
      </c>
      <c r="F116" s="228">
        <f>F18</f>
        <v>2800</v>
      </c>
      <c r="G116" s="220" t="s">
        <v>65</v>
      </c>
      <c r="M116" s="227"/>
      <c r="AM116" s="183"/>
      <c r="AN116" s="188"/>
      <c r="AO116" s="188"/>
      <c r="AP116" s="188"/>
      <c r="AQ116" s="188"/>
      <c r="AR116" s="188"/>
      <c r="AS116" s="188"/>
    </row>
    <row r="117" spans="2:45" s="56" customFormat="1" ht="15" hidden="1" customHeight="1" x14ac:dyDescent="0.25">
      <c r="B117" s="180"/>
      <c r="E117" s="57" t="s">
        <v>373</v>
      </c>
      <c r="F117" s="229">
        <f>IF(F69="YES", F72, "DNP")</f>
        <v>22</v>
      </c>
      <c r="G117" s="216" t="s">
        <v>85</v>
      </c>
      <c r="M117" s="227"/>
      <c r="AM117" s="183"/>
      <c r="AN117" s="188"/>
      <c r="AO117" s="188"/>
      <c r="AP117" s="188"/>
      <c r="AQ117" s="188"/>
      <c r="AR117" s="188"/>
      <c r="AS117" s="188"/>
    </row>
    <row r="118" spans="2:45" s="56" customFormat="1" ht="15" hidden="1" customHeight="1" x14ac:dyDescent="0.25">
      <c r="B118" s="180"/>
      <c r="E118" s="230" t="s">
        <v>374</v>
      </c>
      <c r="F118" s="231" t="str">
        <f>F48</f>
        <v>SM1A14NHLD</v>
      </c>
      <c r="G118" s="216"/>
      <c r="M118" s="227"/>
      <c r="AM118" s="183"/>
      <c r="AN118" s="188"/>
      <c r="AO118" s="188"/>
      <c r="AP118" s="188"/>
      <c r="AQ118" s="188"/>
      <c r="AR118" s="188"/>
      <c r="AS118" s="188"/>
    </row>
    <row r="119" spans="2:45" s="56" customFormat="1" ht="15" hidden="1" customHeight="1" x14ac:dyDescent="0.25">
      <c r="B119" s="180"/>
      <c r="E119" s="230" t="s">
        <v>375</v>
      </c>
      <c r="F119" s="231" t="str">
        <f>F48</f>
        <v>SM1A14NHLD</v>
      </c>
      <c r="G119" s="216"/>
      <c r="M119" s="227"/>
      <c r="AM119" s="183"/>
      <c r="AN119" s="188"/>
      <c r="AO119" s="188"/>
      <c r="AP119" s="188"/>
      <c r="AQ119" s="188"/>
      <c r="AR119" s="188"/>
      <c r="AS119" s="188"/>
    </row>
    <row r="120" spans="2:45" s="56" customFormat="1" ht="15" hidden="1" customHeight="1" x14ac:dyDescent="0.25">
      <c r="B120" s="180"/>
      <c r="E120" s="230" t="s">
        <v>376</v>
      </c>
      <c r="F120" s="231" t="s">
        <v>469</v>
      </c>
      <c r="G120" s="216"/>
      <c r="M120" s="227"/>
      <c r="AM120" s="183"/>
      <c r="AN120" s="188"/>
      <c r="AO120" s="188"/>
      <c r="AP120" s="188"/>
      <c r="AQ120" s="188"/>
      <c r="AR120" s="188"/>
      <c r="AS120" s="188"/>
    </row>
    <row r="121" spans="2:45" s="56" customFormat="1" ht="15" hidden="1" customHeight="1" x14ac:dyDescent="0.25">
      <c r="B121" s="180"/>
      <c r="E121" s="230"/>
      <c r="F121" s="216"/>
      <c r="G121" s="216"/>
      <c r="M121" s="232"/>
      <c r="AM121" s="183"/>
      <c r="AN121" s="188"/>
      <c r="AO121" s="188"/>
      <c r="AP121" s="188"/>
      <c r="AQ121" s="188"/>
      <c r="AR121" s="188"/>
      <c r="AS121" s="188"/>
    </row>
    <row r="122" spans="2:45" s="56" customFormat="1" ht="15" hidden="1" customHeight="1" x14ac:dyDescent="0.25">
      <c r="B122" s="180"/>
      <c r="E122" s="57"/>
      <c r="F122" s="233"/>
      <c r="G122" s="216"/>
      <c r="M122" s="232"/>
      <c r="AM122" s="183"/>
      <c r="AN122" s="188"/>
      <c r="AO122" s="188"/>
      <c r="AP122" s="188"/>
      <c r="AQ122" s="188"/>
      <c r="AR122" s="188"/>
      <c r="AS122" s="188"/>
    </row>
    <row r="123" spans="2:45" s="56" customFormat="1" ht="15" hidden="1" customHeight="1" x14ac:dyDescent="0.25">
      <c r="B123" s="180"/>
      <c r="G123" s="232"/>
      <c r="AM123" s="183"/>
      <c r="AN123" s="187"/>
      <c r="AO123" s="188"/>
      <c r="AP123" s="188"/>
      <c r="AQ123" s="188"/>
      <c r="AR123" s="188"/>
      <c r="AS123" s="188"/>
    </row>
    <row r="124" spans="2:45" s="56" customFormat="1" ht="15.5" hidden="1" x14ac:dyDescent="0.4">
      <c r="B124" s="234" t="s">
        <v>20</v>
      </c>
      <c r="C124" s="235" t="s">
        <v>72</v>
      </c>
      <c r="D124" s="236"/>
      <c r="G124" s="232"/>
      <c r="AM124" s="183"/>
      <c r="AN124" s="187"/>
      <c r="AO124" s="188"/>
      <c r="AP124" s="188"/>
      <c r="AQ124" s="188"/>
      <c r="AR124" s="188"/>
      <c r="AS124" s="188"/>
    </row>
    <row r="125" spans="2:45" s="56" customFormat="1" hidden="1" x14ac:dyDescent="0.25">
      <c r="B125" s="180"/>
      <c r="C125" s="235" t="s">
        <v>80</v>
      </c>
      <c r="G125" s="232"/>
      <c r="AM125" s="183"/>
      <c r="AN125" s="188"/>
      <c r="AO125" s="188"/>
      <c r="AP125" s="188"/>
      <c r="AQ125" s="188"/>
      <c r="AR125" s="188"/>
      <c r="AS125" s="188"/>
    </row>
    <row r="126" spans="2:45" s="56" customFormat="1" hidden="1" x14ac:dyDescent="0.25">
      <c r="B126" s="180"/>
      <c r="C126" s="235" t="s">
        <v>452</v>
      </c>
      <c r="G126" s="232"/>
      <c r="AM126" s="183"/>
      <c r="AN126" s="188"/>
      <c r="AO126" s="188"/>
      <c r="AP126" s="188"/>
      <c r="AQ126" s="188"/>
      <c r="AR126" s="188"/>
      <c r="AS126" s="188"/>
    </row>
    <row r="127" spans="2:45" s="56" customFormat="1" ht="13" hidden="1" thickBot="1" x14ac:dyDescent="0.3">
      <c r="B127" s="237"/>
      <c r="C127" s="238"/>
      <c r="D127" s="238"/>
      <c r="E127" s="238"/>
      <c r="F127" s="238"/>
      <c r="G127" s="239"/>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40"/>
      <c r="AN127" s="188"/>
      <c r="AO127" s="188"/>
      <c r="AP127" s="188"/>
      <c r="AQ127" s="188"/>
      <c r="AR127" s="188"/>
      <c r="AS127" s="188"/>
    </row>
    <row r="128" spans="2:45" s="56" customFormat="1" hidden="1" x14ac:dyDescent="0.25">
      <c r="G128" s="232"/>
    </row>
    <row r="129" spans="1:39" ht="14" hidden="1" x14ac:dyDescent="0.3">
      <c r="A129" s="9"/>
      <c r="B129" s="27"/>
      <c r="C129" s="9"/>
      <c r="D129" s="9"/>
      <c r="E129" s="9"/>
      <c r="F129" s="21"/>
      <c r="G129" s="55"/>
      <c r="H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row>
    <row r="130" spans="1:39" x14ac:dyDescent="0.25">
      <c r="A130" s="9"/>
      <c r="B130" s="9"/>
      <c r="C130" s="9"/>
      <c r="D130" s="9"/>
      <c r="E130" s="9"/>
      <c r="F130" s="21"/>
      <c r="G130" s="10"/>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row>
    <row r="131" spans="1:39" x14ac:dyDescent="0.25">
      <c r="A131" s="9"/>
      <c r="B131" s="9"/>
      <c r="C131" s="9"/>
      <c r="D131" s="9"/>
      <c r="E131" s="9"/>
      <c r="F131" s="21"/>
      <c r="G131" s="55"/>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row>
    <row r="132" spans="1:39" x14ac:dyDescent="0.25">
      <c r="A132" s="9"/>
      <c r="B132" s="9"/>
      <c r="C132" s="9"/>
      <c r="D132" s="9"/>
      <c r="E132" s="9"/>
      <c r="F132" s="21"/>
      <c r="G132" s="55"/>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row>
    <row r="133" spans="1:39" x14ac:dyDescent="0.25">
      <c r="A133" s="9"/>
      <c r="B133" s="9"/>
      <c r="C133" s="9"/>
      <c r="D133" s="9"/>
      <c r="E133" s="9"/>
      <c r="F133" s="21"/>
      <c r="G133" s="55"/>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row>
    <row r="134" spans="1:39" x14ac:dyDescent="0.25">
      <c r="A134" s="9"/>
      <c r="B134" s="9"/>
      <c r="C134" s="9"/>
      <c r="D134" s="9"/>
      <c r="E134" s="9"/>
      <c r="F134" s="9"/>
      <c r="G134" s="55"/>
      <c r="H134" s="21"/>
      <c r="I134" s="21"/>
      <c r="J134" s="21"/>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row>
    <row r="135" spans="1:39" x14ac:dyDescent="0.25">
      <c r="A135" s="9"/>
      <c r="B135" s="9"/>
      <c r="C135" s="9"/>
      <c r="D135" s="9"/>
      <c r="E135" s="9"/>
      <c r="F135" s="9"/>
      <c r="G135" s="55"/>
      <c r="H135" s="21"/>
      <c r="I135" s="21"/>
      <c r="J135" s="21"/>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row>
    <row r="136" spans="1:39" x14ac:dyDescent="0.25">
      <c r="A136" s="9"/>
      <c r="B136" s="9"/>
      <c r="C136" s="9"/>
      <c r="D136" s="9"/>
      <c r="E136" s="9"/>
      <c r="F136" s="9"/>
      <c r="G136" s="55"/>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row>
    <row r="137" spans="1:39" x14ac:dyDescent="0.25">
      <c r="A137" s="9"/>
      <c r="B137" s="9"/>
      <c r="C137" s="9"/>
      <c r="D137" s="9"/>
      <c r="E137" s="9"/>
      <c r="F137" s="9"/>
      <c r="G137" s="10"/>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row>
    <row r="138" spans="1:39" x14ac:dyDescent="0.25">
      <c r="A138" s="9"/>
      <c r="B138" s="9"/>
      <c r="C138" s="9"/>
      <c r="D138" s="9"/>
      <c r="E138" s="9"/>
      <c r="F138" s="9"/>
      <c r="G138" s="10"/>
      <c r="H138" s="21"/>
      <c r="I138" s="21"/>
      <c r="J138" s="21"/>
      <c r="K138" s="21"/>
      <c r="L138" s="21"/>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row>
    <row r="139" spans="1:39" x14ac:dyDescent="0.25">
      <c r="A139" s="9"/>
      <c r="B139" s="9"/>
      <c r="C139" s="9"/>
      <c r="D139" s="9"/>
      <c r="E139" s="9"/>
      <c r="F139" s="9"/>
      <c r="G139" s="10"/>
      <c r="H139" s="21"/>
      <c r="I139" s="21"/>
      <c r="J139" s="21"/>
      <c r="K139" s="21"/>
      <c r="L139" s="21"/>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row>
    <row r="140" spans="1:39" x14ac:dyDescent="0.25">
      <c r="A140" s="9"/>
      <c r="B140" s="9"/>
      <c r="C140" s="9"/>
      <c r="D140" s="9"/>
      <c r="E140" s="9"/>
      <c r="F140" s="9"/>
      <c r="G140" s="10"/>
      <c r="H140" s="21"/>
      <c r="I140" s="21"/>
      <c r="J140" s="21"/>
      <c r="K140" s="21"/>
      <c r="L140" s="21"/>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row>
    <row r="141" spans="1:39" x14ac:dyDescent="0.25">
      <c r="A141" s="9"/>
      <c r="B141" s="9"/>
      <c r="C141" s="9"/>
      <c r="D141" s="9"/>
      <c r="E141" s="9"/>
      <c r="F141" s="9"/>
      <c r="G141" s="10"/>
      <c r="H141" s="21"/>
      <c r="I141" s="21"/>
      <c r="J141" s="21"/>
      <c r="K141" s="21"/>
      <c r="L141" s="21"/>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row>
    <row r="142" spans="1:39" x14ac:dyDescent="0.25">
      <c r="A142" s="9"/>
      <c r="B142" s="9"/>
      <c r="C142" s="9"/>
      <c r="D142" s="9"/>
      <c r="E142" s="9"/>
      <c r="F142" s="9"/>
      <c r="G142" s="10"/>
      <c r="H142" s="21"/>
      <c r="I142" s="21"/>
      <c r="J142" s="21"/>
      <c r="K142" s="21"/>
      <c r="L142" s="21"/>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row>
    <row r="143" spans="1:39" x14ac:dyDescent="0.25">
      <c r="A143" s="9"/>
      <c r="B143" s="9"/>
      <c r="C143" s="9"/>
      <c r="D143" s="9"/>
      <c r="E143" s="9"/>
      <c r="F143" s="9"/>
      <c r="G143" s="10"/>
      <c r="H143" s="21"/>
      <c r="I143" s="21"/>
      <c r="J143" s="21"/>
      <c r="K143" s="21"/>
      <c r="L143" s="21"/>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row>
    <row r="144" spans="1:39" x14ac:dyDescent="0.25">
      <c r="A144" s="9"/>
      <c r="B144" s="9"/>
      <c r="C144" s="9"/>
      <c r="D144" s="9"/>
      <c r="E144" s="9"/>
      <c r="F144" s="9"/>
      <c r="G144" s="10"/>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row>
    <row r="145" spans="1:39" x14ac:dyDescent="0.25">
      <c r="A145" s="9"/>
      <c r="B145" s="9"/>
      <c r="C145" s="9"/>
      <c r="D145" s="9"/>
      <c r="E145" s="9"/>
      <c r="F145" s="9"/>
      <c r="G145" s="10"/>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row>
    <row r="146" spans="1:39" x14ac:dyDescent="0.25">
      <c r="A146" s="9"/>
      <c r="B146" s="9"/>
      <c r="C146" s="9"/>
      <c r="D146" s="9"/>
      <c r="E146" s="9"/>
      <c r="F146" s="9"/>
      <c r="G146" s="10"/>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row>
    <row r="147" spans="1:39" x14ac:dyDescent="0.25">
      <c r="A147" s="9"/>
      <c r="B147" s="9"/>
      <c r="C147" s="9"/>
      <c r="D147" s="9"/>
      <c r="E147" s="9"/>
      <c r="F147" s="9"/>
      <c r="G147" s="10"/>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row>
    <row r="148" spans="1:39" x14ac:dyDescent="0.25">
      <c r="A148" s="9"/>
      <c r="B148" s="9"/>
      <c r="C148" s="9"/>
      <c r="D148" s="9"/>
      <c r="E148" s="9"/>
      <c r="F148" s="9"/>
      <c r="G148" s="10"/>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row>
    <row r="149" spans="1:39" x14ac:dyDescent="0.25">
      <c r="A149" s="9"/>
      <c r="B149" s="9"/>
      <c r="C149" s="9"/>
      <c r="D149" s="9"/>
      <c r="E149" s="9"/>
      <c r="F149" s="9"/>
      <c r="G149" s="10"/>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row>
    <row r="150" spans="1:39" x14ac:dyDescent="0.25">
      <c r="A150" s="9"/>
      <c r="B150" s="9"/>
      <c r="C150" s="9"/>
      <c r="D150" s="9"/>
      <c r="E150" s="9"/>
      <c r="F150" s="9"/>
      <c r="G150" s="10"/>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row>
    <row r="151" spans="1:39" x14ac:dyDescent="0.25">
      <c r="A151" s="9"/>
      <c r="B151" s="9"/>
      <c r="C151" s="9"/>
      <c r="D151" s="9"/>
      <c r="E151" s="9"/>
      <c r="F151" s="9"/>
      <c r="G151" s="10"/>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row>
    <row r="152" spans="1:39" x14ac:dyDescent="0.25">
      <c r="A152" s="9"/>
      <c r="B152" s="9"/>
      <c r="C152" s="9"/>
      <c r="D152" s="9"/>
      <c r="E152" s="9"/>
      <c r="F152" s="9"/>
      <c r="G152" s="10"/>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row>
    <row r="153" spans="1:39" x14ac:dyDescent="0.25">
      <c r="A153" s="9"/>
      <c r="B153" s="9"/>
      <c r="C153" s="9"/>
      <c r="D153" s="9"/>
      <c r="E153" s="9"/>
      <c r="F153" s="9"/>
      <c r="G153" s="10"/>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row>
    <row r="154" spans="1:39" x14ac:dyDescent="0.25">
      <c r="A154" s="9"/>
      <c r="B154" s="9"/>
      <c r="C154" s="9"/>
      <c r="D154" s="9"/>
      <c r="E154" s="9"/>
      <c r="F154" s="9"/>
      <c r="G154" s="10"/>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row>
    <row r="155" spans="1:39" ht="14" x14ac:dyDescent="0.3">
      <c r="A155" s="9"/>
      <c r="B155" s="28"/>
      <c r="C155" s="9"/>
      <c r="D155" s="9"/>
      <c r="E155" s="9"/>
      <c r="F155" s="9"/>
      <c r="G155" s="10"/>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row>
    <row r="156" spans="1:39" x14ac:dyDescent="0.25">
      <c r="A156" s="9"/>
      <c r="B156" s="9"/>
      <c r="C156" s="9"/>
      <c r="D156" s="9"/>
      <c r="E156" s="9"/>
      <c r="F156" s="9"/>
      <c r="G156" s="10"/>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row>
    <row r="157" spans="1:39" x14ac:dyDescent="0.25">
      <c r="A157" s="9"/>
      <c r="B157" s="9"/>
      <c r="C157" s="9"/>
      <c r="D157" s="9"/>
      <c r="E157" s="9"/>
      <c r="F157" s="9"/>
      <c r="G157" s="10"/>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row>
    <row r="158" spans="1:39" x14ac:dyDescent="0.25">
      <c r="A158" s="9"/>
      <c r="B158" s="9"/>
      <c r="C158" s="9"/>
      <c r="D158" s="9"/>
      <c r="E158" s="9"/>
      <c r="F158" s="9"/>
      <c r="G158" s="10"/>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row>
    <row r="159" spans="1:39" x14ac:dyDescent="0.25">
      <c r="A159" s="9"/>
      <c r="B159" s="9"/>
      <c r="C159" s="9"/>
      <c r="D159" s="9"/>
      <c r="E159" s="9"/>
      <c r="F159" s="9"/>
      <c r="G159" s="10"/>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row>
    <row r="160" spans="1:39" x14ac:dyDescent="0.25">
      <c r="A160" s="9"/>
      <c r="B160" s="9"/>
      <c r="D160" s="9"/>
      <c r="E160" s="9"/>
      <c r="F160" s="9"/>
      <c r="G160" s="10"/>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row>
    <row r="161" spans="1:39" x14ac:dyDescent="0.25">
      <c r="A161" s="9"/>
      <c r="B161" s="9"/>
      <c r="C161" s="9"/>
      <c r="D161" s="9"/>
      <c r="E161" s="9"/>
      <c r="F161" s="9"/>
      <c r="G161" s="10"/>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row>
    <row r="162" spans="1:39" x14ac:dyDescent="0.25">
      <c r="A162" s="9"/>
      <c r="B162" s="9"/>
      <c r="C162" s="9"/>
      <c r="D162" s="9"/>
      <c r="E162" s="9"/>
      <c r="F162" s="9"/>
      <c r="G162" s="10"/>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row>
    <row r="163" spans="1:39" x14ac:dyDescent="0.25">
      <c r="A163" s="9"/>
      <c r="B163" s="9"/>
      <c r="C163" s="9"/>
      <c r="D163" s="9"/>
      <c r="E163" s="9"/>
      <c r="F163" s="9"/>
      <c r="G163" s="10"/>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row>
    <row r="164" spans="1:39" x14ac:dyDescent="0.25">
      <c r="A164" s="9"/>
      <c r="B164" s="9"/>
      <c r="C164" s="9"/>
      <c r="D164" s="9"/>
      <c r="E164" s="9"/>
      <c r="F164" s="9"/>
      <c r="G164" s="10"/>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row>
    <row r="165" spans="1:39" x14ac:dyDescent="0.25">
      <c r="A165" s="9"/>
      <c r="B165" s="9"/>
      <c r="C165" s="9"/>
      <c r="D165" s="9"/>
      <c r="E165" s="9"/>
      <c r="F165" s="9"/>
      <c r="G165" s="10"/>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row>
    <row r="166" spans="1:39" x14ac:dyDescent="0.25">
      <c r="A166" s="9"/>
      <c r="B166" s="9"/>
      <c r="C166" s="9"/>
      <c r="D166" s="9"/>
      <c r="E166" s="9"/>
      <c r="F166" s="9"/>
      <c r="G166" s="10"/>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row>
    <row r="167" spans="1:39" x14ac:dyDescent="0.25">
      <c r="A167" s="9"/>
      <c r="B167" s="9"/>
      <c r="C167" s="9"/>
      <c r="D167" s="9"/>
      <c r="E167" s="9"/>
      <c r="F167" s="9"/>
      <c r="G167" s="10"/>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row>
    <row r="168" spans="1:39" x14ac:dyDescent="0.25">
      <c r="A168" s="9"/>
      <c r="B168" s="9"/>
      <c r="C168" s="9"/>
      <c r="D168" s="9"/>
      <c r="E168" s="9"/>
      <c r="F168" s="9"/>
      <c r="G168" s="10"/>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row>
    <row r="169" spans="1:39" x14ac:dyDescent="0.25">
      <c r="A169" s="9"/>
      <c r="B169" s="9"/>
      <c r="C169" s="9"/>
      <c r="D169" s="9"/>
      <c r="E169" s="9"/>
      <c r="F169" s="9"/>
      <c r="G169" s="10"/>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row>
    <row r="170" spans="1:39" x14ac:dyDescent="0.25">
      <c r="A170" s="9"/>
      <c r="B170" s="9"/>
      <c r="C170" s="9"/>
      <c r="D170" s="9"/>
      <c r="E170" s="9"/>
      <c r="F170" s="9"/>
      <c r="G170" s="10"/>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row>
    <row r="171" spans="1:39" x14ac:dyDescent="0.25">
      <c r="A171" s="9"/>
      <c r="B171" s="9"/>
      <c r="C171" s="9"/>
      <c r="D171" s="9"/>
      <c r="E171" s="9"/>
      <c r="F171" s="9"/>
      <c r="G171" s="10"/>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row>
    <row r="172" spans="1:39" x14ac:dyDescent="0.25">
      <c r="A172" s="9"/>
      <c r="B172" s="9"/>
      <c r="C172" s="9"/>
      <c r="D172" s="9"/>
      <c r="E172" s="9"/>
      <c r="F172" s="9"/>
      <c r="G172" s="10"/>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row>
    <row r="173" spans="1:39" x14ac:dyDescent="0.25">
      <c r="A173" s="9"/>
      <c r="B173" s="9"/>
      <c r="C173" s="9"/>
      <c r="D173" s="9"/>
      <c r="E173" s="9"/>
      <c r="F173" s="9"/>
      <c r="G173" s="10"/>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row>
    <row r="174" spans="1:39" x14ac:dyDescent="0.25">
      <c r="A174" s="9"/>
      <c r="B174" s="9"/>
      <c r="C174" s="9"/>
      <c r="D174" s="9"/>
      <c r="E174" s="9"/>
      <c r="F174" s="9"/>
      <c r="G174" s="10"/>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row>
    <row r="175" spans="1:39" x14ac:dyDescent="0.25">
      <c r="A175" s="9"/>
      <c r="B175" s="9"/>
      <c r="C175" s="9"/>
      <c r="D175" s="9"/>
      <c r="E175" s="9"/>
      <c r="F175" s="9"/>
      <c r="G175" s="10"/>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row>
    <row r="176" spans="1:39" x14ac:dyDescent="0.25">
      <c r="A176" s="9"/>
      <c r="B176" s="9"/>
      <c r="C176" s="9"/>
      <c r="D176" s="9"/>
      <c r="E176" s="9"/>
      <c r="F176" s="9"/>
      <c r="G176" s="10"/>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row>
    <row r="177" spans="1:39" x14ac:dyDescent="0.25">
      <c r="A177" s="9"/>
      <c r="B177" s="9"/>
      <c r="C177" s="9"/>
      <c r="D177" s="9"/>
      <c r="E177" s="9"/>
      <c r="F177" s="9"/>
      <c r="G177" s="10"/>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row>
    <row r="178" spans="1:39" x14ac:dyDescent="0.25">
      <c r="A178" s="9"/>
      <c r="B178" s="9"/>
      <c r="C178" s="9"/>
      <c r="D178" s="9"/>
      <c r="E178" s="9"/>
      <c r="F178" s="9"/>
      <c r="G178" s="10"/>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row>
    <row r="179" spans="1:39" x14ac:dyDescent="0.25">
      <c r="A179" s="9"/>
      <c r="B179" s="9"/>
      <c r="C179" s="9"/>
      <c r="D179" s="9"/>
      <c r="E179" s="9"/>
      <c r="F179" s="9"/>
      <c r="G179" s="10"/>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row>
    <row r="180" spans="1:39" x14ac:dyDescent="0.25">
      <c r="A180" s="9"/>
      <c r="B180" s="9"/>
      <c r="C180" s="9"/>
      <c r="D180" s="9"/>
      <c r="E180" s="9"/>
      <c r="F180" s="9"/>
      <c r="G180" s="10"/>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row>
    <row r="181" spans="1:39" x14ac:dyDescent="0.25">
      <c r="A181" s="9"/>
      <c r="B181" s="9"/>
      <c r="C181" s="9"/>
      <c r="D181" s="9"/>
      <c r="E181" s="9"/>
      <c r="F181" s="9"/>
      <c r="G181" s="10"/>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row>
    <row r="182" spans="1:39" x14ac:dyDescent="0.25">
      <c r="A182" s="9"/>
      <c r="B182" s="9"/>
      <c r="C182" s="9"/>
      <c r="D182" s="9"/>
      <c r="E182" s="9"/>
      <c r="F182" s="9"/>
      <c r="G182" s="10"/>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row>
    <row r="183" spans="1:39" x14ac:dyDescent="0.25">
      <c r="A183" s="9"/>
      <c r="B183" s="9"/>
      <c r="C183" s="9"/>
      <c r="D183" s="9"/>
      <c r="E183" s="9"/>
      <c r="F183" s="9"/>
      <c r="G183" s="10"/>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row>
    <row r="184" spans="1:39" x14ac:dyDescent="0.25">
      <c r="A184" s="9"/>
      <c r="B184" s="9"/>
      <c r="C184" s="9"/>
      <c r="D184" s="9"/>
      <c r="E184" s="9"/>
      <c r="F184" s="9"/>
      <c r="G184" s="10"/>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row>
    <row r="185" spans="1:39" x14ac:dyDescent="0.25">
      <c r="A185" s="9"/>
      <c r="B185" s="9"/>
      <c r="C185" s="9"/>
      <c r="D185" s="9"/>
      <c r="E185" s="9"/>
      <c r="F185" s="9"/>
      <c r="G185" s="10"/>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row>
    <row r="186" spans="1:39" x14ac:dyDescent="0.25">
      <c r="A186" s="9"/>
      <c r="B186" s="9"/>
      <c r="C186" s="9"/>
      <c r="D186" s="9"/>
      <c r="E186" s="9"/>
      <c r="F186" s="9"/>
      <c r="G186" s="10"/>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row>
    <row r="187" spans="1:39" x14ac:dyDescent="0.25">
      <c r="A187" s="9"/>
      <c r="B187" s="9"/>
      <c r="C187" s="9"/>
      <c r="D187" s="9"/>
      <c r="E187" s="9"/>
      <c r="F187" s="9"/>
      <c r="G187" s="10"/>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row>
    <row r="188" spans="1:39" x14ac:dyDescent="0.25">
      <c r="A188" s="9"/>
      <c r="B188" s="9"/>
      <c r="C188" s="9"/>
      <c r="D188" s="9"/>
      <c r="E188" s="9"/>
      <c r="F188" s="9"/>
      <c r="G188" s="10"/>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row>
    <row r="189" spans="1:39" x14ac:dyDescent="0.25">
      <c r="A189" s="9"/>
      <c r="B189" s="9"/>
      <c r="C189" s="9"/>
      <c r="D189" s="9"/>
      <c r="E189" s="9"/>
      <c r="F189" s="9"/>
      <c r="G189" s="10"/>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row>
    <row r="190" spans="1:39" x14ac:dyDescent="0.25">
      <c r="A190" s="9"/>
      <c r="B190" s="9"/>
      <c r="C190" s="9"/>
      <c r="D190" s="9"/>
      <c r="G190" s="10"/>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row>
    <row r="191" spans="1:39" x14ac:dyDescent="0.25">
      <c r="A191" s="9"/>
      <c r="B191" s="9"/>
      <c r="C191" s="9"/>
      <c r="D191" s="9"/>
      <c r="G191" s="10"/>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row>
    <row r="192" spans="1:39" x14ac:dyDescent="0.25">
      <c r="A192" s="9"/>
      <c r="B192" s="9"/>
      <c r="C192" s="9"/>
      <c r="D192" s="9"/>
      <c r="G192" s="10"/>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row>
    <row r="193" spans="1:39" x14ac:dyDescent="0.25">
      <c r="A193" s="9"/>
      <c r="B193" s="9"/>
      <c r="C193" s="9"/>
      <c r="D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row>
    <row r="194" spans="1:39" x14ac:dyDescent="0.25">
      <c r="A194" s="9"/>
      <c r="B194" s="9"/>
      <c r="C194" s="9"/>
      <c r="D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row>
    <row r="195" spans="1:39" x14ac:dyDescent="0.25">
      <c r="A195" s="9"/>
      <c r="B195" s="9"/>
      <c r="C195" s="9"/>
      <c r="D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row>
    <row r="196" spans="1:39" x14ac:dyDescent="0.25">
      <c r="A196" s="9"/>
      <c r="B196" s="9"/>
      <c r="C196" s="9"/>
      <c r="D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row>
    <row r="197" spans="1:39" x14ac:dyDescent="0.25">
      <c r="A197" s="9"/>
      <c r="B197" s="9"/>
      <c r="C197" s="9"/>
      <c r="D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row>
    <row r="198" spans="1:39" x14ac:dyDescent="0.25">
      <c r="A198" s="9"/>
      <c r="B198" s="9"/>
      <c r="C198" s="9"/>
      <c r="D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row>
    <row r="199" spans="1:39" x14ac:dyDescent="0.25">
      <c r="A199" s="9"/>
      <c r="B199" s="9"/>
      <c r="C199" s="9"/>
      <c r="D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row>
  </sheetData>
  <sheetProtection algorithmName="SHA-512" hashValue="ocYXVsslxmoBZQ4gsYwOoLwRPjKuVO6TfZemXJdlvJO5m3IbjDH2tErKNmVvyM8BGdVKLJ6e3eq6pZaV5Z355A==" saltValue="gWwPReHVSu9blUw1i1yEcg==" spinCount="100000" sheet="1" selectLockedCells="1"/>
  <mergeCells count="44">
    <mergeCell ref="AR55:AR62"/>
    <mergeCell ref="B58:B65"/>
    <mergeCell ref="L2:M2"/>
    <mergeCell ref="B25:B27"/>
    <mergeCell ref="B35:B37"/>
    <mergeCell ref="J27:K27"/>
    <mergeCell ref="J28:K28"/>
    <mergeCell ref="J29:K29"/>
    <mergeCell ref="J30:K30"/>
    <mergeCell ref="J31:K31"/>
    <mergeCell ref="J32:K32"/>
    <mergeCell ref="J33:K33"/>
    <mergeCell ref="J34:K34"/>
    <mergeCell ref="J35:K35"/>
    <mergeCell ref="J24:K24"/>
    <mergeCell ref="J38:K38"/>
    <mergeCell ref="D96:E96"/>
    <mergeCell ref="D97:E97"/>
    <mergeCell ref="A1:M1"/>
    <mergeCell ref="D11:E12"/>
    <mergeCell ref="I65:M65"/>
    <mergeCell ref="J15:K15"/>
    <mergeCell ref="J16:K16"/>
    <mergeCell ref="J17:K17"/>
    <mergeCell ref="J18:K18"/>
    <mergeCell ref="J19:K19"/>
    <mergeCell ref="J20:K20"/>
    <mergeCell ref="J21:K21"/>
    <mergeCell ref="J22:K22"/>
    <mergeCell ref="J23:K23"/>
    <mergeCell ref="J26:K26"/>
    <mergeCell ref="M22:AM22"/>
    <mergeCell ref="J25:K25"/>
    <mergeCell ref="J47:K47"/>
    <mergeCell ref="J42:K42"/>
    <mergeCell ref="J43:K43"/>
    <mergeCell ref="J44:K44"/>
    <mergeCell ref="J45:K45"/>
    <mergeCell ref="J46:K46"/>
    <mergeCell ref="J39:K39"/>
    <mergeCell ref="J40:K40"/>
    <mergeCell ref="J41:K41"/>
    <mergeCell ref="J37:K37"/>
    <mergeCell ref="J36:K36"/>
  </mergeCells>
  <phoneticPr fontId="7" type="noConversion"/>
  <conditionalFormatting sqref="B25">
    <cfRule type="expression" dxfId="35" priority="6">
      <formula>$G$23="No"</formula>
    </cfRule>
    <cfRule type="expression" dxfId="34" priority="7">
      <formula>$G$22="No"</formula>
    </cfRule>
  </conditionalFormatting>
  <conditionalFormatting sqref="B35">
    <cfRule type="expression" dxfId="33" priority="4">
      <formula>$G$23="No"</formula>
    </cfRule>
    <cfRule type="expression" dxfId="32" priority="5">
      <formula>$G$22="No"</formula>
    </cfRule>
  </conditionalFormatting>
  <conditionalFormatting sqref="B57">
    <cfRule type="expression" dxfId="31" priority="11">
      <formula>$G$22="No"</formula>
    </cfRule>
    <cfRule type="expression" dxfId="30" priority="10">
      <formula>$G$23="No"</formula>
    </cfRule>
  </conditionalFormatting>
  <conditionalFormatting sqref="B58:B65">
    <cfRule type="expression" dxfId="29" priority="29">
      <formula>#REF!="No"</formula>
    </cfRule>
  </conditionalFormatting>
  <conditionalFormatting sqref="B75">
    <cfRule type="expression" dxfId="28" priority="8">
      <formula>$G$23="No"</formula>
    </cfRule>
    <cfRule type="expression" dxfId="27" priority="9">
      <formula>$G$22="No"</formula>
    </cfRule>
  </conditionalFormatting>
  <conditionalFormatting sqref="D70 F70:G70">
    <cfRule type="expression" dxfId="26" priority="3">
      <formula>$F$69="Yes"</formula>
    </cfRule>
  </conditionalFormatting>
  <conditionalFormatting sqref="E84">
    <cfRule type="expression" dxfId="25" priority="94" stopIfTrue="1">
      <formula>F80="Option A"</formula>
    </cfRule>
  </conditionalFormatting>
  <conditionalFormatting sqref="E88">
    <cfRule type="expression" dxfId="24" priority="97" stopIfTrue="1">
      <formula>F80="Option A"</formula>
    </cfRule>
  </conditionalFormatting>
  <conditionalFormatting sqref="E92">
    <cfRule type="expression" dxfId="23" priority="85">
      <formula>F80="Option A"</formula>
    </cfRule>
  </conditionalFormatting>
  <conditionalFormatting sqref="E41:F42">
    <cfRule type="expression" dxfId="22" priority="18">
      <formula>#REF!="No"</formula>
    </cfRule>
  </conditionalFormatting>
  <conditionalFormatting sqref="E47:G47">
    <cfRule type="expression" dxfId="21" priority="37" stopIfTrue="1">
      <formula>IF(#REF!="", "TRUE", "FALSE")</formula>
    </cfRule>
  </conditionalFormatting>
  <conditionalFormatting sqref="E22:H24">
    <cfRule type="expression" dxfId="20" priority="27">
      <formula>#REF!="No"</formula>
    </cfRule>
  </conditionalFormatting>
  <conditionalFormatting sqref="F25">
    <cfRule type="expression" dxfId="19" priority="1">
      <formula>#REF!="No"</formula>
    </cfRule>
  </conditionalFormatting>
  <conditionalFormatting sqref="F29">
    <cfRule type="cellIs" dxfId="18" priority="98" stopIfTrue="1" operator="greaterThan">
      <formula>200</formula>
    </cfRule>
  </conditionalFormatting>
  <conditionalFormatting sqref="F33:F35">
    <cfRule type="cellIs" dxfId="17" priority="36" operator="lessThan">
      <formula>$F$17</formula>
    </cfRule>
  </conditionalFormatting>
  <conditionalFormatting sqref="F39">
    <cfRule type="cellIs" dxfId="16" priority="12" operator="greaterThan">
      <formula>5</formula>
    </cfRule>
  </conditionalFormatting>
  <conditionalFormatting sqref="F59:F60">
    <cfRule type="colorScale" priority="62">
      <colorScale>
        <cfvo type="min"/>
        <cfvo type="formula" val="$AN$52*0.8"/>
        <cfvo type="num" val="$AN$52"/>
        <color theme="0"/>
        <color rgb="FFFFC000"/>
        <color rgb="FFFF0000"/>
      </colorScale>
    </cfRule>
  </conditionalFormatting>
  <conditionalFormatting sqref="F69">
    <cfRule type="expression" dxfId="15" priority="102">
      <formula>#REF!="Yes"</formula>
    </cfRule>
  </conditionalFormatting>
  <conditionalFormatting sqref="F71 F73">
    <cfRule type="cellIs" dxfId="14" priority="43" operator="greaterThanOrEqual">
      <formula>#REF!</formula>
    </cfRule>
  </conditionalFormatting>
  <conditionalFormatting sqref="F74">
    <cfRule type="cellIs" dxfId="13" priority="13" operator="greaterThan">
      <formula>$F$22/1000</formula>
    </cfRule>
  </conditionalFormatting>
  <conditionalFormatting sqref="F75">
    <cfRule type="cellIs" dxfId="12" priority="45" operator="lessThan">
      <formula>1.1</formula>
    </cfRule>
    <cfRule type="cellIs" dxfId="11" priority="44" operator="between">
      <formula>1.1</formula>
      <formula>1.2999</formula>
    </cfRule>
  </conditionalFormatting>
  <conditionalFormatting sqref="F88">
    <cfRule type="expression" dxfId="10" priority="95" stopIfTrue="1">
      <formula>F80="Option A"</formula>
    </cfRule>
  </conditionalFormatting>
  <conditionalFormatting sqref="F92">
    <cfRule type="expression" dxfId="9" priority="86">
      <formula>F80="Option A"</formula>
    </cfRule>
  </conditionalFormatting>
  <conditionalFormatting sqref="F95:F97">
    <cfRule type="cellIs" dxfId="8" priority="100" stopIfTrue="1" operator="lessThan">
      <formula>$F$81</formula>
    </cfRule>
  </conditionalFormatting>
  <conditionalFormatting sqref="F98">
    <cfRule type="cellIs" dxfId="7" priority="101" stopIfTrue="1" operator="greaterThan">
      <formula>$F$83</formula>
    </cfRule>
  </conditionalFormatting>
  <conditionalFormatting sqref="F71:G75 B75:D78 B71:D73 C74:D74">
    <cfRule type="expression" dxfId="6" priority="42" stopIfTrue="1">
      <formula>$F$69="NO"</formula>
    </cfRule>
  </conditionalFormatting>
  <conditionalFormatting sqref="G40:G42">
    <cfRule type="expression" dxfId="5" priority="16">
      <formula>#REF!="No"</formula>
    </cfRule>
  </conditionalFormatting>
  <conditionalFormatting sqref="G71:G75">
    <cfRule type="expression" dxfId="4" priority="50">
      <formula>#REF!="Yes"</formula>
    </cfRule>
  </conditionalFormatting>
  <conditionalFormatting sqref="G84">
    <cfRule type="expression" dxfId="3" priority="93" stopIfTrue="1">
      <formula>F80="Option A"</formula>
    </cfRule>
  </conditionalFormatting>
  <conditionalFormatting sqref="G88">
    <cfRule type="expression" dxfId="2" priority="88">
      <formula>F80="Option A"</formula>
    </cfRule>
  </conditionalFormatting>
  <conditionalFormatting sqref="G92">
    <cfRule type="expression" dxfId="1" priority="87">
      <formula>F80="Option A"</formula>
    </cfRule>
  </conditionalFormatting>
  <conditionalFormatting sqref="AR55:AR62">
    <cfRule type="expression" dxfId="0" priority="31">
      <formula>#REF!="No"</formula>
    </cfRule>
  </conditionalFormatting>
  <dataValidations xWindow="815" yWindow="414" count="16">
    <dataValidation type="decimal" allowBlank="1" showInputMessage="1" showErrorMessage="1" errorTitle="Lower UVLO Violation" error="The lower UVLO threshold MUST be at least 2.65V, and  less than the upper UVLO threshold. They cannot be equal." sqref="F82" xr:uid="{65F8E715-1132-4EBE-AAF4-F3CA7DBBDF19}">
      <formula1>2.65</formula1>
      <formula2>F81</formula2>
    </dataValidation>
    <dataValidation type="decimal" allowBlank="1" showInputMessage="1" showErrorMessage="1" errorTitle="Upper OVLO Threshold Violation" error="The Upper OVLO Threshold must be greater than the upper UVLO threshold, and less than 17V." sqref="F83" xr:uid="{AE260D13-C82C-4ECF-A184-CA526FBC1693}">
      <formula1>F81+0.01</formula1>
      <formula2>65</formula2>
    </dataValidation>
    <dataValidation type="decimal" allowBlank="1" showInputMessage="1" showErrorMessage="1" errorTitle="Lower OVLO Threshold Violation" error="The lower OVLO threshold must be greater than the upper UVLO threshold, and less than the upper OVLO threshold." sqref="F84" xr:uid="{E5AB6AF7-43E8-4533-9ED1-54FBD9C4F2ED}">
      <formula1>F81+0.01</formula1>
      <formula2>F83</formula2>
    </dataValidation>
    <dataValidation type="decimal" allowBlank="1" showInputMessage="1" showErrorMessage="1" errorTitle="UVLO Threshold Violation" error="The upper UVLO threshold must be no less than 2.9V, and no greater than 17V." sqref="F81" xr:uid="{A2B9B02C-1D5D-4915-BDFC-B30CBF703493}">
      <formula1>3</formula1>
      <formula2>65</formula2>
    </dataValidation>
    <dataValidation type="decimal" operator="greaterThanOrEqual" allowBlank="1" showInputMessage="1" showErrorMessage="1" errorTitle="Minimum System Voltage Violation" error="Input voltage should be between VIN(MIN) and VIN(MAX)." sqref="F15" xr:uid="{D4C29296-F988-4D6E-97BE-4ADE850F0524}">
      <formula1>F14</formula1>
    </dataValidation>
    <dataValidation type="decimal" operator="greaterThanOrEqual" allowBlank="1" showInputMessage="1" showErrorMessage="1" errorTitle="Load Capacitance Violation" error="A minimum load capacitance of 10 uF is required to help prevent disruptions at turn off." sqref="F18" xr:uid="{80CBD581-BAC8-4520-BF08-1F9C5E06DEFB}">
      <formula1>10</formula1>
    </dataValidation>
    <dataValidation type="decimal" operator="greaterThan" allowBlank="1" showInputMessage="1" showErrorMessage="1" errorTitle="Maximum Load Current Violation" error="Maximum Load Current must be greater than 0." sqref="F17" xr:uid="{BC79790D-5E08-4157-A796-5D58D250488B}">
      <formula1>0</formula1>
    </dataValidation>
    <dataValidation type="list" allowBlank="1" showInputMessage="1" showErrorMessage="1" sqref="F80" xr:uid="{B91EE197-1F22-436E-B4B3-D232C4F05CC4}">
      <formula1>$AN$80:$AN$81</formula1>
    </dataValidation>
    <dataValidation type="whole" allowBlank="1" showInputMessage="1" showErrorMessage="1" sqref="F50" xr:uid="{493C45E7-81B6-4716-BC2E-A8B5EED944FF}">
      <formula1>1</formula1>
      <formula2>6</formula2>
    </dataValidation>
    <dataValidation type="decimal" operator="greaterThan" allowBlank="1" showInputMessage="1" showErrorMessage="1" sqref="F47" xr:uid="{F48E3E69-F73B-4554-9367-F46959297924}">
      <formula1>0</formula1>
    </dataValidation>
    <dataValidation type="decimal" allowBlank="1" showInputMessage="1" showErrorMessage="1" sqref="F52" xr:uid="{79F24F17-B53D-43D1-A97F-E611B6743AEF}">
      <formula1>0</formula1>
      <formula2>200</formula2>
    </dataValidation>
    <dataValidation type="decimal" allowBlank="1" showInputMessage="1" showErrorMessage="1" sqref="F53:F57" xr:uid="{0873394C-7115-4480-9997-37F9596F439A}">
      <formula1>0.001</formula1>
      <formula2>400</formula2>
    </dataValidation>
    <dataValidation allowBlank="1" showInputMessage="1" showErrorMessage="1" errorTitle="Ambient Temperature Violation" error="The Ambient Temperature must be between -40C and 125C" sqref="F20:F21" xr:uid="{1BE4F319-1D47-4913-A3D8-DDBE4369042C}"/>
    <dataValidation type="list" allowBlank="1" showInputMessage="1" showErrorMessage="1" sqref="F69" xr:uid="{47D7C17A-3C50-407D-94FF-98880B3CF4E1}">
      <formula1>$AN$28:$AN$29</formula1>
    </dataValidation>
    <dataValidation type="list" allowBlank="1" showInputMessage="1" showErrorMessage="1" sqref="F67" xr:uid="{FAB5A55E-CAAD-4006-816C-BFDFC66697D8}">
      <formula1>$AN$68:$AN$69</formula1>
    </dataValidation>
    <dataValidation type="decimal" operator="greaterThanOrEqual" allowBlank="1" showInputMessage="1" showErrorMessage="1" errorTitle="Maximum System Voltage Violation" error="The maximum system voltage must be greater than or equakl to VIN(NOM)." sqref="F16" xr:uid="{39063FB7-479A-4BC6-B0E9-99BB46FD7BC4}">
      <formula1>F15</formula1>
    </dataValidation>
  </dataValidations>
  <hyperlinks>
    <hyperlink ref="B57" r:id="rId1" display="Step 3: MOSFET Selection" xr:uid="{135122C6-A7BE-4734-A857-A2DD88B53FA5}"/>
    <hyperlink ref="B75" r:id="rId2" display="Step 4: Startup" xr:uid="{AEB1CB40-CAFB-4105-BD68-1711E4EEE4CC}"/>
    <hyperlink ref="B25:B26" r:id="rId3" display="Steps 1 &amp; 2: Operating Conditions, Current Limit, &amp; Circuit Breaker" xr:uid="{7D083D7E-5A75-438B-9C33-32A19B5C4F0E}"/>
    <hyperlink ref="B35:B36" r:id="rId4" display="Steps 1 &amp; 2: Operating Conditions, Current Limit, &amp; Circuit Breaker" xr:uid="{568D23BB-ED32-4438-BD21-898D81F1732B}"/>
  </hyperlinks>
  <pageMargins left="0.17" right="0.17" top="0.55000000000000004" bottom="0.92" header="0.48" footer="0.2"/>
  <pageSetup scale="62" fitToHeight="2" orientation="portrait" r:id="rId5"/>
  <headerFooter alignWithMargins="0"/>
  <drawing r:id="rId6"/>
  <legacyDrawing r:id="rId7"/>
  <extLst>
    <ext xmlns:x14="http://schemas.microsoft.com/office/spreadsheetml/2009/9/main" uri="{CCE6A557-97BC-4b89-ADB6-D9C93CAAB3DF}">
      <x14:dataValidations xmlns:xm="http://schemas.microsoft.com/office/excel/2006/main" xWindow="815" yWindow="414" count="6">
        <x14:dataValidation type="decimal" allowBlank="1" showInputMessage="1" showErrorMessage="1" xr:uid="{04916858-533A-429F-8062-20A132A3FE0F}">
          <x14:formula1>
            <xm:f>0</xm:f>
          </x14:formula1>
          <x14:formula2>
            <xm:f>Equations!F100</xm:f>
          </x14:formula2>
          <xm:sqref>F66</xm:sqref>
        </x14:dataValidation>
        <x14:dataValidation type="decimal" allowBlank="1" showInputMessage="1" showErrorMessage="1" errorTitle="Ambient Temperature Violation" error="The Ambient Temperature must be between -40C and 125C" xr:uid="{9E71AF1B-E5A2-4222-B739-7CE551E69EF1}">
          <x14:formula1>
            <xm:f>'Device Parmaters'!C5</xm:f>
          </x14:formula1>
          <x14:formula2>
            <xm:f>'Device Parmaters'!E5</xm:f>
          </x14:formula2>
          <xm:sqref>F27</xm:sqref>
        </x14:dataValidation>
        <x14:dataValidation type="decimal" allowBlank="1" showInputMessage="1" showErrorMessage="1" errorTitle="Ambient Temperature Violation" error="The Ambient Temperature must be between -40C and 125C" xr:uid="{AF274702-5C77-4752-9A07-8022A83C951D}">
          <x14:formula1>
            <xm:f>'Device Parmaters'!C6</xm:f>
          </x14:formula1>
          <x14:formula2>
            <xm:f>'Device Parmaters'!E6</xm:f>
          </x14:formula2>
          <xm:sqref>F26</xm:sqref>
        </x14:dataValidation>
        <x14:dataValidation type="decimal" allowBlank="1" showInputMessage="1" showErrorMessage="1" errorTitle="Ambient Temperature Violation" error="The Ambient Temperature must be between -40C and 125C" xr:uid="{CC63A3A7-E4E4-4849-96C2-DE8B6844A0C6}">
          <x14:formula1>
            <xm:f>'Device Parmaters'!C4</xm:f>
          </x14:formula1>
          <x14:formula2>
            <xm:f>'Device Parmaters'!E4</xm:f>
          </x14:formula2>
          <xm:sqref>F19</xm:sqref>
        </x14:dataValidation>
        <x14:dataValidation type="decimal" operator="greaterThanOrEqual" allowBlank="1" showInputMessage="1" showErrorMessage="1" errorTitle="Minimum System Voltage Violation" error="The minimum system voltage must be at least 2.9V." xr:uid="{2813D7C8-CE1C-4D0B-82D3-2CB04A14806A}">
          <x14:formula1>
            <xm:f>'Device Parmaters'!C5</xm:f>
          </x14:formula1>
          <xm:sqref>F14</xm:sqref>
        </x14:dataValidation>
        <x14:dataValidation type="decimal" errorTitle="Ambient Temperature Violation" error="The Ambient Temperature must be between -40C and 125C" xr:uid="{7A0E6337-54DB-464F-BEC8-F7C2E767A04E}">
          <x14:formula1>
            <xm:f>'Device Parmaters'!C5</xm:f>
          </x14:formula1>
          <x14:formula2>
            <xm:f>'Device Parmaters'!E5</xm:f>
          </x14:formula2>
          <xm:sqref>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Q65"/>
  <sheetViews>
    <sheetView workbookViewId="0">
      <selection activeCell="E5" sqref="E5"/>
    </sheetView>
  </sheetViews>
  <sheetFormatPr defaultRowHeight="12.5" x14ac:dyDescent="0.25"/>
  <cols>
    <col min="1" max="1" width="9.453125" customWidth="1"/>
    <col min="2" max="2" width="24.36328125" customWidth="1"/>
    <col min="12" max="12" width="13.54296875" customWidth="1"/>
  </cols>
  <sheetData>
    <row r="2" spans="1:17" x14ac:dyDescent="0.25">
      <c r="A2" s="19"/>
      <c r="C2" s="19" t="s">
        <v>53</v>
      </c>
      <c r="D2" s="19" t="s">
        <v>54</v>
      </c>
      <c r="E2" s="19" t="s">
        <v>55</v>
      </c>
      <c r="F2" s="19" t="s">
        <v>121</v>
      </c>
    </row>
    <row r="3" spans="1:17" ht="13" x14ac:dyDescent="0.3">
      <c r="A3" s="14" t="s">
        <v>118</v>
      </c>
      <c r="C3" s="19"/>
      <c r="D3" s="19"/>
      <c r="E3" s="19"/>
    </row>
    <row r="4" spans="1:17" ht="13" x14ac:dyDescent="0.3">
      <c r="A4" s="14"/>
      <c r="B4" s="19" t="s">
        <v>129</v>
      </c>
      <c r="C4" s="40">
        <v>-40</v>
      </c>
      <c r="D4" s="40"/>
      <c r="E4" s="40">
        <v>125</v>
      </c>
    </row>
    <row r="5" spans="1:17" x14ac:dyDescent="0.25">
      <c r="B5" s="20" t="s">
        <v>119</v>
      </c>
      <c r="C5" s="1">
        <v>3</v>
      </c>
      <c r="D5" s="1"/>
      <c r="E5" s="1">
        <v>65</v>
      </c>
      <c r="F5" s="19" t="s">
        <v>68</v>
      </c>
      <c r="J5" s="2"/>
    </row>
    <row r="6" spans="1:17" ht="16.5" customHeight="1" x14ac:dyDescent="0.3">
      <c r="A6" s="14" t="s">
        <v>96</v>
      </c>
      <c r="B6" s="20"/>
      <c r="C6" s="1"/>
      <c r="D6" s="1"/>
      <c r="E6" s="1"/>
      <c r="J6" s="2"/>
    </row>
    <row r="7" spans="1:17" x14ac:dyDescent="0.25">
      <c r="B7" s="20" t="s">
        <v>380</v>
      </c>
      <c r="C7" s="1">
        <v>18</v>
      </c>
      <c r="D7" s="1">
        <v>20</v>
      </c>
      <c r="E7" s="1">
        <v>22</v>
      </c>
      <c r="F7" t="s">
        <v>132</v>
      </c>
      <c r="J7" s="2"/>
    </row>
    <row r="8" spans="1:17" x14ac:dyDescent="0.25">
      <c r="B8" s="20" t="s">
        <v>381</v>
      </c>
      <c r="C8" s="1">
        <f>D8*0.9</f>
        <v>27</v>
      </c>
      <c r="D8" s="1">
        <f>Equations!I32</f>
        <v>30</v>
      </c>
      <c r="E8" s="1">
        <f>D8*1.1</f>
        <v>33</v>
      </c>
      <c r="F8" t="s">
        <v>132</v>
      </c>
      <c r="J8" s="20"/>
    </row>
    <row r="9" spans="1:17" x14ac:dyDescent="0.25">
      <c r="B9" s="20" t="s">
        <v>120</v>
      </c>
      <c r="C9" s="1"/>
      <c r="D9" s="1">
        <v>10</v>
      </c>
      <c r="E9" s="1"/>
      <c r="F9" s="19" t="s">
        <v>122</v>
      </c>
      <c r="J9" s="20"/>
    </row>
    <row r="10" spans="1:17" x14ac:dyDescent="0.25">
      <c r="C10" s="1"/>
      <c r="D10" s="1"/>
      <c r="E10" s="1"/>
    </row>
    <row r="11" spans="1:17" ht="13" x14ac:dyDescent="0.3">
      <c r="A11" s="14" t="s">
        <v>131</v>
      </c>
      <c r="C11" s="1"/>
      <c r="D11" s="1"/>
      <c r="E11" s="1"/>
    </row>
    <row r="12" spans="1:17" x14ac:dyDescent="0.25">
      <c r="B12" s="19" t="s">
        <v>205</v>
      </c>
      <c r="C12" s="1"/>
      <c r="D12" s="1"/>
      <c r="E12" s="1">
        <v>2.0999999999999999E-3</v>
      </c>
      <c r="F12" s="19" t="s">
        <v>68</v>
      </c>
    </row>
    <row r="13" spans="1:17" x14ac:dyDescent="0.25">
      <c r="B13" s="19" t="s">
        <v>206</v>
      </c>
      <c r="C13" s="1"/>
      <c r="D13" s="1"/>
      <c r="E13" s="1">
        <v>4.0000000000000001E-3</v>
      </c>
      <c r="F13" s="19" t="s">
        <v>68</v>
      </c>
      <c r="G13" s="19" t="s">
        <v>207</v>
      </c>
    </row>
    <row r="14" spans="1:17" x14ac:dyDescent="0.25">
      <c r="B14" s="19" t="s">
        <v>208</v>
      </c>
      <c r="C14" s="1"/>
      <c r="D14" s="1"/>
      <c r="E14" s="74">
        <v>194000</v>
      </c>
      <c r="F14" s="19"/>
    </row>
    <row r="15" spans="1:17" x14ac:dyDescent="0.25">
      <c r="B15" s="19"/>
      <c r="C15" s="1"/>
      <c r="D15" s="1"/>
      <c r="E15" s="74"/>
      <c r="F15" s="19"/>
    </row>
    <row r="16" spans="1:17" x14ac:dyDescent="0.25">
      <c r="B16" s="19" t="s">
        <v>217</v>
      </c>
      <c r="C16" s="73" t="s">
        <v>209</v>
      </c>
      <c r="D16" s="1"/>
      <c r="E16" s="1"/>
      <c r="F16" s="19"/>
      <c r="I16" s="19" t="s">
        <v>211</v>
      </c>
      <c r="J16" s="19" t="s">
        <v>52</v>
      </c>
      <c r="K16" s="19" t="s">
        <v>212</v>
      </c>
      <c r="L16" s="19" t="s">
        <v>214</v>
      </c>
      <c r="M16" s="19" t="s">
        <v>213</v>
      </c>
      <c r="N16" s="19" t="s">
        <v>215</v>
      </c>
      <c r="P16" s="19" t="s">
        <v>213</v>
      </c>
      <c r="Q16" s="19" t="s">
        <v>212</v>
      </c>
    </row>
    <row r="17" spans="1:17" x14ac:dyDescent="0.25">
      <c r="B17" s="19"/>
      <c r="C17" s="73" t="s">
        <v>210</v>
      </c>
      <c r="D17" s="1"/>
      <c r="E17" s="1"/>
      <c r="F17" s="19"/>
      <c r="J17">
        <v>12</v>
      </c>
      <c r="K17">
        <v>25</v>
      </c>
      <c r="L17">
        <f>0.5</f>
        <v>0.5</v>
      </c>
      <c r="M17" s="76">
        <f>1/(0.001*L17)*(K17*1000/$E$14+J17*$E$12)</f>
        <v>308.1319587628866</v>
      </c>
      <c r="N17" s="75">
        <f>K17*1000/$E$14/J17+$E$12</f>
        <v>1.2838831615120273E-2</v>
      </c>
      <c r="P17">
        <v>82</v>
      </c>
      <c r="Q17">
        <f>E14*(P17*L17*0.001-J17*E12)</f>
        <v>3065.2000000000003</v>
      </c>
    </row>
    <row r="18" spans="1:17" x14ac:dyDescent="0.25">
      <c r="B18" s="19"/>
      <c r="C18" s="73" t="s">
        <v>216</v>
      </c>
      <c r="D18" s="1"/>
      <c r="E18" s="1"/>
      <c r="F18" s="19"/>
      <c r="J18">
        <v>12</v>
      </c>
      <c r="K18">
        <v>5</v>
      </c>
      <c r="L18">
        <f>0.5</f>
        <v>0.5</v>
      </c>
      <c r="M18" s="76">
        <f>1/(0.001*L18)*(K18*1000/$E$14+J18*$E$12)</f>
        <v>101.94639175257731</v>
      </c>
      <c r="N18" s="75">
        <f>K18*1000/$E$14/J18+$E$12*0.001</f>
        <v>2.1498663230240548E-3</v>
      </c>
    </row>
    <row r="19" spans="1:17" x14ac:dyDescent="0.25">
      <c r="B19" s="19" t="s">
        <v>218</v>
      </c>
      <c r="E19" s="1"/>
      <c r="F19" s="19"/>
      <c r="I19" s="19" t="s">
        <v>220</v>
      </c>
      <c r="M19" s="76"/>
      <c r="N19" s="75"/>
    </row>
    <row r="20" spans="1:17" x14ac:dyDescent="0.25">
      <c r="B20" s="19"/>
      <c r="E20" s="1"/>
      <c r="F20" s="19"/>
      <c r="I20" s="19"/>
      <c r="M20" s="76"/>
      <c r="N20" s="75"/>
    </row>
    <row r="21" spans="1:17" ht="13" x14ac:dyDescent="0.3">
      <c r="A21" s="14" t="s">
        <v>385</v>
      </c>
      <c r="B21" s="19"/>
      <c r="E21" s="1"/>
      <c r="F21" s="19"/>
      <c r="I21" s="19"/>
      <c r="M21" s="76"/>
      <c r="N21" s="75"/>
    </row>
    <row r="22" spans="1:17" x14ac:dyDescent="0.25">
      <c r="B22" s="19" t="s">
        <v>386</v>
      </c>
      <c r="D22">
        <v>79</v>
      </c>
      <c r="E22" s="1"/>
      <c r="F22" s="19" t="s">
        <v>122</v>
      </c>
      <c r="I22" s="19"/>
      <c r="M22" s="76"/>
      <c r="N22" s="75"/>
    </row>
    <row r="23" spans="1:17" x14ac:dyDescent="0.25">
      <c r="B23" s="19" t="s">
        <v>387</v>
      </c>
      <c r="D23">
        <v>2.5</v>
      </c>
      <c r="E23" s="1"/>
      <c r="F23" s="19" t="s">
        <v>122</v>
      </c>
      <c r="I23" s="19"/>
      <c r="M23" s="76"/>
      <c r="N23" s="75"/>
    </row>
    <row r="24" spans="1:17" x14ac:dyDescent="0.25">
      <c r="B24" s="20" t="s">
        <v>388</v>
      </c>
      <c r="D24">
        <v>1.2</v>
      </c>
      <c r="E24" s="1"/>
      <c r="F24" s="19" t="s">
        <v>68</v>
      </c>
      <c r="I24" s="19"/>
      <c r="M24" s="76"/>
      <c r="N24" s="75"/>
    </row>
    <row r="25" spans="1:17" x14ac:dyDescent="0.25">
      <c r="B25" s="19"/>
      <c r="E25" s="1"/>
      <c r="F25" s="19"/>
      <c r="I25" s="19"/>
      <c r="M25" s="76"/>
      <c r="N25" s="75"/>
    </row>
    <row r="26" spans="1:17" ht="13" x14ac:dyDescent="0.3">
      <c r="A26" s="14" t="s">
        <v>124</v>
      </c>
      <c r="C26" s="1"/>
      <c r="D26" s="1"/>
      <c r="E26" s="1"/>
    </row>
    <row r="27" spans="1:17" x14ac:dyDescent="0.25">
      <c r="B27" s="20" t="s">
        <v>125</v>
      </c>
      <c r="C27" s="1">
        <v>1.54</v>
      </c>
      <c r="D27" s="1">
        <v>1.7</v>
      </c>
      <c r="E27" s="1">
        <v>1.85</v>
      </c>
      <c r="F27" s="19" t="s">
        <v>68</v>
      </c>
    </row>
    <row r="28" spans="1:17" x14ac:dyDescent="0.25">
      <c r="B28" s="20" t="s">
        <v>126</v>
      </c>
      <c r="C28" s="1">
        <v>-3</v>
      </c>
      <c r="D28" s="1">
        <v>-5.5</v>
      </c>
      <c r="E28" s="1">
        <v>-8</v>
      </c>
      <c r="F28" s="19" t="s">
        <v>122</v>
      </c>
    </row>
    <row r="29" spans="1:17" x14ac:dyDescent="0.25">
      <c r="B29" s="20" t="s">
        <v>292</v>
      </c>
      <c r="C29" s="1"/>
      <c r="D29" s="1"/>
      <c r="E29" s="1"/>
      <c r="F29" s="19"/>
    </row>
    <row r="30" spans="1:17" x14ac:dyDescent="0.25">
      <c r="B30" s="20" t="s">
        <v>127</v>
      </c>
      <c r="C30" s="1">
        <v>120</v>
      </c>
      <c r="D30" s="1">
        <v>90</v>
      </c>
      <c r="E30" s="1">
        <v>60</v>
      </c>
      <c r="F30" s="19" t="s">
        <v>122</v>
      </c>
    </row>
    <row r="31" spans="1:17" x14ac:dyDescent="0.25">
      <c r="B31" s="20" t="s">
        <v>239</v>
      </c>
      <c r="C31" s="1"/>
      <c r="D31" s="1">
        <f>SQRT(0.66^2+ ((120-90)/90)^2+ 0.1^2)</f>
        <v>0.74613076006227697</v>
      </c>
      <c r="E31" s="1"/>
      <c r="F31" s="19"/>
      <c r="G31" s="19" t="s">
        <v>238</v>
      </c>
    </row>
    <row r="32" spans="1:17" x14ac:dyDescent="0.25">
      <c r="B32" s="20" t="s">
        <v>236</v>
      </c>
      <c r="C32" s="1"/>
      <c r="D32" s="1">
        <v>0.75</v>
      </c>
      <c r="E32" s="1"/>
      <c r="F32" s="19"/>
      <c r="G32" s="19" t="s">
        <v>237</v>
      </c>
    </row>
    <row r="33" spans="1:5" x14ac:dyDescent="0.25">
      <c r="B33" s="2"/>
      <c r="C33" s="1"/>
      <c r="D33" s="1"/>
      <c r="E33" s="1"/>
    </row>
    <row r="34" spans="1:5" ht="13" x14ac:dyDescent="0.3">
      <c r="A34" s="14" t="s">
        <v>160</v>
      </c>
      <c r="B34" s="2"/>
      <c r="C34" s="1"/>
      <c r="D34" s="1"/>
      <c r="E34" s="1"/>
    </row>
    <row r="35" spans="1:5" x14ac:dyDescent="0.25">
      <c r="B35" s="20" t="s">
        <v>162</v>
      </c>
      <c r="C35" s="1"/>
      <c r="D35" s="1">
        <f>'Design Calculator'!F25</f>
        <v>55</v>
      </c>
      <c r="E35" s="1"/>
    </row>
    <row r="36" spans="1:5" x14ac:dyDescent="0.25">
      <c r="B36" s="2"/>
      <c r="C36" s="1"/>
      <c r="D36" s="1"/>
      <c r="E36" s="1"/>
    </row>
    <row r="37" spans="1:5" ht="13" x14ac:dyDescent="0.3">
      <c r="A37" s="14" t="s">
        <v>123</v>
      </c>
      <c r="B37" s="2"/>
      <c r="C37" s="1"/>
      <c r="D37" s="1"/>
      <c r="E37" s="1"/>
    </row>
    <row r="38" spans="1:5" x14ac:dyDescent="0.25">
      <c r="B38" s="20" t="s">
        <v>173</v>
      </c>
      <c r="C38" s="1">
        <v>35</v>
      </c>
      <c r="D38" s="1">
        <v>45</v>
      </c>
      <c r="E38" s="1">
        <v>55</v>
      </c>
    </row>
    <row r="39" spans="1:5" x14ac:dyDescent="0.25">
      <c r="B39" s="20" t="s">
        <v>174</v>
      </c>
      <c r="C39" s="1">
        <v>1.6</v>
      </c>
      <c r="D39" s="1">
        <v>1.8</v>
      </c>
      <c r="E39" s="1">
        <v>2</v>
      </c>
    </row>
    <row r="40" spans="1:5" x14ac:dyDescent="0.25">
      <c r="B40" s="20" t="s">
        <v>175</v>
      </c>
      <c r="C40" s="1">
        <v>70</v>
      </c>
      <c r="D40" s="1">
        <v>90</v>
      </c>
      <c r="E40" s="1">
        <v>110</v>
      </c>
    </row>
    <row r="41" spans="1:5" x14ac:dyDescent="0.25">
      <c r="B41" s="20" t="s">
        <v>176</v>
      </c>
      <c r="C41" s="1">
        <v>3.1</v>
      </c>
      <c r="D41" s="1">
        <v>3.6</v>
      </c>
      <c r="E41" s="1">
        <v>4</v>
      </c>
    </row>
    <row r="42" spans="1:5" x14ac:dyDescent="0.25">
      <c r="B42" s="2"/>
      <c r="C42" s="1"/>
      <c r="D42" s="1"/>
      <c r="E42" s="1"/>
    </row>
    <row r="43" spans="1:5" ht="13" x14ac:dyDescent="0.3">
      <c r="A43" s="14" t="s">
        <v>180</v>
      </c>
      <c r="B43" s="2"/>
    </row>
    <row r="44" spans="1:5" x14ac:dyDescent="0.25">
      <c r="B44" s="20" t="s">
        <v>125</v>
      </c>
      <c r="C44">
        <v>1.54</v>
      </c>
      <c r="D44">
        <v>1.7</v>
      </c>
      <c r="E44">
        <v>1.85</v>
      </c>
    </row>
    <row r="45" spans="1:5" x14ac:dyDescent="0.25">
      <c r="B45" s="20" t="s">
        <v>181</v>
      </c>
      <c r="C45">
        <v>0.85</v>
      </c>
      <c r="D45">
        <v>1</v>
      </c>
      <c r="E45">
        <v>1.07</v>
      </c>
    </row>
    <row r="46" spans="1:5" x14ac:dyDescent="0.25">
      <c r="B46" s="20" t="s">
        <v>182</v>
      </c>
      <c r="D46">
        <v>0.3</v>
      </c>
    </row>
    <row r="47" spans="1:5" x14ac:dyDescent="0.25">
      <c r="B47" s="20" t="s">
        <v>183</v>
      </c>
      <c r="D47">
        <v>0.3</v>
      </c>
    </row>
    <row r="48" spans="1:5" x14ac:dyDescent="0.25">
      <c r="B48" s="20" t="s">
        <v>184</v>
      </c>
      <c r="C48">
        <v>3</v>
      </c>
      <c r="D48">
        <v>5.5</v>
      </c>
      <c r="E48">
        <v>8</v>
      </c>
    </row>
    <row r="49" spans="1:8" x14ac:dyDescent="0.25">
      <c r="B49" s="20" t="s">
        <v>185</v>
      </c>
      <c r="C49">
        <v>1.4</v>
      </c>
      <c r="D49">
        <v>1.9</v>
      </c>
      <c r="E49">
        <v>2.4</v>
      </c>
    </row>
    <row r="50" spans="1:8" x14ac:dyDescent="0.25">
      <c r="B50" s="20" t="s">
        <v>127</v>
      </c>
      <c r="C50">
        <v>60</v>
      </c>
      <c r="D50">
        <v>90</v>
      </c>
      <c r="E50">
        <v>120</v>
      </c>
    </row>
    <row r="51" spans="1:8" x14ac:dyDescent="0.25">
      <c r="B51" s="20" t="s">
        <v>186</v>
      </c>
      <c r="D51">
        <v>2.8</v>
      </c>
    </row>
    <row r="53" spans="1:8" ht="13" x14ac:dyDescent="0.3">
      <c r="A53" s="14" t="s">
        <v>187</v>
      </c>
    </row>
    <row r="54" spans="1:8" x14ac:dyDescent="0.25">
      <c r="B54" s="20" t="s">
        <v>188</v>
      </c>
      <c r="D54">
        <v>25</v>
      </c>
      <c r="E54">
        <v>60</v>
      </c>
      <c r="F54" s="19" t="s">
        <v>132</v>
      </c>
      <c r="G54">
        <v>2</v>
      </c>
      <c r="H54" s="19" t="s">
        <v>189</v>
      </c>
    </row>
    <row r="55" spans="1:8" ht="13" x14ac:dyDescent="0.3">
      <c r="A55" s="14" t="s">
        <v>190</v>
      </c>
    </row>
    <row r="56" spans="1:8" x14ac:dyDescent="0.25">
      <c r="B56" s="19" t="s">
        <v>191</v>
      </c>
      <c r="C56">
        <v>1.141</v>
      </c>
      <c r="D56">
        <v>1.167</v>
      </c>
      <c r="E56">
        <v>1.19</v>
      </c>
      <c r="F56" s="19" t="s">
        <v>68</v>
      </c>
    </row>
    <row r="57" spans="1:8" x14ac:dyDescent="0.25">
      <c r="B57" s="19" t="s">
        <v>192</v>
      </c>
      <c r="C57">
        <v>18</v>
      </c>
      <c r="D57">
        <v>24</v>
      </c>
      <c r="E57">
        <v>31</v>
      </c>
      <c r="F57" s="19" t="s">
        <v>122</v>
      </c>
    </row>
    <row r="59" spans="1:8" ht="13" x14ac:dyDescent="0.3">
      <c r="A59" s="14" t="s">
        <v>394</v>
      </c>
    </row>
    <row r="60" spans="1:8" ht="13" x14ac:dyDescent="0.3">
      <c r="A60" s="14"/>
      <c r="B60" s="19" t="s">
        <v>397</v>
      </c>
      <c r="D60">
        <v>0.6</v>
      </c>
      <c r="F60" s="19" t="s">
        <v>68</v>
      </c>
    </row>
    <row r="61" spans="1:8" x14ac:dyDescent="0.25">
      <c r="B61" s="19" t="s">
        <v>395</v>
      </c>
      <c r="D61">
        <v>0.55000000000000004</v>
      </c>
      <c r="F61" s="19" t="s">
        <v>68</v>
      </c>
    </row>
    <row r="62" spans="1:8" x14ac:dyDescent="0.25">
      <c r="B62" s="19" t="s">
        <v>398</v>
      </c>
      <c r="D62">
        <v>52</v>
      </c>
      <c r="F62" s="19" t="s">
        <v>399</v>
      </c>
    </row>
    <row r="63" spans="1:8" x14ac:dyDescent="0.25">
      <c r="B63" s="19" t="s">
        <v>396</v>
      </c>
      <c r="D63">
        <v>0.6</v>
      </c>
      <c r="F63" s="19" t="s">
        <v>68</v>
      </c>
    </row>
    <row r="64" spans="1:8" x14ac:dyDescent="0.25">
      <c r="B64" s="19" t="s">
        <v>400</v>
      </c>
      <c r="D64">
        <v>0.55000000000000004</v>
      </c>
      <c r="F64" s="19" t="s">
        <v>68</v>
      </c>
    </row>
    <row r="65" spans="2:6" x14ac:dyDescent="0.25">
      <c r="B65" s="19" t="s">
        <v>401</v>
      </c>
      <c r="D65">
        <v>53</v>
      </c>
      <c r="F65" s="19" t="s">
        <v>399</v>
      </c>
    </row>
  </sheetData>
  <phoneticPr fontId="5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3:Y394"/>
  <sheetViews>
    <sheetView topLeftCell="E299" workbookViewId="0">
      <selection activeCell="V305" sqref="V305"/>
    </sheetView>
  </sheetViews>
  <sheetFormatPr defaultRowHeight="12.5" x14ac:dyDescent="0.25"/>
  <cols>
    <col min="6" max="6" width="12.453125" bestFit="1" customWidth="1"/>
    <col min="8" max="8" width="14" customWidth="1"/>
    <col min="9" max="9" width="12.6328125" customWidth="1"/>
    <col min="10" max="10" width="11.6328125" customWidth="1"/>
  </cols>
  <sheetData>
    <row r="13" spans="1:6" ht="13" x14ac:dyDescent="0.3">
      <c r="A13" s="14" t="s">
        <v>96</v>
      </c>
    </row>
    <row r="14" spans="1:6" x14ac:dyDescent="0.25">
      <c r="E14" s="2"/>
    </row>
    <row r="15" spans="1:6" x14ac:dyDescent="0.25">
      <c r="D15" t="s">
        <v>165</v>
      </c>
      <c r="E15">
        <f>IF('Design Calculator'!F41=0,'Device Parmaters'!C7,'Device Parmaters'!C8)</f>
        <v>27</v>
      </c>
      <c r="F15" s="48" t="s">
        <v>132</v>
      </c>
    </row>
    <row r="16" spans="1:6" x14ac:dyDescent="0.25">
      <c r="D16" t="s">
        <v>164</v>
      </c>
      <c r="E16">
        <f>IF('Design Calculator'!F41=0,'Device Parmaters'!D7,'Device Parmaters'!D8)</f>
        <v>30</v>
      </c>
      <c r="F16" s="48" t="s">
        <v>132</v>
      </c>
    </row>
    <row r="17" spans="1:12" x14ac:dyDescent="0.25">
      <c r="D17" t="s">
        <v>163</v>
      </c>
      <c r="E17">
        <f>IF('Design Calculator'!F41=0,'Device Parmaters'!E7,'Device Parmaters'!E8)</f>
        <v>33</v>
      </c>
      <c r="F17" s="48" t="s">
        <v>132</v>
      </c>
    </row>
    <row r="18" spans="1:12" x14ac:dyDescent="0.25">
      <c r="E18" s="2"/>
    </row>
    <row r="19" spans="1:12" ht="13" x14ac:dyDescent="0.3">
      <c r="A19" s="14"/>
      <c r="E19" s="2"/>
    </row>
    <row r="20" spans="1:12" x14ac:dyDescent="0.25">
      <c r="E20" s="2" t="s">
        <v>0</v>
      </c>
      <c r="F20">
        <f>CLMIN_Threshold/('Design Calculator'!F17)</f>
        <v>0.54</v>
      </c>
    </row>
    <row r="21" spans="1:12" x14ac:dyDescent="0.25">
      <c r="E21" s="20" t="s">
        <v>166</v>
      </c>
      <c r="F21" s="19" t="e">
        <f>IF(Rs&gt;RsMAX,10,"NA")</f>
        <v>#REF!</v>
      </c>
    </row>
    <row r="22" spans="1:12" x14ac:dyDescent="0.25">
      <c r="E22" s="20" t="s">
        <v>167</v>
      </c>
      <c r="F22" t="e">
        <f>IF(Rs&gt;RsMAX,(((IOUTMAX*Rs)/CLMIN_Threshold)-1)*F21,"NA")</f>
        <v>#REF!</v>
      </c>
    </row>
    <row r="23" spans="1:12" x14ac:dyDescent="0.25">
      <c r="E23" s="20" t="s">
        <v>168</v>
      </c>
      <c r="F23">
        <f>Rs</f>
        <v>1</v>
      </c>
      <c r="H23" s="2" t="s">
        <v>2</v>
      </c>
      <c r="I23">
        <f>12*'Design Calculator'!F30/(Rs*'Design Calculator'!F32)</f>
        <v>15</v>
      </c>
    </row>
    <row r="24" spans="1:12" x14ac:dyDescent="0.25">
      <c r="E24" s="2" t="s">
        <v>1</v>
      </c>
      <c r="F24" s="3">
        <f>CLMIN_Threshold/RsEFF</f>
        <v>27</v>
      </c>
      <c r="G24" s="3"/>
    </row>
    <row r="25" spans="1:12" x14ac:dyDescent="0.25">
      <c r="E25" s="2" t="s">
        <v>2</v>
      </c>
      <c r="F25">
        <f>CLNOM_Threshold/RsEFF</f>
        <v>30</v>
      </c>
      <c r="H25" s="20" t="s">
        <v>411</v>
      </c>
      <c r="I25">
        <f>(VINNOM*'Design Calculator'!F30)/(Rs*RLIM)</f>
        <v>62.5</v>
      </c>
    </row>
    <row r="26" spans="1:12" x14ac:dyDescent="0.25">
      <c r="E26" s="2" t="s">
        <v>3</v>
      </c>
      <c r="F26">
        <f>CLMAX_Threshold/RsEFF</f>
        <v>33</v>
      </c>
    </row>
    <row r="27" spans="1:12" x14ac:dyDescent="0.25">
      <c r="E27" s="2" t="s">
        <v>4</v>
      </c>
      <c r="F27">
        <f>F26^2*'Design Calculator'!F29</f>
        <v>1089</v>
      </c>
    </row>
    <row r="28" spans="1:12" x14ac:dyDescent="0.25">
      <c r="E28" s="20" t="s">
        <v>382</v>
      </c>
      <c r="F28" s="19">
        <f>(12*'Design Calculator'!F30)/(Rs*IOUTMAX)</f>
        <v>40</v>
      </c>
    </row>
    <row r="29" spans="1:12" x14ac:dyDescent="0.25">
      <c r="E29" s="20" t="s">
        <v>383</v>
      </c>
      <c r="F29" s="19">
        <f>'Design Calculator'!F20*'Design Calculator'!F30/(0.9*Rs*IOUTMAX)</f>
        <v>10</v>
      </c>
      <c r="H29" s="20" t="s">
        <v>413</v>
      </c>
      <c r="I29" s="3">
        <f>0.9*Rsense*IOUTMAX*'Design Calculator'!F38/'Design Calculator'!F30</f>
        <v>2.7</v>
      </c>
      <c r="K29" s="20" t="s">
        <v>428</v>
      </c>
      <c r="L29">
        <f>5*'Design Calculator'!F30/(0.9*Rs*IOUTMAX)</f>
        <v>18.518518518518519</v>
      </c>
    </row>
    <row r="30" spans="1:12" x14ac:dyDescent="0.25">
      <c r="E30" s="20" t="s">
        <v>384</v>
      </c>
      <c r="F30" s="19">
        <f>'Design Calculator'!F21*77.5/1.2</f>
        <v>64.583333333333343</v>
      </c>
      <c r="H30" s="20" t="s">
        <v>444</v>
      </c>
      <c r="I30" s="3">
        <f>'Design Calculator'!F43</f>
        <v>68</v>
      </c>
      <c r="K30" s="20" t="s">
        <v>426</v>
      </c>
      <c r="L30" s="3">
        <f>'Design Calculator'!F44</f>
        <v>68</v>
      </c>
    </row>
    <row r="31" spans="1:12" x14ac:dyDescent="0.25">
      <c r="E31" s="20" t="s">
        <v>390</v>
      </c>
      <c r="F31" s="19">
        <f>22.7*L30</f>
        <v>1543.6</v>
      </c>
      <c r="H31" s="20" t="s">
        <v>427</v>
      </c>
      <c r="I31">
        <f>1.2*L30/77.5</f>
        <v>1.0529032258064515</v>
      </c>
    </row>
    <row r="32" spans="1:12" x14ac:dyDescent="0.25">
      <c r="E32" s="20" t="s">
        <v>434</v>
      </c>
      <c r="F32" s="19">
        <f>(('Design Calculator'!F24*Rs)-20)/10</f>
        <v>1</v>
      </c>
      <c r="H32" s="20" t="s">
        <v>435</v>
      </c>
      <c r="I32">
        <f>('Design Calculator'!F41*10+20)/Rs</f>
        <v>30</v>
      </c>
    </row>
    <row r="35" spans="1:8" x14ac:dyDescent="0.25">
      <c r="E35" s="2"/>
    </row>
    <row r="36" spans="1:8" ht="13" x14ac:dyDescent="0.3">
      <c r="A36" s="14" t="s">
        <v>115</v>
      </c>
    </row>
    <row r="37" spans="1:8" x14ac:dyDescent="0.25">
      <c r="A37" s="19"/>
      <c r="F37" s="19" t="s">
        <v>116</v>
      </c>
      <c r="H37" s="19" t="s">
        <v>117</v>
      </c>
    </row>
    <row r="38" spans="1:8" x14ac:dyDescent="0.25">
      <c r="A38" s="19"/>
      <c r="E38" s="22" t="s">
        <v>92</v>
      </c>
      <c r="F38" s="31">
        <f>VINMAX*'Design Calculator'!F53</f>
        <v>5500</v>
      </c>
      <c r="G38" s="19" t="s">
        <v>69</v>
      </c>
      <c r="H38">
        <f>F38*(TJMAX-TJ)/(TJMAX-25)</f>
        <v>2658.3333333333335</v>
      </c>
    </row>
    <row r="39" spans="1:8" x14ac:dyDescent="0.25">
      <c r="A39" s="19"/>
      <c r="E39" s="22" t="s">
        <v>93</v>
      </c>
      <c r="F39" s="31">
        <f>VINMAX*'Design Calculator'!F54</f>
        <v>440</v>
      </c>
      <c r="G39" s="19" t="s">
        <v>69</v>
      </c>
      <c r="H39">
        <f>F39*(TJMAX-TJ)/(TJMAX-25)</f>
        <v>212.66666666666666</v>
      </c>
    </row>
    <row r="40" spans="1:8" x14ac:dyDescent="0.25">
      <c r="A40" s="19"/>
      <c r="E40" s="22" t="s">
        <v>94</v>
      </c>
      <c r="F40" s="31">
        <f>VINMAX*'Design Calculator'!F55</f>
        <v>110</v>
      </c>
      <c r="G40" s="19" t="s">
        <v>69</v>
      </c>
      <c r="H40">
        <f>F40*(TJMAX-TJ)/(TJMAX-25)</f>
        <v>53.166666666666664</v>
      </c>
    </row>
    <row r="41" spans="1:8" x14ac:dyDescent="0.25">
      <c r="A41" s="19"/>
      <c r="E41" s="22" t="s">
        <v>95</v>
      </c>
      <c r="F41" s="31">
        <f>VINMAX*'Design Calculator'!F56</f>
        <v>110</v>
      </c>
      <c r="G41" s="19" t="s">
        <v>69</v>
      </c>
      <c r="H41">
        <f>F41*(TJMAX-TJ)/(TJMAX-25)</f>
        <v>53.166666666666664</v>
      </c>
    </row>
    <row r="42" spans="1:8" x14ac:dyDescent="0.25">
      <c r="A42" s="19"/>
      <c r="E42" s="20"/>
      <c r="F42" s="38"/>
      <c r="G42" s="19"/>
    </row>
    <row r="43" spans="1:8" x14ac:dyDescent="0.25">
      <c r="A43" s="19"/>
      <c r="E43" s="20" t="s">
        <v>133</v>
      </c>
      <c r="F43" s="38">
        <f>VINMAX*'Device Parmaters'!E13/RsEFF/0.001</f>
        <v>220</v>
      </c>
      <c r="G43" s="19" t="s">
        <v>69</v>
      </c>
    </row>
    <row r="44" spans="1:8" x14ac:dyDescent="0.25">
      <c r="A44" s="19"/>
      <c r="E44" s="20" t="s">
        <v>221</v>
      </c>
      <c r="F44" s="38">
        <f>'Design Calculator'!F62</f>
        <v>0</v>
      </c>
      <c r="G44" s="19" t="s">
        <v>69</v>
      </c>
    </row>
    <row r="45" spans="1:8" x14ac:dyDescent="0.25">
      <c r="A45" s="19"/>
      <c r="E45" s="20" t="s">
        <v>212</v>
      </c>
      <c r="F45">
        <f>'Device Parmaters'!E14*(F44*RsEFF*0.001-VINMAX*'Device Parmaters'!$E$12)/1000</f>
        <v>-22.407</v>
      </c>
      <c r="G45" s="19" t="s">
        <v>222</v>
      </c>
    </row>
    <row r="46" spans="1:8" x14ac:dyDescent="0.25">
      <c r="A46" s="19"/>
      <c r="E46" s="20" t="s">
        <v>223</v>
      </c>
      <c r="F46" s="38">
        <f>RPWR</f>
        <v>0</v>
      </c>
      <c r="G46" s="19" t="s">
        <v>222</v>
      </c>
    </row>
    <row r="47" spans="1:8" x14ac:dyDescent="0.25">
      <c r="A47" s="19"/>
      <c r="E47" s="20" t="s">
        <v>224</v>
      </c>
      <c r="F47" s="132">
        <f>1/RsEFF*1000*(Equations!F46*1000/'Device Parmaters'!E14+VINMAX*'Device Parmaters'!E12)</f>
        <v>115.49999999999999</v>
      </c>
      <c r="G47" s="19" t="s">
        <v>69</v>
      </c>
    </row>
    <row r="48" spans="1:8" x14ac:dyDescent="0.25">
      <c r="A48" s="19"/>
      <c r="E48" s="20"/>
      <c r="G48" s="19"/>
    </row>
    <row r="49" spans="1:12" x14ac:dyDescent="0.25">
      <c r="A49" s="19"/>
      <c r="E49" s="20"/>
      <c r="G49" s="19"/>
    </row>
    <row r="50" spans="1:12" x14ac:dyDescent="0.25">
      <c r="A50" s="19"/>
      <c r="E50" s="20"/>
      <c r="G50" s="19"/>
    </row>
    <row r="51" spans="1:12" x14ac:dyDescent="0.25">
      <c r="E51" s="2" t="s">
        <v>5</v>
      </c>
      <c r="F51" s="3">
        <f>F52*(1-0.24)</f>
        <v>87.779999999999987</v>
      </c>
      <c r="G51" t="s">
        <v>17</v>
      </c>
    </row>
    <row r="52" spans="1:12" x14ac:dyDescent="0.25">
      <c r="E52" s="2" t="s">
        <v>6</v>
      </c>
      <c r="F52" s="3">
        <f>F47</f>
        <v>115.49999999999999</v>
      </c>
    </row>
    <row r="53" spans="1:12" x14ac:dyDescent="0.25">
      <c r="E53" s="2" t="s">
        <v>7</v>
      </c>
      <c r="F53" s="3">
        <f>F52*(1+0.24)</f>
        <v>143.21999999999997</v>
      </c>
    </row>
    <row r="54" spans="1:12" x14ac:dyDescent="0.25">
      <c r="E54" s="2"/>
      <c r="F54" s="1"/>
      <c r="H54" s="2"/>
      <c r="I54" s="1"/>
      <c r="K54" s="2"/>
      <c r="L54" s="1"/>
    </row>
    <row r="55" spans="1:12" x14ac:dyDescent="0.25">
      <c r="E55" s="2"/>
      <c r="F55" s="1"/>
      <c r="H55" s="2"/>
      <c r="I55" s="1"/>
      <c r="K55" s="2"/>
      <c r="L55" s="1"/>
    </row>
    <row r="56" spans="1:12" ht="13" x14ac:dyDescent="0.3">
      <c r="A56" s="14" t="s">
        <v>114</v>
      </c>
    </row>
    <row r="57" spans="1:12" ht="13" x14ac:dyDescent="0.3">
      <c r="A57" s="14"/>
      <c r="D57" s="304" t="s">
        <v>256</v>
      </c>
      <c r="E57" s="305"/>
      <c r="F57" s="305"/>
      <c r="G57" s="305"/>
    </row>
    <row r="58" spans="1:12" ht="13" x14ac:dyDescent="0.3">
      <c r="A58" s="14"/>
      <c r="E58" s="20" t="s">
        <v>240</v>
      </c>
      <c r="F58" s="3">
        <f>Start_up!M2</f>
        <v>21.999999999999979</v>
      </c>
      <c r="G58" s="19" t="s">
        <v>8</v>
      </c>
    </row>
    <row r="59" spans="1:12" ht="13" x14ac:dyDescent="0.3">
      <c r="A59" s="14"/>
      <c r="E59" s="20" t="s">
        <v>241</v>
      </c>
      <c r="F59" s="3">
        <f>'Device Parmaters'!D32</f>
        <v>0.75</v>
      </c>
    </row>
    <row r="60" spans="1:12" ht="13" x14ac:dyDescent="0.3">
      <c r="A60" s="14"/>
      <c r="E60" s="20" t="s">
        <v>242</v>
      </c>
      <c r="F60">
        <f>F58*(1+F59)</f>
        <v>38.499999999999964</v>
      </c>
      <c r="G60" s="19" t="s">
        <v>8</v>
      </c>
    </row>
    <row r="61" spans="1:12" ht="13" x14ac:dyDescent="0.3">
      <c r="A61" s="14"/>
      <c r="E61" s="20" t="s">
        <v>243</v>
      </c>
      <c r="F61">
        <f>'Device Parmaters'!D30/'Device Parmaters'!D27*F60</f>
        <v>2038.2352941176453</v>
      </c>
      <c r="G61" s="19" t="s">
        <v>85</v>
      </c>
    </row>
    <row r="62" spans="1:12" ht="13" x14ac:dyDescent="0.3">
      <c r="A62" s="14"/>
      <c r="E62" s="20" t="s">
        <v>244</v>
      </c>
      <c r="F62" s="3" t="e">
        <f>'Design Calculator'!#REF!</f>
        <v>#REF!</v>
      </c>
      <c r="G62" s="19" t="s">
        <v>85</v>
      </c>
    </row>
    <row r="63" spans="1:12" ht="13" x14ac:dyDescent="0.3">
      <c r="A63" s="14"/>
      <c r="E63" s="20" t="s">
        <v>245</v>
      </c>
      <c r="F63" t="e">
        <f>'Device Parmaters'!D27/'Device Parmaters'!D30*F62</f>
        <v>#REF!</v>
      </c>
      <c r="G63" s="19" t="s">
        <v>8</v>
      </c>
    </row>
    <row r="64" spans="1:12" ht="13" x14ac:dyDescent="0.3">
      <c r="A64" s="14"/>
      <c r="E64" s="20" t="s">
        <v>252</v>
      </c>
      <c r="F64" t="e">
        <f>SOA!C26/F52</f>
        <v>#REF!</v>
      </c>
      <c r="G64" s="19"/>
    </row>
    <row r="65" spans="1:8" ht="13" x14ac:dyDescent="0.3">
      <c r="A65" s="14"/>
      <c r="E65" s="20"/>
      <c r="G65" s="19"/>
    </row>
    <row r="66" spans="1:8" ht="13" x14ac:dyDescent="0.3">
      <c r="A66" s="14"/>
      <c r="E66" s="20" t="s">
        <v>391</v>
      </c>
      <c r="F66">
        <f>VINNOM*COUTMAX/Inrush_Current</f>
        <v>140</v>
      </c>
      <c r="G66" s="19" t="s">
        <v>8</v>
      </c>
    </row>
    <row r="67" spans="1:8" ht="13" x14ac:dyDescent="0.3">
      <c r="A67" s="14"/>
      <c r="E67" s="20"/>
      <c r="G67" s="19"/>
    </row>
    <row r="68" spans="1:8" ht="13" x14ac:dyDescent="0.3">
      <c r="A68" s="14"/>
      <c r="D68" s="304" t="s">
        <v>260</v>
      </c>
      <c r="E68" s="305"/>
      <c r="F68" s="305"/>
      <c r="G68" s="305"/>
    </row>
    <row r="69" spans="1:8" ht="13" x14ac:dyDescent="0.3">
      <c r="A69" s="14"/>
      <c r="D69" s="83"/>
      <c r="E69" s="20" t="s">
        <v>378</v>
      </c>
      <c r="F69" s="40">
        <f>Inrush_Current</f>
        <v>1000</v>
      </c>
      <c r="G69" s="40" t="s">
        <v>379</v>
      </c>
    </row>
    <row r="70" spans="1:8" ht="13" x14ac:dyDescent="0.3">
      <c r="A70" s="14"/>
      <c r="C70" s="19"/>
      <c r="D70" s="84"/>
      <c r="E70" s="20" t="s">
        <v>257</v>
      </c>
      <c r="F70" s="40" t="e">
        <f>'Design Calculator'!#REF!</f>
        <v>#REF!</v>
      </c>
      <c r="G70" s="40" t="s">
        <v>258</v>
      </c>
    </row>
    <row r="71" spans="1:8" ht="13" x14ac:dyDescent="0.3">
      <c r="A71" s="14"/>
      <c r="C71" s="19"/>
      <c r="D71" s="84"/>
      <c r="E71" s="20" t="s">
        <v>281</v>
      </c>
      <c r="F71" s="1">
        <f>'Device Parmaters'!D35*COUTMAX/F69</f>
        <v>154</v>
      </c>
      <c r="G71" s="19" t="s">
        <v>85</v>
      </c>
    </row>
    <row r="72" spans="1:8" ht="13" x14ac:dyDescent="0.3">
      <c r="A72" s="14"/>
      <c r="C72" s="19"/>
      <c r="D72" s="84"/>
      <c r="E72" s="20" t="s">
        <v>282</v>
      </c>
      <c r="F72" s="40">
        <f>'Design Calculator'!F72</f>
        <v>22</v>
      </c>
      <c r="G72" s="19" t="s">
        <v>85</v>
      </c>
    </row>
    <row r="73" spans="1:8" ht="13" x14ac:dyDescent="0.3">
      <c r="A73" s="14"/>
      <c r="C73" s="19"/>
      <c r="D73" s="84"/>
      <c r="E73" s="20" t="s">
        <v>283</v>
      </c>
      <c r="F73">
        <f>'Device Parmaters'!D35/Equations!F72</f>
        <v>2.5</v>
      </c>
      <c r="G73" s="19" t="s">
        <v>258</v>
      </c>
      <c r="H73" s="1" t="e">
        <f>ss_rate*F71/F72</f>
        <v>#REF!</v>
      </c>
    </row>
    <row r="74" spans="1:8" ht="13" x14ac:dyDescent="0.3">
      <c r="A74" s="14"/>
      <c r="C74" s="19"/>
      <c r="D74" s="84"/>
      <c r="E74" s="20" t="s">
        <v>259</v>
      </c>
      <c r="F74" s="40">
        <f>COUTMAX*F73/1000</f>
        <v>7</v>
      </c>
      <c r="G74" s="40" t="s">
        <v>27</v>
      </c>
    </row>
    <row r="75" spans="1:8" ht="13" x14ac:dyDescent="0.3">
      <c r="A75" s="14"/>
      <c r="C75" s="19"/>
      <c r="D75" s="84"/>
      <c r="E75" s="20" t="s">
        <v>274</v>
      </c>
      <c r="F75" s="40">
        <f>VINMAX/F73</f>
        <v>22</v>
      </c>
      <c r="G75" s="40" t="s">
        <v>8</v>
      </c>
    </row>
    <row r="76" spans="1:8" ht="13" x14ac:dyDescent="0.3">
      <c r="A76" s="14"/>
      <c r="C76" s="19"/>
      <c r="D76" s="84"/>
      <c r="E76" s="20" t="s">
        <v>275</v>
      </c>
      <c r="F76" s="40">
        <f>Start_up!N5</f>
        <v>7.7657737409440877</v>
      </c>
      <c r="G76" s="40" t="s">
        <v>264</v>
      </c>
    </row>
    <row r="77" spans="1:8" ht="13" x14ac:dyDescent="0.3">
      <c r="A77" s="14"/>
      <c r="C77" s="19"/>
      <c r="D77" s="84"/>
      <c r="E77" s="20" t="s">
        <v>276</v>
      </c>
      <c r="F77" s="40">
        <f>Start_up!Q4</f>
        <v>481.33136094674563</v>
      </c>
      <c r="G77" s="40" t="s">
        <v>69</v>
      </c>
    </row>
    <row r="78" spans="1:8" ht="13" x14ac:dyDescent="0.3">
      <c r="A78" s="14"/>
      <c r="D78" s="83"/>
      <c r="E78" s="20" t="s">
        <v>277</v>
      </c>
      <c r="F78" s="40">
        <f>F76/F77*1000</f>
        <v>16.133945076151587</v>
      </c>
      <c r="G78" s="40" t="s">
        <v>8</v>
      </c>
    </row>
    <row r="79" spans="1:8" ht="13" x14ac:dyDescent="0.3">
      <c r="A79" s="14"/>
      <c r="E79" s="20" t="s">
        <v>278</v>
      </c>
      <c r="F79" s="19">
        <f>SOA!H28</f>
        <v>88.000000000042093</v>
      </c>
      <c r="G79" s="40" t="s">
        <v>69</v>
      </c>
    </row>
    <row r="80" spans="1:8" ht="13" x14ac:dyDescent="0.3">
      <c r="A80" s="14"/>
      <c r="E80" s="20" t="s">
        <v>279</v>
      </c>
      <c r="F80" s="19">
        <f>F79/F77</f>
        <v>0.18282623394194003</v>
      </c>
      <c r="G80" s="19"/>
    </row>
    <row r="81" spans="1:8" ht="13" x14ac:dyDescent="0.3">
      <c r="A81" s="14"/>
      <c r="E81" s="20"/>
      <c r="F81" s="19"/>
      <c r="G81" s="19"/>
    </row>
    <row r="82" spans="1:8" ht="13" x14ac:dyDescent="0.3">
      <c r="A82" s="14"/>
      <c r="E82" s="20"/>
      <c r="F82" s="19">
        <v>1</v>
      </c>
      <c r="G82" s="40" t="s">
        <v>8</v>
      </c>
    </row>
    <row r="83" spans="1:8" ht="13" x14ac:dyDescent="0.3">
      <c r="A83" s="14"/>
      <c r="D83" s="306" t="s">
        <v>288</v>
      </c>
      <c r="E83" s="306"/>
      <c r="F83" s="306"/>
      <c r="G83" s="306"/>
      <c r="H83" s="306"/>
    </row>
    <row r="84" spans="1:8" ht="13" x14ac:dyDescent="0.3">
      <c r="A84" s="14"/>
      <c r="E84" s="20" t="s">
        <v>284</v>
      </c>
      <c r="F84" s="94">
        <f>'Design Calculator'!F76</f>
        <v>22</v>
      </c>
      <c r="G84" s="19"/>
    </row>
    <row r="85" spans="1:8" ht="13" x14ac:dyDescent="0.3">
      <c r="A85" s="14"/>
      <c r="E85" s="20" t="s">
        <v>285</v>
      </c>
      <c r="F85" s="19">
        <f>'Device Parmaters'!D30/'Device Parmaters'!D27*F84</f>
        <v>1164.7058823529412</v>
      </c>
      <c r="G85" s="19" t="s">
        <v>85</v>
      </c>
    </row>
    <row r="86" spans="1:8" ht="13" x14ac:dyDescent="0.3">
      <c r="A86" s="14"/>
      <c r="E86" s="20" t="s">
        <v>286</v>
      </c>
      <c r="F86" s="94" t="e">
        <f>'Design Calculator'!#REF!</f>
        <v>#REF!</v>
      </c>
      <c r="G86" s="19" t="s">
        <v>85</v>
      </c>
    </row>
    <row r="87" spans="1:8" ht="13" x14ac:dyDescent="0.3">
      <c r="A87" s="14"/>
      <c r="E87" s="85" t="s">
        <v>290</v>
      </c>
      <c r="F87" s="19" t="e">
        <f>'Device Parmaters'!D27/'Device Parmaters'!D30*F86</f>
        <v>#REF!</v>
      </c>
      <c r="G87" s="19" t="s">
        <v>8</v>
      </c>
    </row>
    <row r="88" spans="1:8" ht="13" x14ac:dyDescent="0.3">
      <c r="A88" s="14"/>
      <c r="E88" s="20" t="s">
        <v>289</v>
      </c>
      <c r="F88" s="19" t="e">
        <f>SOA!C26</f>
        <v>#REF!</v>
      </c>
      <c r="G88" s="19" t="s">
        <v>69</v>
      </c>
    </row>
    <row r="89" spans="1:8" ht="13" x14ac:dyDescent="0.3">
      <c r="A89" s="14"/>
      <c r="E89" s="85" t="s">
        <v>279</v>
      </c>
      <c r="F89" s="19" t="e">
        <f>F88/F47</f>
        <v>#REF!</v>
      </c>
      <c r="G89" s="19"/>
    </row>
    <row r="90" spans="1:8" ht="13" x14ac:dyDescent="0.3">
      <c r="A90" s="14"/>
      <c r="E90" s="20"/>
      <c r="F90" s="19"/>
      <c r="G90" s="19"/>
    </row>
    <row r="91" spans="1:8" ht="13" x14ac:dyDescent="0.3">
      <c r="A91" s="14"/>
      <c r="E91" s="20"/>
      <c r="F91" s="19"/>
      <c r="G91" s="19"/>
    </row>
    <row r="92" spans="1:8" ht="13" x14ac:dyDescent="0.3">
      <c r="A92" s="14"/>
      <c r="E92" s="20"/>
      <c r="F92" s="19"/>
      <c r="G92" s="19"/>
    </row>
    <row r="93" spans="1:8" ht="13" x14ac:dyDescent="0.3">
      <c r="A93" s="14"/>
      <c r="E93" s="20"/>
      <c r="F93" s="19"/>
      <c r="G93" s="19"/>
    </row>
    <row r="94" spans="1:8" ht="13" x14ac:dyDescent="0.3">
      <c r="A94" s="14"/>
      <c r="E94" s="20"/>
      <c r="F94" s="19"/>
      <c r="G94" s="19"/>
    </row>
    <row r="95" spans="1:8" ht="13" x14ac:dyDescent="0.3">
      <c r="A95" s="14"/>
      <c r="E95" s="20"/>
      <c r="F95" s="19"/>
      <c r="G95" s="19"/>
    </row>
    <row r="96" spans="1:8" ht="13" x14ac:dyDescent="0.3">
      <c r="A96" s="14"/>
      <c r="E96" s="20"/>
      <c r="F96" s="19"/>
      <c r="G96" s="19"/>
    </row>
    <row r="97" spans="1:13" ht="13" x14ac:dyDescent="0.3">
      <c r="A97" s="14"/>
      <c r="E97" s="20"/>
      <c r="F97" s="19"/>
      <c r="G97" s="19"/>
    </row>
    <row r="98" spans="1:13" ht="13" x14ac:dyDescent="0.3">
      <c r="A98" s="14"/>
    </row>
    <row r="99" spans="1:13" x14ac:dyDescent="0.25">
      <c r="A99" s="19"/>
      <c r="E99" s="20"/>
    </row>
    <row r="100" spans="1:13" x14ac:dyDescent="0.25">
      <c r="A100" s="19"/>
      <c r="E100" s="20"/>
    </row>
    <row r="101" spans="1:13" x14ac:dyDescent="0.25">
      <c r="D101" s="19"/>
      <c r="E101" s="20"/>
    </row>
    <row r="102" spans="1:13" x14ac:dyDescent="0.25">
      <c r="D102" s="19"/>
      <c r="E102" s="20"/>
    </row>
    <row r="103" spans="1:13" x14ac:dyDescent="0.25">
      <c r="D103" s="19"/>
      <c r="E103" s="20"/>
    </row>
    <row r="104" spans="1:13" x14ac:dyDescent="0.25">
      <c r="E104" s="20"/>
      <c r="J104" s="5"/>
      <c r="M104" s="5"/>
    </row>
    <row r="105" spans="1:13" x14ac:dyDescent="0.25">
      <c r="E105" s="20"/>
      <c r="J105" s="5"/>
      <c r="M105" s="5"/>
    </row>
    <row r="106" spans="1:13" x14ac:dyDescent="0.25">
      <c r="E106" s="2"/>
      <c r="G106" t="s">
        <v>18</v>
      </c>
      <c r="J106" s="6"/>
      <c r="M106" s="6"/>
    </row>
    <row r="107" spans="1:13" x14ac:dyDescent="0.25">
      <c r="E107" s="20"/>
      <c r="J107" s="6"/>
      <c r="M107" s="6"/>
    </row>
    <row r="108" spans="1:13" x14ac:dyDescent="0.25">
      <c r="E108" s="2"/>
    </row>
    <row r="109" spans="1:13" x14ac:dyDescent="0.25">
      <c r="E109" s="2"/>
      <c r="I109" t="s">
        <v>29</v>
      </c>
      <c r="L109" t="s">
        <v>34</v>
      </c>
    </row>
    <row r="110" spans="1:13" x14ac:dyDescent="0.25">
      <c r="E110" s="20"/>
      <c r="G110" s="19" t="s">
        <v>27</v>
      </c>
    </row>
    <row r="111" spans="1:13" x14ac:dyDescent="0.25">
      <c r="E111" s="20"/>
      <c r="G111" s="19" t="s">
        <v>161</v>
      </c>
    </row>
    <row r="112" spans="1:13" x14ac:dyDescent="0.25">
      <c r="E112" s="20"/>
      <c r="G112" s="19" t="s">
        <v>85</v>
      </c>
    </row>
    <row r="113" spans="5:10" x14ac:dyDescent="0.25">
      <c r="E113" s="20"/>
      <c r="G113" s="19"/>
    </row>
    <row r="114" spans="5:10" x14ac:dyDescent="0.25">
      <c r="E114" s="20"/>
      <c r="G114" s="19"/>
    </row>
    <row r="115" spans="5:10" x14ac:dyDescent="0.25">
      <c r="E115" s="20" t="s">
        <v>177</v>
      </c>
      <c r="F115" s="3" t="e">
        <f>IF('Design Calculator'!F69="YES", Equations!F86, Equations!F62)*'Device Parmaters'!C44*1000/'Device Parmaters'!E48*0.001</f>
        <v>#REF!</v>
      </c>
      <c r="G115" s="19" t="s">
        <v>8</v>
      </c>
    </row>
    <row r="116" spans="5:10" x14ac:dyDescent="0.25">
      <c r="E116" s="20" t="s">
        <v>11</v>
      </c>
      <c r="F116" s="3" t="e">
        <f>IF('Design Calculator'!F69="YES", Equations!F86, Equations!F62)*0.001*'Device Parmaters'!D44*1000/'Device Parmaters'!D48</f>
        <v>#REF!</v>
      </c>
      <c r="G116" s="19" t="s">
        <v>8</v>
      </c>
    </row>
    <row r="117" spans="5:10" x14ac:dyDescent="0.25">
      <c r="E117" s="20" t="s">
        <v>178</v>
      </c>
      <c r="F117" s="3" t="e">
        <f>IF('Design Calculator'!F69="YES", Equations!F86, Equations!F62)*0.001*'Device Parmaters'!E44*1000/'Device Parmaters'!C48</f>
        <v>#REF!</v>
      </c>
      <c r="G117" s="19" t="s">
        <v>8</v>
      </c>
    </row>
    <row r="118" spans="5:10" x14ac:dyDescent="0.25">
      <c r="E118" s="20" t="s">
        <v>179</v>
      </c>
      <c r="F118" t="e">
        <f>IF('Design Calculator'!F69="YES", Equations!F86, Equations!F62)*(H118+I118+J118)</f>
        <v>#REF!</v>
      </c>
      <c r="G118" s="19" t="s">
        <v>8</v>
      </c>
      <c r="H118">
        <f>(('Device Parmaters'!C44-'Device Parmaters'!E45)/'Device Parmaters'!E50)*7</f>
        <v>2.7416666666666666E-2</v>
      </c>
      <c r="I118">
        <f>(('Device Parmaters'!C44-'Device Parmaters'!C45)/'Device Parmaters'!D51)*8</f>
        <v>1.9714285714285718</v>
      </c>
      <c r="J118">
        <f>(('Device Parmaters'!C45-'Device Parmaters'!D46)/'Device Parmaters'!D51)</f>
        <v>0.19642857142857145</v>
      </c>
    </row>
    <row r="119" spans="5:10" x14ac:dyDescent="0.25">
      <c r="E119" s="20" t="s">
        <v>12</v>
      </c>
      <c r="F119" t="e">
        <f>IF('Design Calculator'!F69="YES", Equations!F86, Equations!F62)*(H119+I119+J119)</f>
        <v>#REF!</v>
      </c>
      <c r="G119" s="19" t="s">
        <v>8</v>
      </c>
      <c r="H119">
        <f>(('Device Parmaters'!D44-'Device Parmaters'!D45)/'Device Parmaters'!D50)*7</f>
        <v>5.4444444444444441E-2</v>
      </c>
      <c r="I119">
        <f>(('Device Parmaters'!D44-'Device Parmaters'!D45)/'Device Parmaters'!D51)*8</f>
        <v>2</v>
      </c>
      <c r="J119">
        <f>(('Device Parmaters'!D45-'Device Parmaters'!D46)/'Device Parmaters'!D51)</f>
        <v>0.25</v>
      </c>
    </row>
    <row r="120" spans="5:10" x14ac:dyDescent="0.25">
      <c r="E120" s="20" t="s">
        <v>196</v>
      </c>
      <c r="F120" t="e">
        <f>IF('Design Calculator'!F69="YES", Equations!F86, Equations!F62)*(H120+I120+J120)</f>
        <v>#REF!</v>
      </c>
      <c r="G120" s="19" t="s">
        <v>8</v>
      </c>
      <c r="H120">
        <f>(('Device Parmaters'!E44-'Device Parmaters'!C45)/'Device Parmaters'!C50)*7</f>
        <v>0.11666666666666667</v>
      </c>
      <c r="I120">
        <f>(('Device Parmaters'!E44-'Device Parmaters'!E45)/'Device Parmaters'!D51)*8</f>
        <v>2.2285714285714286</v>
      </c>
      <c r="J120">
        <f>(('Device Parmaters'!E45-'Device Parmaters'!D46)/'Device Parmaters'!D51)</f>
        <v>0.27500000000000002</v>
      </c>
    </row>
    <row r="121" spans="5:10" x14ac:dyDescent="0.25">
      <c r="E121" s="20" t="s">
        <v>195</v>
      </c>
      <c r="F121" t="e">
        <f>(1+'Design Calculator'!#REF!/'Design Calculator'!#REF!)*'Device Parmaters'!C56</f>
        <v>#REF!</v>
      </c>
      <c r="G121" s="19"/>
    </row>
    <row r="122" spans="5:10" x14ac:dyDescent="0.25">
      <c r="E122" s="20" t="s">
        <v>194</v>
      </c>
      <c r="F122" t="e">
        <f>(1+'Design Calculator'!#REF!/'Design Calculator'!#REF!)*'Device Parmaters'!D56</f>
        <v>#REF!</v>
      </c>
      <c r="G122" s="19"/>
    </row>
    <row r="123" spans="5:10" x14ac:dyDescent="0.25">
      <c r="E123" s="20" t="s">
        <v>193</v>
      </c>
      <c r="F123" t="e">
        <f>(1+'Design Calculator'!#REF!/'Design Calculator'!#REF!)*'Device Parmaters'!E56</f>
        <v>#REF!</v>
      </c>
    </row>
    <row r="124" spans="5:10" x14ac:dyDescent="0.25">
      <c r="E124" s="20" t="s">
        <v>197</v>
      </c>
      <c r="F124" t="e">
        <f>('Design Calculator'!#REF!*'Device Parmaters'!C57)</f>
        <v>#REF!</v>
      </c>
    </row>
    <row r="125" spans="5:10" x14ac:dyDescent="0.25">
      <c r="E125" s="20" t="s">
        <v>198</v>
      </c>
      <c r="F125" t="e">
        <f>('Design Calculator'!#REF!*'Device Parmaters'!$D$57)</f>
        <v>#REF!</v>
      </c>
    </row>
    <row r="126" spans="5:10" x14ac:dyDescent="0.25">
      <c r="E126" s="20" t="s">
        <v>199</v>
      </c>
      <c r="F126" t="e">
        <f>('Design Calculator'!#REF!*'Device Parmaters'!$E$57)</f>
        <v>#REF!</v>
      </c>
    </row>
    <row r="127" spans="5:10" x14ac:dyDescent="0.25">
      <c r="E127" s="20"/>
    </row>
    <row r="128" spans="5:10" x14ac:dyDescent="0.25">
      <c r="E128" s="20"/>
    </row>
    <row r="129" spans="4:9" ht="13" x14ac:dyDescent="0.3">
      <c r="D129" s="14"/>
    </row>
    <row r="130" spans="4:9" ht="13" x14ac:dyDescent="0.3">
      <c r="D130" s="14"/>
    </row>
    <row r="131" spans="4:9" ht="13" x14ac:dyDescent="0.3">
      <c r="D131" s="14"/>
    </row>
    <row r="134" spans="4:9" x14ac:dyDescent="0.25">
      <c r="E134" s="2" t="s">
        <v>21</v>
      </c>
    </row>
    <row r="135" spans="4:9" x14ac:dyDescent="0.25">
      <c r="E135" s="2" t="s">
        <v>22</v>
      </c>
    </row>
    <row r="136" spans="4:9" x14ac:dyDescent="0.25">
      <c r="E136" s="2"/>
      <c r="F136" s="1" t="s">
        <v>27</v>
      </c>
      <c r="G136" s="1" t="s">
        <v>28</v>
      </c>
    </row>
    <row r="137" spans="4:9" x14ac:dyDescent="0.25">
      <c r="E137" s="2" t="s">
        <v>32</v>
      </c>
      <c r="F137" s="8">
        <f>(F139*'Design Calculator'!F83-((Equations!F138+Equations!F139)*'Device Parmaters'!D63))/'Device Parmaters'!D63</f>
        <v>94.899135446685861</v>
      </c>
      <c r="G137" s="8">
        <v>100</v>
      </c>
    </row>
    <row r="138" spans="4:9" x14ac:dyDescent="0.25">
      <c r="E138" s="2" t="s">
        <v>31</v>
      </c>
      <c r="F138" s="8">
        <v>10</v>
      </c>
      <c r="G138" s="8">
        <f>Equations!G137*'Device Parmaters'!D61/('Design Calculator'!F81-'Device Parmaters'!D61)</f>
        <v>12.359550561797754</v>
      </c>
    </row>
    <row r="139" spans="4:9" x14ac:dyDescent="0.25">
      <c r="E139" s="2" t="s">
        <v>30</v>
      </c>
      <c r="F139" s="8">
        <f>Equations!F138/(('Device Parmaters'!D61*'Design Calculator'!F83/('Design Calculator'!F81*'Device Parmaters'!D63))-1)</f>
        <v>1.7291066282420746</v>
      </c>
      <c r="G139" s="8">
        <v>100</v>
      </c>
    </row>
    <row r="140" spans="4:9" x14ac:dyDescent="0.25">
      <c r="E140" s="2" t="s">
        <v>33</v>
      </c>
      <c r="F140" s="1"/>
      <c r="G140" s="8">
        <f>Equations!G139*'Device Parmaters'!D63/('Design Calculator'!F83-'Device Parmaters'!D63)</f>
        <v>1.6483516483516485</v>
      </c>
    </row>
    <row r="141" spans="4:9" x14ac:dyDescent="0.25">
      <c r="E141" s="2"/>
      <c r="F141" s="8"/>
      <c r="G141" s="8"/>
    </row>
    <row r="142" spans="4:9" x14ac:dyDescent="0.25">
      <c r="E142" s="20" t="s">
        <v>402</v>
      </c>
      <c r="F142" s="8">
        <f>'Device Parmaters'!D61*('Design Calculator'!F89+'Design Calculator'!F90+'Design Calculator'!F91)/('Design Calculator'!F90+'Design Calculator'!F91)</f>
        <v>1.043273542600897</v>
      </c>
      <c r="G142">
        <f>'Device Parmaters'!D60*('Design Calculator'!F89+'Design Calculator'!F90+'Design Calculator'!F91)/('Design Calculator'!F90+'Design Calculator'!F91)</f>
        <v>1.138116591928251</v>
      </c>
      <c r="H142" s="8">
        <f>'Device Parmaters'!D61*('Design Calculator'!F89+'Design Calculator'!F90)/'Design Calculator'!F90</f>
        <v>5.3326086956521745</v>
      </c>
      <c r="I142">
        <f>'Device Parmaters'!D60*('Design Calculator'!F89+'Design Calculator'!F90)/'Design Calculator'!F90</f>
        <v>5.8173913043478249</v>
      </c>
    </row>
    <row r="143" spans="4:9" x14ac:dyDescent="0.25">
      <c r="E143" s="20" t="s">
        <v>403</v>
      </c>
      <c r="F143" s="8">
        <f>'Device Parmaters'!D63*('Design Calculator'!F89+'Design Calculator'!F90+'Design Calculator'!F91)/'Design Calculator'!F91</f>
        <v>1.2689999999999999</v>
      </c>
      <c r="G143">
        <f>'Device Parmaters'!D64*('Design Calculator'!F89+'Design Calculator'!F90+'Design Calculator'!F91)/'Design Calculator'!F91</f>
        <v>1.1632500000000001</v>
      </c>
      <c r="H143" s="8">
        <f>'Device Parmaters'!D63*('Design Calculator'!F91+'Design Calculator'!F92)/'Design Calculator'!F92</f>
        <v>36.963636363636368</v>
      </c>
      <c r="I143">
        <f>'Device Parmaters'!D64*('Design Calculator'!F91+'Design Calculator'!F92)/'Design Calculator'!F92</f>
        <v>33.88333333333334</v>
      </c>
    </row>
    <row r="144" spans="4:9" x14ac:dyDescent="0.25">
      <c r="E144" s="2"/>
      <c r="F144" s="8"/>
      <c r="G144" s="8"/>
    </row>
    <row r="145" spans="5:7" x14ac:dyDescent="0.25">
      <c r="E145" s="2"/>
      <c r="F145" s="8"/>
      <c r="G145" s="8"/>
    </row>
    <row r="146" spans="5:7" x14ac:dyDescent="0.25">
      <c r="E146" s="2"/>
      <c r="F146" s="8"/>
      <c r="G146" s="8"/>
    </row>
    <row r="147" spans="5:7" x14ac:dyDescent="0.25">
      <c r="E147" s="2"/>
      <c r="F147" s="8"/>
      <c r="G147" s="8"/>
    </row>
    <row r="148" spans="5:7" x14ac:dyDescent="0.25">
      <c r="E148" s="2"/>
      <c r="F148" s="8"/>
      <c r="G148" s="8"/>
    </row>
    <row r="149" spans="5:7" x14ac:dyDescent="0.25">
      <c r="E149" s="2"/>
      <c r="F149" s="8"/>
      <c r="G149" s="8"/>
    </row>
    <row r="150" spans="5:7" x14ac:dyDescent="0.25">
      <c r="E150" s="2"/>
      <c r="F150" s="8"/>
      <c r="G150" s="8"/>
    </row>
    <row r="151" spans="5:7" x14ac:dyDescent="0.25">
      <c r="E151" s="2"/>
      <c r="F151" s="8"/>
      <c r="G151" s="8"/>
    </row>
    <row r="152" spans="5:7" x14ac:dyDescent="0.25">
      <c r="E152" s="2"/>
      <c r="F152" s="8"/>
      <c r="G152" s="8"/>
    </row>
    <row r="160" spans="5:7" x14ac:dyDescent="0.25">
      <c r="E160" s="20" t="s">
        <v>82</v>
      </c>
      <c r="F160" s="19" t="e">
        <f>'Design Calculator'!#REF!</f>
        <v>#REF!</v>
      </c>
      <c r="G160" s="19" t="s">
        <v>8</v>
      </c>
    </row>
    <row r="161" spans="5:7" x14ac:dyDescent="0.25">
      <c r="E161" s="20" t="s">
        <v>83</v>
      </c>
      <c r="F161" s="19">
        <f>'Design Calculator'!F15</f>
        <v>50</v>
      </c>
      <c r="G161" s="19" t="s">
        <v>68</v>
      </c>
    </row>
    <row r="162" spans="5:7" x14ac:dyDescent="0.25">
      <c r="E162" s="20" t="s">
        <v>84</v>
      </c>
      <c r="F162" t="e">
        <f>22/F161*F160</f>
        <v>#REF!</v>
      </c>
      <c r="G162" s="19" t="s">
        <v>85</v>
      </c>
    </row>
    <row r="183" spans="3:6" ht="13" x14ac:dyDescent="0.3">
      <c r="C183" s="14" t="s">
        <v>38</v>
      </c>
    </row>
    <row r="184" spans="3:6" x14ac:dyDescent="0.25">
      <c r="E184" s="2" t="s">
        <v>39</v>
      </c>
      <c r="F184" s="1">
        <f>'Design Calculator'!F29</f>
        <v>1</v>
      </c>
    </row>
    <row r="185" spans="3:6" ht="15.5" x14ac:dyDescent="0.4">
      <c r="E185" s="2" t="s">
        <v>40</v>
      </c>
      <c r="F185" s="1">
        <f>'Design Calculator'!F64</f>
        <v>0</v>
      </c>
    </row>
    <row r="186" spans="3:6" x14ac:dyDescent="0.25">
      <c r="E186" s="2" t="s">
        <v>41</v>
      </c>
      <c r="F186" s="1">
        <f>'Design Calculator'!F16</f>
        <v>55</v>
      </c>
    </row>
    <row r="188" spans="3:6" x14ac:dyDescent="0.25">
      <c r="E188" s="2" t="s">
        <v>42</v>
      </c>
      <c r="F188" s="8">
        <f>F189*0.9</f>
        <v>56.25</v>
      </c>
    </row>
    <row r="189" spans="3:6" x14ac:dyDescent="0.25">
      <c r="E189" s="2" t="s">
        <v>43</v>
      </c>
      <c r="F189" s="8">
        <f>I25</f>
        <v>62.5</v>
      </c>
    </row>
    <row r="190" spans="3:6" x14ac:dyDescent="0.25">
      <c r="E190" s="2" t="s">
        <v>44</v>
      </c>
      <c r="F190" s="8">
        <f>F189*1.1</f>
        <v>68.75</v>
      </c>
    </row>
    <row r="192" spans="3:6" x14ac:dyDescent="0.25">
      <c r="E192" s="2" t="s">
        <v>45</v>
      </c>
      <c r="F192" s="5">
        <f>F51</f>
        <v>87.779999999999987</v>
      </c>
    </row>
    <row r="193" spans="2:25" x14ac:dyDescent="0.25">
      <c r="E193" s="2" t="s">
        <v>46</v>
      </c>
      <c r="F193" s="5">
        <f>F52</f>
        <v>115.49999999999999</v>
      </c>
    </row>
    <row r="194" spans="2:25" x14ac:dyDescent="0.25">
      <c r="E194" s="2" t="s">
        <v>47</v>
      </c>
      <c r="F194" s="5">
        <f>F53</f>
        <v>143.21999999999997</v>
      </c>
    </row>
    <row r="199" spans="2:25" x14ac:dyDescent="0.25">
      <c r="D199" t="s">
        <v>48</v>
      </c>
      <c r="E199" s="2"/>
      <c r="I199" t="s">
        <v>49</v>
      </c>
      <c r="N199" t="s">
        <v>64</v>
      </c>
      <c r="R199" s="19" t="s">
        <v>70</v>
      </c>
    </row>
    <row r="200" spans="2:25" x14ac:dyDescent="0.25">
      <c r="D200" t="s">
        <v>50</v>
      </c>
      <c r="I200" t="s">
        <v>51</v>
      </c>
      <c r="N200" t="s">
        <v>56</v>
      </c>
      <c r="R200" s="19" t="s">
        <v>71</v>
      </c>
    </row>
    <row r="201" spans="2:25" x14ac:dyDescent="0.25">
      <c r="B201" s="19" t="s">
        <v>107</v>
      </c>
      <c r="D201" s="4" t="s">
        <v>52</v>
      </c>
      <c r="E201" s="4" t="s">
        <v>53</v>
      </c>
      <c r="F201" s="72" t="s">
        <v>54</v>
      </c>
      <c r="G201" s="4" t="s">
        <v>55</v>
      </c>
      <c r="I201" s="4" t="s">
        <v>52</v>
      </c>
      <c r="J201" s="4" t="s">
        <v>53</v>
      </c>
      <c r="K201" s="4" t="s">
        <v>54</v>
      </c>
      <c r="L201" s="4" t="s">
        <v>55</v>
      </c>
      <c r="N201" t="s">
        <v>57</v>
      </c>
      <c r="R201" s="4" t="s">
        <v>52</v>
      </c>
      <c r="S201" s="4" t="s">
        <v>53</v>
      </c>
      <c r="T201" s="4" t="s">
        <v>54</v>
      </c>
      <c r="U201" s="4" t="s">
        <v>55</v>
      </c>
      <c r="V201" s="72" t="s">
        <v>63</v>
      </c>
      <c r="X201" s="81" t="s">
        <v>251</v>
      </c>
    </row>
    <row r="202" spans="2:25" x14ac:dyDescent="0.25">
      <c r="B202">
        <f>D202*F202</f>
        <v>115.49999999999999</v>
      </c>
      <c r="D202" s="4">
        <v>1</v>
      </c>
      <c r="E202" s="15">
        <f>(1-$F$225)*F202</f>
        <v>86.624999999999986</v>
      </c>
      <c r="F202" s="15">
        <f t="shared" ref="F202:F218" si="0">($F$193+(D202-VINMAX)*$E$222/$E$223)/D202</f>
        <v>115.49999999999999</v>
      </c>
      <c r="G202" s="15">
        <f>F202*(1+$F$225)</f>
        <v>144.37499999999997</v>
      </c>
      <c r="I202" s="4">
        <v>1</v>
      </c>
      <c r="J202" s="15">
        <f t="shared" ref="J202:J218" si="1">IF(E202&gt;$F$188,$F$188,E202)</f>
        <v>56.25</v>
      </c>
      <c r="K202" s="15">
        <f t="shared" ref="K202:K218" si="2">IF(F202&gt;$F$189,$F$189,F202)</f>
        <v>62.5</v>
      </c>
      <c r="L202" s="15">
        <f t="shared" ref="L202:L218" si="3">IF(G202&gt;$F$190,$F$190,G202)</f>
        <v>68.75</v>
      </c>
      <c r="N202" t="s">
        <v>58</v>
      </c>
      <c r="R202" s="15">
        <f>Start_up!A10-Start_up!B10</f>
        <v>55</v>
      </c>
      <c r="S202" s="15">
        <f t="shared" ref="S202:S221" si="4">IF($R202&gt;$F$186,0.0000000005,J202)</f>
        <v>56.25</v>
      </c>
      <c r="T202" s="15">
        <f>Start_up!G10</f>
        <v>7</v>
      </c>
      <c r="U202" s="15">
        <f t="shared" ref="U202:U221" si="5">IF($R202&gt;$F$186,0.0000000005,L202)</f>
        <v>68.75</v>
      </c>
      <c r="V202" s="15">
        <f>$X$202/R202</f>
        <v>1.6000000000007653</v>
      </c>
      <c r="X202">
        <f>SOA!H28</f>
        <v>88.000000000042093</v>
      </c>
      <c r="Y202" s="19" t="s">
        <v>69</v>
      </c>
    </row>
    <row r="203" spans="2:25" x14ac:dyDescent="0.25">
      <c r="B203">
        <f t="shared" ref="B203:B218" si="6">D203*F203</f>
        <v>115.49999999999999</v>
      </c>
      <c r="D203" s="4">
        <v>2</v>
      </c>
      <c r="E203" s="15">
        <f t="shared" ref="E203:E218" si="7">(1-$F$225)*F203</f>
        <v>43.312499999999993</v>
      </c>
      <c r="F203" s="15">
        <f t="shared" si="0"/>
        <v>57.749999999999993</v>
      </c>
      <c r="G203" s="15">
        <f t="shared" ref="G203:G218" si="8">F203*(1+$F$225)</f>
        <v>72.187499999999986</v>
      </c>
      <c r="I203" s="4">
        <v>2</v>
      </c>
      <c r="J203" s="15">
        <f t="shared" si="1"/>
        <v>43.312499999999993</v>
      </c>
      <c r="K203" s="15">
        <f t="shared" si="2"/>
        <v>57.749999999999993</v>
      </c>
      <c r="L203" s="15">
        <f t="shared" si="3"/>
        <v>68.75</v>
      </c>
      <c r="R203" s="15">
        <f>Start_up!A11-Start_up!B11</f>
        <v>54.471153846153847</v>
      </c>
      <c r="S203" s="15">
        <f t="shared" si="4"/>
        <v>43.312499999999993</v>
      </c>
      <c r="T203" s="15">
        <f>Start_up!G11</f>
        <v>7</v>
      </c>
      <c r="U203" s="15">
        <f t="shared" si="5"/>
        <v>68.75</v>
      </c>
      <c r="V203" s="15">
        <f t="shared" ref="V203:V266" si="9">$X$202/R203</f>
        <v>1.6155339805832971</v>
      </c>
    </row>
    <row r="204" spans="2:25" x14ac:dyDescent="0.25">
      <c r="B204">
        <f t="shared" si="6"/>
        <v>115.49999999999997</v>
      </c>
      <c r="D204" s="4">
        <v>3</v>
      </c>
      <c r="E204" s="15">
        <f t="shared" si="7"/>
        <v>28.874999999999993</v>
      </c>
      <c r="F204" s="15">
        <f t="shared" si="0"/>
        <v>38.499999999999993</v>
      </c>
      <c r="G204" s="15">
        <f t="shared" si="8"/>
        <v>48.124999999999993</v>
      </c>
      <c r="I204" s="4">
        <v>3</v>
      </c>
      <c r="J204" s="15">
        <f t="shared" si="1"/>
        <v>28.874999999999993</v>
      </c>
      <c r="K204" s="15">
        <f t="shared" si="2"/>
        <v>38.499999999999993</v>
      </c>
      <c r="L204" s="15">
        <f t="shared" si="3"/>
        <v>48.124999999999993</v>
      </c>
      <c r="O204" s="16" t="s">
        <v>59</v>
      </c>
      <c r="R204" s="15">
        <f>Start_up!A12-Start_up!B12</f>
        <v>53.942307692307693</v>
      </c>
      <c r="S204" s="15">
        <f t="shared" si="4"/>
        <v>28.874999999999993</v>
      </c>
      <c r="T204" s="15">
        <f>Start_up!G12</f>
        <v>7</v>
      </c>
      <c r="U204" s="15">
        <f t="shared" si="5"/>
        <v>48.124999999999993</v>
      </c>
      <c r="V204" s="15">
        <f t="shared" si="9"/>
        <v>1.6313725490203881</v>
      </c>
    </row>
    <row r="205" spans="2:25" x14ac:dyDescent="0.25">
      <c r="B205">
        <f t="shared" si="6"/>
        <v>115.49999999999999</v>
      </c>
      <c r="D205" s="4">
        <v>4</v>
      </c>
      <c r="E205" s="15">
        <f t="shared" si="7"/>
        <v>21.656249999999996</v>
      </c>
      <c r="F205" s="15">
        <f t="shared" si="0"/>
        <v>28.874999999999996</v>
      </c>
      <c r="G205" s="15">
        <f t="shared" si="8"/>
        <v>36.093749999999993</v>
      </c>
      <c r="I205" s="4">
        <v>4</v>
      </c>
      <c r="J205" s="15">
        <f t="shared" si="1"/>
        <v>21.656249999999996</v>
      </c>
      <c r="K205" s="15">
        <f t="shared" si="2"/>
        <v>28.874999999999996</v>
      </c>
      <c r="L205" s="15">
        <f t="shared" si="3"/>
        <v>36.093749999999993</v>
      </c>
      <c r="N205" s="7" t="s">
        <v>52</v>
      </c>
      <c r="O205" s="17" t="s">
        <v>60</v>
      </c>
      <c r="R205" s="15">
        <f>Start_up!A13-Start_up!B13</f>
        <v>53.41346153846154</v>
      </c>
      <c r="S205" s="15">
        <f t="shared" si="4"/>
        <v>21.656249999999996</v>
      </c>
      <c r="T205" s="15">
        <f>Start_up!G13</f>
        <v>7</v>
      </c>
      <c r="U205" s="15">
        <f t="shared" si="5"/>
        <v>36.093749999999993</v>
      </c>
      <c r="V205" s="15">
        <f t="shared" si="9"/>
        <v>1.6475247524760355</v>
      </c>
    </row>
    <row r="206" spans="2:25" x14ac:dyDescent="0.25">
      <c r="B206">
        <f t="shared" si="6"/>
        <v>115.49999999999999</v>
      </c>
      <c r="D206" s="4">
        <v>5</v>
      </c>
      <c r="E206" s="15">
        <f t="shared" si="7"/>
        <v>17.324999999999999</v>
      </c>
      <c r="F206" s="15">
        <f t="shared" si="0"/>
        <v>23.099999999999998</v>
      </c>
      <c r="G206" s="15">
        <f t="shared" si="8"/>
        <v>28.874999999999996</v>
      </c>
      <c r="I206" s="4">
        <v>5</v>
      </c>
      <c r="J206" s="15">
        <f t="shared" si="1"/>
        <v>17.324999999999999</v>
      </c>
      <c r="K206" s="15">
        <f t="shared" si="2"/>
        <v>23.099999999999998</v>
      </c>
      <c r="L206" s="15">
        <f t="shared" si="3"/>
        <v>28.874999999999996</v>
      </c>
      <c r="N206" s="4">
        <v>1</v>
      </c>
      <c r="O206" s="4" t="e">
        <f>SOA!C39</f>
        <v>#REF!</v>
      </c>
      <c r="P206" t="s">
        <v>61</v>
      </c>
      <c r="R206" s="15">
        <f>Start_up!A14-Start_up!B14</f>
        <v>52.884615384615387</v>
      </c>
      <c r="S206" s="15">
        <f t="shared" si="4"/>
        <v>17.324999999999999</v>
      </c>
      <c r="T206" s="15">
        <f>Start_up!G14</f>
        <v>7</v>
      </c>
      <c r="U206" s="15">
        <f t="shared" si="5"/>
        <v>28.874999999999996</v>
      </c>
      <c r="V206" s="15">
        <f t="shared" si="9"/>
        <v>1.664000000000796</v>
      </c>
    </row>
    <row r="207" spans="2:25" x14ac:dyDescent="0.25">
      <c r="B207">
        <f t="shared" si="6"/>
        <v>115.49999999999997</v>
      </c>
      <c r="D207" s="4">
        <v>6</v>
      </c>
      <c r="E207" s="15">
        <f t="shared" si="7"/>
        <v>14.437499999999996</v>
      </c>
      <c r="F207" s="15">
        <f t="shared" si="0"/>
        <v>19.249999999999996</v>
      </c>
      <c r="G207" s="15">
        <f t="shared" si="8"/>
        <v>24.062499999999996</v>
      </c>
      <c r="I207" s="4">
        <v>6</v>
      </c>
      <c r="J207" s="15">
        <f t="shared" si="1"/>
        <v>14.437499999999996</v>
      </c>
      <c r="K207" s="15">
        <f t="shared" si="2"/>
        <v>19.249999999999996</v>
      </c>
      <c r="L207" s="15">
        <f t="shared" si="3"/>
        <v>24.062499999999996</v>
      </c>
      <c r="N207" s="4">
        <v>2</v>
      </c>
      <c r="O207" s="15" t="e">
        <f>O210+((O206-O210)*3/7)</f>
        <v>#REF!</v>
      </c>
      <c r="R207" s="15">
        <f>Start_up!A15-Start_up!B15</f>
        <v>52.355769230769234</v>
      </c>
      <c r="S207" s="15">
        <f t="shared" si="4"/>
        <v>14.437499999999996</v>
      </c>
      <c r="T207" s="15">
        <f>Start_up!G15</f>
        <v>7</v>
      </c>
      <c r="U207" s="15">
        <f t="shared" si="5"/>
        <v>24.062499999999996</v>
      </c>
      <c r="V207" s="15">
        <f t="shared" si="9"/>
        <v>1.6808080808088848</v>
      </c>
    </row>
    <row r="208" spans="2:25" x14ac:dyDescent="0.25">
      <c r="B208">
        <f t="shared" si="6"/>
        <v>115.49999999999997</v>
      </c>
      <c r="D208" s="4">
        <v>7</v>
      </c>
      <c r="E208" s="15">
        <f t="shared" si="7"/>
        <v>12.374999999999996</v>
      </c>
      <c r="F208" s="15">
        <f t="shared" si="0"/>
        <v>16.499999999999996</v>
      </c>
      <c r="G208" s="15">
        <f t="shared" si="8"/>
        <v>20.624999999999996</v>
      </c>
      <c r="I208" s="4">
        <v>7</v>
      </c>
      <c r="J208" s="15">
        <f t="shared" si="1"/>
        <v>12.374999999999996</v>
      </c>
      <c r="K208" s="15">
        <f t="shared" si="2"/>
        <v>16.499999999999996</v>
      </c>
      <c r="L208" s="15">
        <f t="shared" si="3"/>
        <v>20.624999999999996</v>
      </c>
      <c r="N208" s="4">
        <v>3</v>
      </c>
      <c r="O208" s="15" t="e">
        <f>O210+((O206-O210)*2/8)</f>
        <v>#REF!</v>
      </c>
      <c r="R208" s="15">
        <f>Start_up!A16-Start_up!B16</f>
        <v>51.82692307692308</v>
      </c>
      <c r="S208" s="15">
        <f t="shared" si="4"/>
        <v>12.374999999999996</v>
      </c>
      <c r="T208" s="15">
        <f>Start_up!G16</f>
        <v>7</v>
      </c>
      <c r="U208" s="15">
        <f t="shared" si="5"/>
        <v>20.624999999999996</v>
      </c>
      <c r="V208" s="15">
        <f t="shared" si="9"/>
        <v>1.6979591836742816</v>
      </c>
    </row>
    <row r="209" spans="2:22" x14ac:dyDescent="0.25">
      <c r="B209">
        <f t="shared" si="6"/>
        <v>115.49999999999999</v>
      </c>
      <c r="D209" s="4">
        <v>8</v>
      </c>
      <c r="E209" s="15">
        <f t="shared" si="7"/>
        <v>10.828124999999998</v>
      </c>
      <c r="F209" s="15">
        <f t="shared" si="0"/>
        <v>14.437499999999998</v>
      </c>
      <c r="G209" s="15">
        <f t="shared" si="8"/>
        <v>18.046874999999996</v>
      </c>
      <c r="I209" s="4">
        <v>8</v>
      </c>
      <c r="J209" s="15">
        <f t="shared" si="1"/>
        <v>10.828124999999998</v>
      </c>
      <c r="K209" s="15">
        <f t="shared" si="2"/>
        <v>14.437499999999998</v>
      </c>
      <c r="L209" s="15">
        <f t="shared" si="3"/>
        <v>18.046874999999996</v>
      </c>
      <c r="N209" s="4">
        <v>4</v>
      </c>
      <c r="O209" s="15" t="e">
        <f>O210+((O206-O210)*1/9)</f>
        <v>#REF!</v>
      </c>
      <c r="R209" s="15">
        <f>Start_up!A17-Start_up!B17</f>
        <v>51.29807692307692</v>
      </c>
      <c r="S209" s="15">
        <f t="shared" si="4"/>
        <v>10.828124999999998</v>
      </c>
      <c r="T209" s="15">
        <f>Start_up!G17</f>
        <v>7</v>
      </c>
      <c r="U209" s="15">
        <f t="shared" si="5"/>
        <v>18.046874999999996</v>
      </c>
      <c r="V209" s="15">
        <f t="shared" si="9"/>
        <v>1.7154639175265938</v>
      </c>
    </row>
    <row r="210" spans="2:22" x14ac:dyDescent="0.25">
      <c r="B210">
        <f t="shared" si="6"/>
        <v>115.49999999999999</v>
      </c>
      <c r="D210" s="4">
        <v>9</v>
      </c>
      <c r="E210" s="15">
        <f t="shared" si="7"/>
        <v>9.625</v>
      </c>
      <c r="F210" s="15">
        <f t="shared" si="0"/>
        <v>12.833333333333332</v>
      </c>
      <c r="G210" s="15">
        <f t="shared" si="8"/>
        <v>16.041666666666664</v>
      </c>
      <c r="I210" s="4">
        <v>9</v>
      </c>
      <c r="J210" s="15">
        <f t="shared" si="1"/>
        <v>9.625</v>
      </c>
      <c r="K210" s="15">
        <f t="shared" si="2"/>
        <v>12.833333333333332</v>
      </c>
      <c r="L210" s="15">
        <f t="shared" si="3"/>
        <v>16.041666666666664</v>
      </c>
      <c r="N210" s="4">
        <v>5</v>
      </c>
      <c r="O210" s="15" t="e">
        <f>SOA!C40</f>
        <v>#REF!</v>
      </c>
      <c r="P210" t="s">
        <v>62</v>
      </c>
      <c r="R210" s="15">
        <f>Start_up!A18-Start_up!B18</f>
        <v>50.769230769230766</v>
      </c>
      <c r="S210" s="15">
        <f t="shared" si="4"/>
        <v>9.625</v>
      </c>
      <c r="T210" s="15">
        <f>Start_up!G18</f>
        <v>7</v>
      </c>
      <c r="U210" s="15">
        <f t="shared" si="5"/>
        <v>16.041666666666664</v>
      </c>
      <c r="V210" s="15">
        <f t="shared" si="9"/>
        <v>1.7333333333341625</v>
      </c>
    </row>
    <row r="211" spans="2:22" x14ac:dyDescent="0.25">
      <c r="B211">
        <f t="shared" si="6"/>
        <v>115.49999999999999</v>
      </c>
      <c r="D211" s="4">
        <v>10</v>
      </c>
      <c r="E211" s="15">
        <f t="shared" si="7"/>
        <v>8.6624999999999996</v>
      </c>
      <c r="F211" s="15">
        <f t="shared" si="0"/>
        <v>11.549999999999999</v>
      </c>
      <c r="G211" s="15">
        <f t="shared" si="8"/>
        <v>14.437499999999998</v>
      </c>
      <c r="I211" s="4">
        <v>10</v>
      </c>
      <c r="J211" s="15">
        <f t="shared" si="1"/>
        <v>8.6624999999999996</v>
      </c>
      <c r="K211" s="15">
        <f t="shared" si="2"/>
        <v>11.549999999999999</v>
      </c>
      <c r="L211" s="15">
        <f t="shared" si="3"/>
        <v>14.437499999999998</v>
      </c>
      <c r="N211" s="4">
        <v>6</v>
      </c>
      <c r="O211" s="15" t="e">
        <f>O$215+((O$210-O$215)*4/6)</f>
        <v>#REF!</v>
      </c>
      <c r="R211" s="15">
        <f>Start_up!A19-Start_up!B19</f>
        <v>50.240384615384613</v>
      </c>
      <c r="S211" s="15">
        <f t="shared" si="4"/>
        <v>8.6624999999999996</v>
      </c>
      <c r="T211" s="15">
        <f>Start_up!G19</f>
        <v>7</v>
      </c>
      <c r="U211" s="15">
        <f t="shared" si="5"/>
        <v>14.437499999999998</v>
      </c>
      <c r="V211" s="15">
        <f t="shared" si="9"/>
        <v>1.7515789473692589</v>
      </c>
    </row>
    <row r="212" spans="2:22" x14ac:dyDescent="0.25">
      <c r="B212">
        <f t="shared" si="6"/>
        <v>115.49999999999999</v>
      </c>
      <c r="D212" s="4">
        <v>11</v>
      </c>
      <c r="E212" s="15">
        <f t="shared" si="7"/>
        <v>7.8749999999999982</v>
      </c>
      <c r="F212" s="15">
        <f t="shared" si="0"/>
        <v>10.499999999999998</v>
      </c>
      <c r="G212" s="15">
        <f t="shared" si="8"/>
        <v>13.124999999999998</v>
      </c>
      <c r="I212" s="4">
        <v>11</v>
      </c>
      <c r="J212" s="15">
        <f t="shared" si="1"/>
        <v>7.8749999999999982</v>
      </c>
      <c r="K212" s="15">
        <f t="shared" si="2"/>
        <v>10.499999999999998</v>
      </c>
      <c r="L212" s="15">
        <f t="shared" si="3"/>
        <v>13.124999999999998</v>
      </c>
      <c r="N212" s="4">
        <v>7</v>
      </c>
      <c r="O212" s="15" t="e">
        <f>O$215+((O$210-O$215)*3/7)</f>
        <v>#REF!</v>
      </c>
      <c r="R212" s="15">
        <f>Start_up!A20-Start_up!B20</f>
        <v>49.71153846153846</v>
      </c>
      <c r="S212" s="15">
        <f t="shared" si="4"/>
        <v>7.8749999999999982</v>
      </c>
      <c r="T212" s="15">
        <f>Start_up!G20</f>
        <v>7</v>
      </c>
      <c r="U212" s="15">
        <f t="shared" si="5"/>
        <v>13.124999999999998</v>
      </c>
      <c r="V212" s="15">
        <f t="shared" si="9"/>
        <v>1.7702127659582936</v>
      </c>
    </row>
    <row r="213" spans="2:22" x14ac:dyDescent="0.25">
      <c r="B213">
        <f t="shared" si="6"/>
        <v>115.49999999999997</v>
      </c>
      <c r="D213" s="4">
        <v>12</v>
      </c>
      <c r="E213" s="15">
        <f t="shared" si="7"/>
        <v>7.2187499999999982</v>
      </c>
      <c r="F213" s="15">
        <f t="shared" si="0"/>
        <v>9.6249999999999982</v>
      </c>
      <c r="G213" s="15">
        <f t="shared" si="8"/>
        <v>12.031249999999998</v>
      </c>
      <c r="I213" s="4">
        <v>12</v>
      </c>
      <c r="J213" s="15">
        <f t="shared" si="1"/>
        <v>7.2187499999999982</v>
      </c>
      <c r="K213" s="15">
        <f t="shared" si="2"/>
        <v>9.6249999999999982</v>
      </c>
      <c r="L213" s="15">
        <f t="shared" si="3"/>
        <v>12.031249999999998</v>
      </c>
      <c r="N213" s="4">
        <v>8</v>
      </c>
      <c r="O213" s="15" t="e">
        <f>O$215+((O$210-O$215)*2/8)</f>
        <v>#REF!</v>
      </c>
      <c r="R213" s="15">
        <f>Start_up!A21-Start_up!B21</f>
        <v>49.182692307692307</v>
      </c>
      <c r="S213" s="15">
        <f t="shared" si="4"/>
        <v>7.2187499999999982</v>
      </c>
      <c r="T213" s="15">
        <f>Start_up!G21</f>
        <v>7</v>
      </c>
      <c r="U213" s="15">
        <f t="shared" si="5"/>
        <v>12.031249999999998</v>
      </c>
      <c r="V213" s="15">
        <f t="shared" si="9"/>
        <v>1.7892473118288128</v>
      </c>
    </row>
    <row r="214" spans="2:22" x14ac:dyDescent="0.25">
      <c r="B214">
        <f t="shared" si="6"/>
        <v>115.49999999999999</v>
      </c>
      <c r="D214" s="4">
        <v>13</v>
      </c>
      <c r="E214" s="15">
        <f t="shared" si="7"/>
        <v>6.6634615384615374</v>
      </c>
      <c r="F214" s="15">
        <f t="shared" si="0"/>
        <v>8.8846153846153832</v>
      </c>
      <c r="G214" s="15">
        <f t="shared" si="8"/>
        <v>11.10576923076923</v>
      </c>
      <c r="I214" s="4">
        <v>13</v>
      </c>
      <c r="J214" s="15">
        <f t="shared" si="1"/>
        <v>6.6634615384615374</v>
      </c>
      <c r="K214" s="15">
        <f t="shared" si="2"/>
        <v>8.8846153846153832</v>
      </c>
      <c r="L214" s="15">
        <f t="shared" si="3"/>
        <v>11.10576923076923</v>
      </c>
      <c r="N214" s="4">
        <v>9</v>
      </c>
      <c r="O214" s="15" t="e">
        <f>O$215+((O$210-O$215)*1/9)</f>
        <v>#REF!</v>
      </c>
      <c r="R214" s="15">
        <f>Start_up!A22-Start_up!B22</f>
        <v>48.653846153846153</v>
      </c>
      <c r="S214" s="15">
        <f t="shared" si="4"/>
        <v>6.6634615384615374</v>
      </c>
      <c r="T214" s="15">
        <f>Start_up!G22</f>
        <v>9.115384615384615</v>
      </c>
      <c r="U214" s="15">
        <f t="shared" si="5"/>
        <v>11.10576923076923</v>
      </c>
      <c r="V214" s="15">
        <f t="shared" si="9"/>
        <v>1.8086956521747781</v>
      </c>
    </row>
    <row r="215" spans="2:22" x14ac:dyDescent="0.25">
      <c r="B215">
        <f t="shared" si="6"/>
        <v>115.49999999999997</v>
      </c>
      <c r="D215" s="4">
        <v>14</v>
      </c>
      <c r="E215" s="15">
        <f t="shared" si="7"/>
        <v>6.1874999999999982</v>
      </c>
      <c r="F215" s="15">
        <f t="shared" si="0"/>
        <v>8.2499999999999982</v>
      </c>
      <c r="G215" s="15">
        <f t="shared" si="8"/>
        <v>10.312499999999998</v>
      </c>
      <c r="I215" s="4">
        <v>14</v>
      </c>
      <c r="J215" s="15">
        <f t="shared" si="1"/>
        <v>6.1874999999999982</v>
      </c>
      <c r="K215" s="15">
        <f t="shared" si="2"/>
        <v>8.2499999999999982</v>
      </c>
      <c r="L215" s="15">
        <f t="shared" si="3"/>
        <v>10.312499999999998</v>
      </c>
      <c r="N215" s="4">
        <v>10</v>
      </c>
      <c r="O215" s="15" t="e">
        <f>SOA!C41</f>
        <v>#REF!</v>
      </c>
      <c r="P215" t="s">
        <v>62</v>
      </c>
      <c r="R215" s="15">
        <f>Start_up!A23-Start_up!B23</f>
        <v>48.125</v>
      </c>
      <c r="S215" s="15">
        <f t="shared" si="4"/>
        <v>6.1874999999999982</v>
      </c>
      <c r="T215" s="15">
        <f>Start_up!G23</f>
        <v>9.2916666666666661</v>
      </c>
      <c r="U215" s="15">
        <f t="shared" si="5"/>
        <v>10.312499999999998</v>
      </c>
      <c r="V215" s="15">
        <f t="shared" si="9"/>
        <v>1.8285714285723031</v>
      </c>
    </row>
    <row r="216" spans="2:22" x14ac:dyDescent="0.25">
      <c r="B216">
        <f t="shared" si="6"/>
        <v>115.49999999999999</v>
      </c>
      <c r="D216" s="4">
        <v>15</v>
      </c>
      <c r="E216" s="15">
        <f t="shared" si="7"/>
        <v>5.7749999999999995</v>
      </c>
      <c r="F216" s="15">
        <f t="shared" si="0"/>
        <v>7.6999999999999993</v>
      </c>
      <c r="G216" s="15">
        <f t="shared" si="8"/>
        <v>9.625</v>
      </c>
      <c r="I216" s="4">
        <v>15</v>
      </c>
      <c r="J216" s="15">
        <f t="shared" si="1"/>
        <v>5.7749999999999995</v>
      </c>
      <c r="K216" s="15">
        <f t="shared" si="2"/>
        <v>7.6999999999999993</v>
      </c>
      <c r="L216" s="15">
        <f t="shared" si="3"/>
        <v>9.625</v>
      </c>
      <c r="N216" s="4">
        <v>11</v>
      </c>
      <c r="O216" s="15" t="e">
        <f>O$220+((O$215-O$220)*4/6)</f>
        <v>#REF!</v>
      </c>
      <c r="R216" s="15">
        <f>Start_up!A24-Start_up!B24</f>
        <v>47.596153846153847</v>
      </c>
      <c r="S216" s="15">
        <f t="shared" si="4"/>
        <v>5.7749999999999995</v>
      </c>
      <c r="T216" s="15">
        <f>Start_up!G24</f>
        <v>9.4679487179487172</v>
      </c>
      <c r="U216" s="15">
        <f t="shared" si="5"/>
        <v>9.625</v>
      </c>
      <c r="V216" s="15">
        <f t="shared" si="9"/>
        <v>1.8488888888897732</v>
      </c>
    </row>
    <row r="217" spans="2:22" x14ac:dyDescent="0.25">
      <c r="B217">
        <f t="shared" si="6"/>
        <v>115.49999999999999</v>
      </c>
      <c r="D217" s="4">
        <v>16</v>
      </c>
      <c r="E217" s="15">
        <f t="shared" si="7"/>
        <v>5.4140624999999991</v>
      </c>
      <c r="F217" s="15">
        <f t="shared" si="0"/>
        <v>7.2187499999999991</v>
      </c>
      <c r="G217" s="15">
        <f t="shared" si="8"/>
        <v>9.0234374999999982</v>
      </c>
      <c r="I217" s="4">
        <v>16</v>
      </c>
      <c r="J217" s="15">
        <f t="shared" si="1"/>
        <v>5.4140624999999991</v>
      </c>
      <c r="K217" s="15">
        <f t="shared" si="2"/>
        <v>7.2187499999999991</v>
      </c>
      <c r="L217" s="15">
        <f t="shared" si="3"/>
        <v>9.0234374999999982</v>
      </c>
      <c r="N217" s="4">
        <v>12</v>
      </c>
      <c r="O217" s="15" t="e">
        <f>O$220+((O$215-O$220)*3/7)</f>
        <v>#REF!</v>
      </c>
      <c r="R217" s="15">
        <f>Start_up!A25-Start_up!B25</f>
        <v>47.067307692307693</v>
      </c>
      <c r="S217" s="15">
        <f t="shared" si="4"/>
        <v>5.4140624999999991</v>
      </c>
      <c r="T217" s="15">
        <f>Start_up!G25</f>
        <v>9.6442307692307683</v>
      </c>
      <c r="U217" s="15">
        <f t="shared" si="5"/>
        <v>9.0234374999999982</v>
      </c>
      <c r="V217" s="15">
        <f t="shared" si="9"/>
        <v>1.8696629213492089</v>
      </c>
    </row>
    <row r="218" spans="2:22" x14ac:dyDescent="0.25">
      <c r="B218">
        <f t="shared" si="6"/>
        <v>115.49999999999999</v>
      </c>
      <c r="D218" s="4">
        <v>17</v>
      </c>
      <c r="E218" s="15">
        <f t="shared" si="7"/>
        <v>5.0955882352941169</v>
      </c>
      <c r="F218" s="15">
        <f t="shared" si="0"/>
        <v>6.7941176470588225</v>
      </c>
      <c r="G218" s="15">
        <f t="shared" si="8"/>
        <v>8.492647058823529</v>
      </c>
      <c r="I218" s="4">
        <v>17</v>
      </c>
      <c r="J218" s="15">
        <f t="shared" si="1"/>
        <v>5.0955882352941169</v>
      </c>
      <c r="K218" s="15">
        <f t="shared" si="2"/>
        <v>6.7941176470588225</v>
      </c>
      <c r="L218" s="15">
        <f t="shared" si="3"/>
        <v>8.492647058823529</v>
      </c>
      <c r="N218" s="4">
        <v>13</v>
      </c>
      <c r="O218" s="15" t="e">
        <f>O$220+((O$215-O$220)*2/8)</f>
        <v>#REF!</v>
      </c>
      <c r="R218" s="15">
        <f>Start_up!A26-Start_up!B26</f>
        <v>46.53846153846154</v>
      </c>
      <c r="S218" s="15">
        <f t="shared" si="4"/>
        <v>5.0955882352941169</v>
      </c>
      <c r="T218" s="15">
        <f>Start_up!G26</f>
        <v>9.8205128205128212</v>
      </c>
      <c r="U218" s="15">
        <f t="shared" si="5"/>
        <v>8.492647058823529</v>
      </c>
      <c r="V218" s="15">
        <f t="shared" si="9"/>
        <v>1.8909090909099953</v>
      </c>
    </row>
    <row r="219" spans="2:22" x14ac:dyDescent="0.25">
      <c r="N219" s="4">
        <v>14</v>
      </c>
      <c r="O219" s="15" t="e">
        <f>O$220+((O$215-O$220)*1/9)</f>
        <v>#REF!</v>
      </c>
      <c r="R219" s="15">
        <f>Start_up!A27-Start_up!B27</f>
        <v>46.009615384615387</v>
      </c>
      <c r="S219" s="15">
        <f t="shared" si="4"/>
        <v>0</v>
      </c>
      <c r="T219" s="15">
        <f>Start_up!G27</f>
        <v>9.9967948717948723</v>
      </c>
      <c r="U219" s="15">
        <f t="shared" si="5"/>
        <v>0</v>
      </c>
      <c r="V219" s="15">
        <f t="shared" si="9"/>
        <v>1.9126436781618343</v>
      </c>
    </row>
    <row r="220" spans="2:22" x14ac:dyDescent="0.25">
      <c r="D220" s="19" t="s">
        <v>246</v>
      </c>
      <c r="N220" s="4">
        <v>15</v>
      </c>
      <c r="O220" s="15">
        <f>SOA!C42</f>
        <v>0</v>
      </c>
      <c r="P220" t="s">
        <v>62</v>
      </c>
      <c r="R220" s="15">
        <f>Start_up!A28-Start_up!B28</f>
        <v>45.480769230769234</v>
      </c>
      <c r="S220" s="15">
        <f t="shared" si="4"/>
        <v>0</v>
      </c>
      <c r="T220" s="15">
        <f>Start_up!G28</f>
        <v>10.173076923076923</v>
      </c>
      <c r="U220" s="15">
        <f t="shared" si="5"/>
        <v>0</v>
      </c>
      <c r="V220" s="15">
        <f t="shared" si="9"/>
        <v>1.934883720931158</v>
      </c>
    </row>
    <row r="221" spans="2:22" x14ac:dyDescent="0.25">
      <c r="N221" s="4">
        <v>16</v>
      </c>
      <c r="O221" s="15">
        <f>O$225+((O$220-O$225)*4/6)</f>
        <v>0</v>
      </c>
      <c r="R221" s="15">
        <f>Start_up!A29-Start_up!B29</f>
        <v>44.95192307692308</v>
      </c>
      <c r="S221" s="15">
        <f t="shared" si="4"/>
        <v>0</v>
      </c>
      <c r="T221" s="15">
        <f>Start_up!G29</f>
        <v>10.349358974358974</v>
      </c>
      <c r="U221" s="15">
        <f t="shared" si="5"/>
        <v>0</v>
      </c>
      <c r="V221" s="15">
        <f t="shared" si="9"/>
        <v>1.9576470588244657</v>
      </c>
    </row>
    <row r="222" spans="2:22" x14ac:dyDescent="0.25">
      <c r="D222" s="19" t="s">
        <v>247</v>
      </c>
      <c r="E222">
        <v>0</v>
      </c>
      <c r="N222" s="4">
        <v>17</v>
      </c>
      <c r="O222" s="15">
        <f>O$225+((O$220-O$225)*3/7)</f>
        <v>0</v>
      </c>
      <c r="R222" s="15">
        <f>Start_up!A30-Start_up!B30</f>
        <v>44.42307692307692</v>
      </c>
      <c r="T222" s="15">
        <f>Start_up!G30</f>
        <v>10.525641025641026</v>
      </c>
      <c r="V222" s="15">
        <f t="shared" si="9"/>
        <v>1.9809523809533287</v>
      </c>
    </row>
    <row r="223" spans="2:22" x14ac:dyDescent="0.25">
      <c r="D223" s="19" t="s">
        <v>248</v>
      </c>
      <c r="E223">
        <f>RsEFF*0.001</f>
        <v>1E-3</v>
      </c>
      <c r="N223" s="4">
        <v>18</v>
      </c>
      <c r="O223" s="15">
        <f>O$225+((O$220-O$225)*2/8)</f>
        <v>0</v>
      </c>
      <c r="R223" s="15">
        <f>Start_up!A31-Start_up!B31</f>
        <v>43.894230769230766</v>
      </c>
      <c r="T223" s="15">
        <f>Start_up!G31</f>
        <v>10.701923076923077</v>
      </c>
      <c r="V223" s="15">
        <f t="shared" si="9"/>
        <v>2.0048192771093927</v>
      </c>
    </row>
    <row r="224" spans="2:22" x14ac:dyDescent="0.25">
      <c r="D224" s="19" t="s">
        <v>249</v>
      </c>
      <c r="E224">
        <f>VINMAX</f>
        <v>55</v>
      </c>
      <c r="N224" s="4">
        <v>19</v>
      </c>
      <c r="O224" s="15">
        <f>O$225+((O$220-O$225)*1/9)</f>
        <v>0</v>
      </c>
      <c r="R224" s="15">
        <f>Start_up!A32-Start_up!B32</f>
        <v>43.365384615384613</v>
      </c>
      <c r="T224" s="15">
        <f>Start_up!G32</f>
        <v>10.878205128205128</v>
      </c>
      <c r="V224" s="15">
        <f t="shared" si="9"/>
        <v>2.0292682926838976</v>
      </c>
    </row>
    <row r="225" spans="4:22" x14ac:dyDescent="0.25">
      <c r="D225" s="19" t="s">
        <v>250</v>
      </c>
      <c r="E225" s="1"/>
      <c r="F225">
        <v>0.25</v>
      </c>
      <c r="N225" s="4">
        <v>20</v>
      </c>
      <c r="O225" s="15">
        <f>SOA!C43</f>
        <v>0</v>
      </c>
      <c r="P225" t="s">
        <v>62</v>
      </c>
      <c r="R225" s="15">
        <f>Start_up!A33-Start_up!B33</f>
        <v>42.83653846153846</v>
      </c>
      <c r="T225" s="15">
        <f>Start_up!G33</f>
        <v>11.054487179487179</v>
      </c>
      <c r="V225" s="15">
        <f t="shared" si="9"/>
        <v>2.0543209876553039</v>
      </c>
    </row>
    <row r="226" spans="4:22" x14ac:dyDescent="0.25">
      <c r="R226" s="15">
        <f>Start_up!A34-Start_up!B34</f>
        <v>42.307692307692307</v>
      </c>
      <c r="T226" s="15">
        <f>Start_up!G34</f>
        <v>11.23076923076923</v>
      </c>
      <c r="V226" s="15">
        <f t="shared" si="9"/>
        <v>2.0800000000009948</v>
      </c>
    </row>
    <row r="227" spans="4:22" x14ac:dyDescent="0.25">
      <c r="D227" s="73" t="s">
        <v>219</v>
      </c>
      <c r="R227" s="15">
        <f>Start_up!A35-Start_up!B35</f>
        <v>41.778846153846153</v>
      </c>
      <c r="T227" s="15">
        <f>Start_up!G35</f>
        <v>11.407051282051281</v>
      </c>
      <c r="V227" s="15">
        <f t="shared" si="9"/>
        <v>2.1063291139250579</v>
      </c>
    </row>
    <row r="228" spans="4:22" x14ac:dyDescent="0.25">
      <c r="R228" s="15">
        <f>Start_up!A36-Start_up!B36</f>
        <v>41.25</v>
      </c>
      <c r="T228" s="15">
        <f>Start_up!G36</f>
        <v>11.583333333333332</v>
      </c>
      <c r="V228" s="15">
        <f t="shared" si="9"/>
        <v>2.1333333333343538</v>
      </c>
    </row>
    <row r="229" spans="4:22" x14ac:dyDescent="0.25">
      <c r="R229" s="15">
        <f>Start_up!A37-Start_up!B37</f>
        <v>40.721153846153847</v>
      </c>
      <c r="T229" s="15">
        <f>Start_up!G37</f>
        <v>11.759615384615385</v>
      </c>
      <c r="V229" s="15">
        <f t="shared" si="9"/>
        <v>2.1610389610399947</v>
      </c>
    </row>
    <row r="230" spans="4:22" x14ac:dyDescent="0.25">
      <c r="R230" s="15">
        <f>Start_up!A38-Start_up!B38</f>
        <v>40.192307692307693</v>
      </c>
      <c r="T230" s="15">
        <f>Start_up!G38</f>
        <v>11.935897435897434</v>
      </c>
      <c r="V230" s="15">
        <f t="shared" si="9"/>
        <v>2.1894736842115736</v>
      </c>
    </row>
    <row r="231" spans="4:22" x14ac:dyDescent="0.25">
      <c r="R231" s="15">
        <f>Start_up!A39-Start_up!B39</f>
        <v>39.66346153846154</v>
      </c>
      <c r="T231" s="15">
        <f>Start_up!G39</f>
        <v>12.112179487179487</v>
      </c>
      <c r="V231" s="15">
        <f t="shared" si="9"/>
        <v>2.2186666666677279</v>
      </c>
    </row>
    <row r="232" spans="4:22" x14ac:dyDescent="0.25">
      <c r="R232" s="15">
        <f>Start_up!A40-Start_up!B40</f>
        <v>39.134615384615387</v>
      </c>
      <c r="T232" s="15">
        <f>Start_up!G40</f>
        <v>12.288461538461537</v>
      </c>
      <c r="V232" s="15">
        <f t="shared" si="9"/>
        <v>2.2486486486497239</v>
      </c>
    </row>
    <row r="233" spans="4:22" x14ac:dyDescent="0.25">
      <c r="R233" s="15">
        <f>Start_up!A41-Start_up!B41</f>
        <v>38.605769230769226</v>
      </c>
      <c r="T233" s="15">
        <f>Start_up!G41</f>
        <v>12.464743589743591</v>
      </c>
      <c r="V233" s="15">
        <f t="shared" si="9"/>
        <v>2.2794520547956112</v>
      </c>
    </row>
    <row r="234" spans="4:22" x14ac:dyDescent="0.25">
      <c r="R234" s="15">
        <f>Start_up!A42-Start_up!B42</f>
        <v>38.07692307692308</v>
      </c>
      <c r="T234" s="15">
        <f>Start_up!G42</f>
        <v>12.641025641025642</v>
      </c>
      <c r="V234" s="15">
        <f t="shared" si="9"/>
        <v>2.3111111111122162</v>
      </c>
    </row>
    <row r="235" spans="4:22" x14ac:dyDescent="0.25">
      <c r="R235" s="15">
        <f>Start_up!A43-Start_up!B43</f>
        <v>37.54807692307692</v>
      </c>
      <c r="T235" s="15">
        <f>Start_up!G43</f>
        <v>12.817307692307693</v>
      </c>
      <c r="V235" s="15">
        <f t="shared" si="9"/>
        <v>2.3436619718321072</v>
      </c>
    </row>
    <row r="236" spans="4:22" x14ac:dyDescent="0.25">
      <c r="R236" s="15">
        <f>Start_up!A44-Start_up!B44</f>
        <v>37.019230769230774</v>
      </c>
      <c r="T236" s="15">
        <f>Start_up!G44</f>
        <v>12.993589743589745</v>
      </c>
      <c r="V236" s="15">
        <f t="shared" si="9"/>
        <v>2.3771428571439941</v>
      </c>
    </row>
    <row r="237" spans="4:22" x14ac:dyDescent="0.25">
      <c r="R237" s="15">
        <f>Start_up!A45-Start_up!B45</f>
        <v>36.490384615384613</v>
      </c>
      <c r="T237" s="15">
        <f>Start_up!G45</f>
        <v>13.169871794871796</v>
      </c>
      <c r="V237" s="15">
        <f t="shared" si="9"/>
        <v>2.4115942028997046</v>
      </c>
    </row>
    <row r="238" spans="4:22" x14ac:dyDescent="0.25">
      <c r="R238" s="15">
        <f>Start_up!A46-Start_up!B46</f>
        <v>35.961538461538467</v>
      </c>
      <c r="T238" s="15">
        <f>Start_up!G46</f>
        <v>13.346153846153847</v>
      </c>
      <c r="V238" s="15">
        <f t="shared" si="9"/>
        <v>2.4470588235305817</v>
      </c>
    </row>
    <row r="239" spans="4:22" x14ac:dyDescent="0.25">
      <c r="R239" s="15">
        <f>Start_up!A47-Start_up!B47</f>
        <v>35.432692307692307</v>
      </c>
      <c r="T239" s="15">
        <f>Start_up!G47</f>
        <v>13.522435897435898</v>
      </c>
      <c r="V239" s="15">
        <f t="shared" si="9"/>
        <v>2.4835820895534266</v>
      </c>
    </row>
    <row r="240" spans="4:22" x14ac:dyDescent="0.25">
      <c r="R240" s="15">
        <f>Start_up!A48-Start_up!B48</f>
        <v>34.903846153846153</v>
      </c>
      <c r="T240" s="15">
        <f>Start_up!G48</f>
        <v>13.698717948717949</v>
      </c>
      <c r="V240" s="15">
        <f t="shared" si="9"/>
        <v>2.5212121212133272</v>
      </c>
    </row>
    <row r="241" spans="18:22" x14ac:dyDescent="0.25">
      <c r="R241" s="15">
        <f>Start_up!A49-Start_up!B49</f>
        <v>34.375</v>
      </c>
      <c r="T241" s="15">
        <f>Start_up!G49</f>
        <v>13.875</v>
      </c>
      <c r="V241" s="15">
        <f t="shared" si="9"/>
        <v>2.5600000000012244</v>
      </c>
    </row>
    <row r="242" spans="18:22" x14ac:dyDescent="0.25">
      <c r="R242" s="15">
        <f>Start_up!A50-Start_up!B50</f>
        <v>33.846153846153847</v>
      </c>
      <c r="T242" s="15">
        <f>Start_up!G50</f>
        <v>14.051282051282051</v>
      </c>
      <c r="V242" s="15">
        <f t="shared" si="9"/>
        <v>2.6000000000012435</v>
      </c>
    </row>
    <row r="243" spans="18:22" x14ac:dyDescent="0.25">
      <c r="R243" s="15">
        <f>Start_up!A51-Start_up!B51</f>
        <v>33.317307692307693</v>
      </c>
      <c r="T243" s="15">
        <f>Start_up!G51</f>
        <v>14.227564102564102</v>
      </c>
      <c r="V243" s="15">
        <f t="shared" si="9"/>
        <v>2.6412698412711046</v>
      </c>
    </row>
    <row r="244" spans="18:22" x14ac:dyDescent="0.25">
      <c r="R244" s="15">
        <f>Start_up!A52-Start_up!B52</f>
        <v>32.788461538461533</v>
      </c>
      <c r="T244" s="15">
        <f>Start_up!G52</f>
        <v>14.403846153846153</v>
      </c>
      <c r="V244" s="15">
        <f t="shared" si="9"/>
        <v>2.6838709677432195</v>
      </c>
    </row>
    <row r="245" spans="18:22" x14ac:dyDescent="0.25">
      <c r="R245" s="15">
        <f>Start_up!A53-Start_up!B53</f>
        <v>32.259615384615387</v>
      </c>
      <c r="T245" s="15">
        <f>Start_up!G53</f>
        <v>14.580128205128204</v>
      </c>
      <c r="V245" s="15">
        <f t="shared" si="9"/>
        <v>2.727868852460321</v>
      </c>
    </row>
    <row r="246" spans="18:22" x14ac:dyDescent="0.25">
      <c r="R246" s="15">
        <f>Start_up!A54-Start_up!B54</f>
        <v>31.73076923076923</v>
      </c>
      <c r="T246" s="15">
        <f>Start_up!G54</f>
        <v>14.756410256410255</v>
      </c>
      <c r="V246" s="15">
        <f t="shared" si="9"/>
        <v>2.7733333333346599</v>
      </c>
    </row>
    <row r="247" spans="18:22" x14ac:dyDescent="0.25">
      <c r="R247" s="15">
        <f>Start_up!A55-Start_up!B55</f>
        <v>31.201923076923077</v>
      </c>
      <c r="T247" s="15">
        <f>Start_up!G55</f>
        <v>14.932692307692307</v>
      </c>
      <c r="V247" s="15">
        <f t="shared" si="9"/>
        <v>2.8203389830521965</v>
      </c>
    </row>
    <row r="248" spans="18:22" x14ac:dyDescent="0.25">
      <c r="R248" s="15">
        <f>Start_up!A56-Start_up!B56</f>
        <v>30.673076923076923</v>
      </c>
      <c r="T248" s="15">
        <f>Start_up!G56</f>
        <v>15.108974358974359</v>
      </c>
      <c r="V248" s="15">
        <f t="shared" si="9"/>
        <v>2.8689655172427515</v>
      </c>
    </row>
    <row r="249" spans="18:22" x14ac:dyDescent="0.25">
      <c r="R249" s="15">
        <f>Start_up!A57-Start_up!B57</f>
        <v>30.14423076923077</v>
      </c>
      <c r="T249" s="15">
        <f>Start_up!G57</f>
        <v>15.285256410256411</v>
      </c>
      <c r="V249" s="15">
        <f t="shared" si="9"/>
        <v>2.9192982456154315</v>
      </c>
    </row>
    <row r="250" spans="18:22" x14ac:dyDescent="0.25">
      <c r="R250" s="15">
        <f>Start_up!A58-Start_up!B58</f>
        <v>29.615384615384613</v>
      </c>
      <c r="T250" s="15">
        <f>Start_up!G58</f>
        <v>15.461538461538462</v>
      </c>
      <c r="V250" s="15">
        <f t="shared" si="9"/>
        <v>2.9714285714299931</v>
      </c>
    </row>
    <row r="251" spans="18:22" x14ac:dyDescent="0.25">
      <c r="R251" s="15">
        <f>Start_up!A59-Start_up!B59</f>
        <v>29.086538461538463</v>
      </c>
      <c r="T251" s="15">
        <f>Start_up!G59</f>
        <v>15.637820512820513</v>
      </c>
      <c r="V251" s="15">
        <f t="shared" si="9"/>
        <v>3.0254545454559922</v>
      </c>
    </row>
    <row r="252" spans="18:22" x14ac:dyDescent="0.25">
      <c r="R252" s="15">
        <f>Start_up!A60-Start_up!B60</f>
        <v>28.557692307692307</v>
      </c>
      <c r="T252" s="15">
        <f>Start_up!G60</f>
        <v>15.814102564102564</v>
      </c>
      <c r="V252" s="15">
        <f t="shared" si="9"/>
        <v>3.0814814814829554</v>
      </c>
    </row>
    <row r="253" spans="18:22" x14ac:dyDescent="0.25">
      <c r="R253" s="15">
        <f>Start_up!A61-Start_up!B61</f>
        <v>28.028846153846153</v>
      </c>
      <c r="T253" s="15">
        <f>Start_up!G61</f>
        <v>15.990384615384615</v>
      </c>
      <c r="V253" s="15">
        <f t="shared" si="9"/>
        <v>3.1396226415109356</v>
      </c>
    </row>
    <row r="254" spans="18:22" x14ac:dyDescent="0.25">
      <c r="R254" s="15">
        <f>Start_up!A62-Start_up!B62</f>
        <v>27.5</v>
      </c>
      <c r="T254" s="15">
        <f>Start_up!G62</f>
        <v>16.166666666666664</v>
      </c>
      <c r="V254" s="15">
        <f t="shared" si="9"/>
        <v>3.2000000000015305</v>
      </c>
    </row>
    <row r="255" spans="18:22" x14ac:dyDescent="0.25">
      <c r="R255" s="15">
        <f>Start_up!A63-Start_up!B63</f>
        <v>26.971153846153847</v>
      </c>
      <c r="T255" s="15">
        <f>Start_up!G63</f>
        <v>16.342948717948715</v>
      </c>
      <c r="V255" s="15">
        <f t="shared" si="9"/>
        <v>3.2627450980407762</v>
      </c>
    </row>
    <row r="256" spans="18:22" x14ac:dyDescent="0.25">
      <c r="R256" s="15">
        <f>Start_up!A64-Start_up!B64</f>
        <v>26.44230769230769</v>
      </c>
      <c r="T256" s="15">
        <f>Start_up!G64</f>
        <v>16.51923076923077</v>
      </c>
      <c r="V256" s="15">
        <f t="shared" si="9"/>
        <v>3.3280000000015924</v>
      </c>
    </row>
    <row r="257" spans="18:22" x14ac:dyDescent="0.25">
      <c r="R257" s="15">
        <f>Start_up!A65-Start_up!B65</f>
        <v>25.913461538461537</v>
      </c>
      <c r="T257" s="15">
        <f>Start_up!G65</f>
        <v>16.695512820512821</v>
      </c>
      <c r="V257" s="15">
        <f t="shared" si="9"/>
        <v>3.3959183673485636</v>
      </c>
    </row>
    <row r="258" spans="18:22" x14ac:dyDescent="0.25">
      <c r="R258" s="15">
        <f>Start_up!A66-Start_up!B66</f>
        <v>25.384615384615387</v>
      </c>
      <c r="T258" s="15">
        <f>Start_up!G66</f>
        <v>16.871794871794869</v>
      </c>
      <c r="V258" s="15">
        <f t="shared" si="9"/>
        <v>3.4666666666683246</v>
      </c>
    </row>
    <row r="259" spans="18:22" x14ac:dyDescent="0.25">
      <c r="R259" s="15">
        <f>Start_up!A67-Start_up!B67</f>
        <v>24.855769230769226</v>
      </c>
      <c r="T259" s="15">
        <f>Start_up!G67</f>
        <v>17.048076923076927</v>
      </c>
      <c r="V259" s="15">
        <f t="shared" si="9"/>
        <v>3.5404255319165876</v>
      </c>
    </row>
    <row r="260" spans="18:22" x14ac:dyDescent="0.25">
      <c r="R260" s="15">
        <f>Start_up!A68-Start_up!B68</f>
        <v>24.326923076923077</v>
      </c>
      <c r="T260" s="15">
        <f>Start_up!G68</f>
        <v>17.224358974358974</v>
      </c>
      <c r="V260" s="15">
        <f t="shared" si="9"/>
        <v>3.6173913043495562</v>
      </c>
    </row>
    <row r="261" spans="18:22" x14ac:dyDescent="0.25">
      <c r="R261" s="15">
        <f>Start_up!A69-Start_up!B69</f>
        <v>23.798076923076923</v>
      </c>
      <c r="T261" s="15">
        <f>Start_up!G69</f>
        <v>17.400641025641026</v>
      </c>
      <c r="V261" s="15">
        <f t="shared" si="9"/>
        <v>3.6977777777795464</v>
      </c>
    </row>
    <row r="262" spans="18:22" x14ac:dyDescent="0.25">
      <c r="R262" s="15">
        <f>Start_up!A70-Start_up!B70</f>
        <v>23.269230769230774</v>
      </c>
      <c r="T262" s="15">
        <f>Start_up!G70</f>
        <v>17.576923076923073</v>
      </c>
      <c r="V262" s="15">
        <f t="shared" si="9"/>
        <v>3.7818181818199901</v>
      </c>
    </row>
    <row r="263" spans="18:22" x14ac:dyDescent="0.25">
      <c r="R263" s="15">
        <f>Start_up!A71-Start_up!B71</f>
        <v>22.740384615384613</v>
      </c>
      <c r="T263" s="15">
        <f>Start_up!G71</f>
        <v>17.753205128205131</v>
      </c>
      <c r="V263" s="15">
        <f t="shared" si="9"/>
        <v>3.8697674418623165</v>
      </c>
    </row>
    <row r="264" spans="18:22" x14ac:dyDescent="0.25">
      <c r="R264" s="15">
        <f>Start_up!A72-Start_up!B72</f>
        <v>22.21153846153846</v>
      </c>
      <c r="T264" s="15">
        <f>Start_up!G72</f>
        <v>17.929487179487182</v>
      </c>
      <c r="V264" s="15">
        <f t="shared" si="9"/>
        <v>3.9619047619066574</v>
      </c>
    </row>
    <row r="265" spans="18:22" x14ac:dyDescent="0.25">
      <c r="R265" s="15">
        <f>Start_up!A73-Start_up!B73</f>
        <v>21.682692307692307</v>
      </c>
      <c r="T265" s="15">
        <f>Start_up!G73</f>
        <v>18.105769230769234</v>
      </c>
      <c r="V265" s="15">
        <f t="shared" si="9"/>
        <v>4.0585365853677953</v>
      </c>
    </row>
    <row r="266" spans="18:22" x14ac:dyDescent="0.25">
      <c r="R266" s="15">
        <f>Start_up!A74-Start_up!B74</f>
        <v>21.153846153846153</v>
      </c>
      <c r="T266" s="15">
        <f>Start_up!G74</f>
        <v>18.282051282051285</v>
      </c>
      <c r="V266" s="15">
        <f t="shared" si="9"/>
        <v>4.1600000000019897</v>
      </c>
    </row>
    <row r="267" spans="18:22" x14ac:dyDescent="0.25">
      <c r="R267" s="15">
        <f>Start_up!A75-Start_up!B75</f>
        <v>20.625</v>
      </c>
      <c r="T267" s="15">
        <f>Start_up!G75</f>
        <v>18.458333333333336</v>
      </c>
      <c r="V267" s="15">
        <f t="shared" ref="V267:V306" si="10">$X$202/R267</f>
        <v>4.2666666666687076</v>
      </c>
    </row>
    <row r="268" spans="18:22" x14ac:dyDescent="0.25">
      <c r="R268" s="15">
        <f>Start_up!A76-Start_up!B76</f>
        <v>20.096153846153847</v>
      </c>
      <c r="T268" s="15">
        <f>Start_up!G76</f>
        <v>18.634615384615387</v>
      </c>
      <c r="V268" s="15">
        <f t="shared" si="10"/>
        <v>4.3789473684231472</v>
      </c>
    </row>
    <row r="269" spans="18:22" x14ac:dyDescent="0.25">
      <c r="R269" s="15">
        <f>Start_up!A77-Start_up!B77</f>
        <v>19.567307692307693</v>
      </c>
      <c r="T269" s="15">
        <f>Start_up!G77</f>
        <v>18.810897435897438</v>
      </c>
      <c r="V269" s="15">
        <f t="shared" si="10"/>
        <v>4.4972972972994478</v>
      </c>
    </row>
    <row r="270" spans="18:22" x14ac:dyDescent="0.25">
      <c r="R270" s="15">
        <f>Start_up!A78-Start_up!B78</f>
        <v>19.03846153846154</v>
      </c>
      <c r="T270" s="15">
        <f>Start_up!G78</f>
        <v>18.987179487179489</v>
      </c>
      <c r="V270" s="15">
        <f t="shared" si="10"/>
        <v>4.6222222222244325</v>
      </c>
    </row>
    <row r="271" spans="18:22" x14ac:dyDescent="0.25">
      <c r="R271" s="15">
        <f>Start_up!A79-Start_up!B79</f>
        <v>18.509615384615387</v>
      </c>
      <c r="T271" s="15">
        <f>Start_up!G79</f>
        <v>19.16346153846154</v>
      </c>
      <c r="V271" s="15">
        <f t="shared" si="10"/>
        <v>4.7542857142879882</v>
      </c>
    </row>
    <row r="272" spans="18:22" x14ac:dyDescent="0.25">
      <c r="R272" s="15">
        <f>Start_up!A80-Start_up!B80</f>
        <v>17.980769230769226</v>
      </c>
      <c r="T272" s="15">
        <f>Start_up!G80</f>
        <v>19.339743589743591</v>
      </c>
      <c r="V272" s="15">
        <f t="shared" si="10"/>
        <v>4.894117647061166</v>
      </c>
    </row>
    <row r="273" spans="18:22" x14ac:dyDescent="0.25">
      <c r="R273" s="15">
        <f>Start_up!A81-Start_up!B81</f>
        <v>17.451923076923073</v>
      </c>
      <c r="T273" s="15">
        <f>Start_up!G81</f>
        <v>19.516025641025642</v>
      </c>
      <c r="V273" s="15">
        <f t="shared" si="10"/>
        <v>5.0424242424266552</v>
      </c>
    </row>
    <row r="274" spans="18:22" x14ac:dyDescent="0.25">
      <c r="R274" s="15">
        <f>Start_up!A82-Start_up!B82</f>
        <v>16.923076923076927</v>
      </c>
      <c r="T274" s="15">
        <f>Start_up!G82</f>
        <v>19.692307692307693</v>
      </c>
      <c r="V274" s="15">
        <f t="shared" si="10"/>
        <v>5.2000000000024862</v>
      </c>
    </row>
    <row r="275" spans="18:22" x14ac:dyDescent="0.25">
      <c r="R275" s="15">
        <f>Start_up!A83-Start_up!B83</f>
        <v>16.394230769230774</v>
      </c>
      <c r="T275" s="15">
        <f>Start_up!G83</f>
        <v>19.868589743589745</v>
      </c>
      <c r="V275" s="15">
        <f t="shared" si="10"/>
        <v>5.3677419354864373</v>
      </c>
    </row>
    <row r="276" spans="18:22" x14ac:dyDescent="0.25">
      <c r="R276" s="15">
        <f>Start_up!A84-Start_up!B84</f>
        <v>15.865384615384613</v>
      </c>
      <c r="T276" s="15">
        <f>Start_up!G84</f>
        <v>20.044871794871796</v>
      </c>
      <c r="V276" s="15">
        <f t="shared" si="10"/>
        <v>5.5466666666693207</v>
      </c>
    </row>
    <row r="277" spans="18:22" x14ac:dyDescent="0.25">
      <c r="R277" s="15">
        <f>Start_up!A85-Start_up!B85</f>
        <v>15.33653846153846</v>
      </c>
      <c r="T277" s="15">
        <f>Start_up!G85</f>
        <v>20.221153846153847</v>
      </c>
      <c r="V277" s="15">
        <f t="shared" si="10"/>
        <v>5.7379310344855039</v>
      </c>
    </row>
    <row r="278" spans="18:22" x14ac:dyDescent="0.25">
      <c r="R278" s="15">
        <f>Start_up!A86-Start_up!B86</f>
        <v>14.807692307692307</v>
      </c>
      <c r="T278" s="15">
        <f>Start_up!G86</f>
        <v>20.397435897435898</v>
      </c>
      <c r="V278" s="15">
        <f t="shared" si="10"/>
        <v>5.9428571428599861</v>
      </c>
    </row>
    <row r="279" spans="18:22" x14ac:dyDescent="0.25">
      <c r="R279" s="15">
        <f>Start_up!A87-Start_up!B87</f>
        <v>14.278846153846153</v>
      </c>
      <c r="T279" s="15">
        <f>Start_up!G87</f>
        <v>20.573717948717949</v>
      </c>
      <c r="V279" s="15">
        <f t="shared" si="10"/>
        <v>6.1629629629659108</v>
      </c>
    </row>
    <row r="280" spans="18:22" x14ac:dyDescent="0.25">
      <c r="R280" s="15">
        <f>Start_up!A88-Start_up!B88</f>
        <v>13.75</v>
      </c>
      <c r="T280" s="15">
        <f>Start_up!G88</f>
        <v>20.75</v>
      </c>
      <c r="V280" s="15">
        <f t="shared" si="10"/>
        <v>6.400000000003061</v>
      </c>
    </row>
    <row r="281" spans="18:22" x14ac:dyDescent="0.25">
      <c r="R281" s="15">
        <f>Start_up!A89-Start_up!B89</f>
        <v>13.221153846153847</v>
      </c>
      <c r="T281" s="15">
        <f>Start_up!G89</f>
        <v>20.926282051282051</v>
      </c>
      <c r="V281" s="15">
        <f t="shared" si="10"/>
        <v>6.6560000000031838</v>
      </c>
    </row>
    <row r="282" spans="18:22" x14ac:dyDescent="0.25">
      <c r="R282" s="15">
        <f>Start_up!A90-Start_up!B90</f>
        <v>12.692307692307693</v>
      </c>
      <c r="T282" s="15">
        <f>Start_up!G90</f>
        <v>21.102564102564102</v>
      </c>
      <c r="V282" s="15">
        <f t="shared" si="10"/>
        <v>6.9333333333366491</v>
      </c>
    </row>
    <row r="283" spans="18:22" x14ac:dyDescent="0.25">
      <c r="R283" s="15">
        <f>Start_up!A91-Start_up!B91</f>
        <v>12.16346153846154</v>
      </c>
      <c r="T283" s="15">
        <f>Start_up!G91</f>
        <v>21.278846153846153</v>
      </c>
      <c r="V283" s="15">
        <f t="shared" si="10"/>
        <v>7.2347826086991116</v>
      </c>
    </row>
    <row r="284" spans="18:22" x14ac:dyDescent="0.25">
      <c r="R284" s="15">
        <f>Start_up!A92-Start_up!B92</f>
        <v>11.634615384615387</v>
      </c>
      <c r="T284" s="15">
        <f>Start_up!G92</f>
        <v>21.455128205128204</v>
      </c>
      <c r="V284" s="15">
        <f t="shared" si="10"/>
        <v>7.5636363636399802</v>
      </c>
    </row>
    <row r="285" spans="18:22" x14ac:dyDescent="0.25">
      <c r="R285" s="15">
        <f>Start_up!A93-Start_up!B93</f>
        <v>11.105769230769226</v>
      </c>
      <c r="T285" s="15">
        <f>Start_up!G93</f>
        <v>21.631410256410255</v>
      </c>
      <c r="V285" s="15">
        <f t="shared" si="10"/>
        <v>7.9238095238133175</v>
      </c>
    </row>
    <row r="286" spans="18:22" x14ac:dyDescent="0.25">
      <c r="R286" s="15">
        <f>Start_up!A94-Start_up!B94</f>
        <v>10.576923076923073</v>
      </c>
      <c r="T286" s="15">
        <f>Start_up!G94</f>
        <v>21.807692307692307</v>
      </c>
      <c r="V286" s="15">
        <f t="shared" si="10"/>
        <v>8.3200000000039829</v>
      </c>
    </row>
    <row r="287" spans="18:22" x14ac:dyDescent="0.25">
      <c r="R287" s="15">
        <f>Start_up!A95-Start_up!B95</f>
        <v>10.048076923076927</v>
      </c>
      <c r="T287" s="15">
        <f>Start_up!G95</f>
        <v>21.983974358974358</v>
      </c>
      <c r="V287" s="15">
        <f t="shared" si="10"/>
        <v>8.7578947368462909</v>
      </c>
    </row>
    <row r="288" spans="18:22" x14ac:dyDescent="0.25">
      <c r="R288" s="15">
        <f>Start_up!A96-Start_up!B96</f>
        <v>9.5192307692307736</v>
      </c>
      <c r="T288" s="15">
        <f>Start_up!G96</f>
        <v>22.160256410256409</v>
      </c>
      <c r="V288" s="15">
        <f t="shared" si="10"/>
        <v>9.2444444444488614</v>
      </c>
    </row>
    <row r="289" spans="18:22" x14ac:dyDescent="0.25">
      <c r="R289" s="15">
        <f>Start_up!A97-Start_up!B97</f>
        <v>8.9903846153846132</v>
      </c>
      <c r="T289" s="15">
        <f>Start_up!G97</f>
        <v>22.33653846153846</v>
      </c>
      <c r="V289" s="15">
        <f t="shared" si="10"/>
        <v>9.7882352941223321</v>
      </c>
    </row>
    <row r="290" spans="18:22" x14ac:dyDescent="0.25">
      <c r="R290" s="15">
        <f>Start_up!A98-Start_up!B98</f>
        <v>8.4615384615384599</v>
      </c>
      <c r="T290" s="15">
        <f>Start_up!G98</f>
        <v>22.512820512820511</v>
      </c>
      <c r="V290" s="15">
        <f t="shared" si="10"/>
        <v>10.400000000004976</v>
      </c>
    </row>
    <row r="291" spans="18:22" x14ac:dyDescent="0.25">
      <c r="R291" s="15">
        <f>Start_up!A99-Start_up!B99</f>
        <v>7.9326923076923066</v>
      </c>
      <c r="T291" s="15">
        <f>Start_up!G99</f>
        <v>22.689102564102562</v>
      </c>
      <c r="V291" s="15">
        <f t="shared" si="10"/>
        <v>11.093333333338641</v>
      </c>
    </row>
    <row r="292" spans="18:22" x14ac:dyDescent="0.25">
      <c r="R292" s="15">
        <f>Start_up!A100-Start_up!B100</f>
        <v>7.4038461538461533</v>
      </c>
      <c r="T292" s="15">
        <f>Start_up!G100</f>
        <v>22.865384615384613</v>
      </c>
      <c r="V292" s="15">
        <f t="shared" si="10"/>
        <v>11.885714285719972</v>
      </c>
    </row>
    <row r="293" spans="18:22" x14ac:dyDescent="0.25">
      <c r="R293" s="15">
        <f>Start_up!A101-Start_up!B101</f>
        <v>6.875</v>
      </c>
      <c r="T293" s="15">
        <f>Start_up!G101</f>
        <v>23.041666666666668</v>
      </c>
      <c r="V293" s="15">
        <f t="shared" si="10"/>
        <v>12.800000000006122</v>
      </c>
    </row>
    <row r="294" spans="18:22" x14ac:dyDescent="0.25">
      <c r="R294" s="15">
        <f>Start_up!A102-Start_up!B102</f>
        <v>6.3461538461538467</v>
      </c>
      <c r="T294" s="15">
        <f>Start_up!G102</f>
        <v>23.217948717948719</v>
      </c>
      <c r="V294" s="15">
        <f t="shared" si="10"/>
        <v>13.866666666673298</v>
      </c>
    </row>
    <row r="295" spans="18:22" x14ac:dyDescent="0.25">
      <c r="R295" s="15">
        <f>Start_up!A103-Start_up!B103</f>
        <v>5.8173076923076934</v>
      </c>
      <c r="T295" s="15">
        <f>Start_up!G103</f>
        <v>23.39423076923077</v>
      </c>
      <c r="V295" s="15">
        <f t="shared" si="10"/>
        <v>15.12727272727996</v>
      </c>
    </row>
    <row r="296" spans="18:22" x14ac:dyDescent="0.25">
      <c r="R296" s="15">
        <f>Start_up!A104-Start_up!B104</f>
        <v>5.2884615384615401</v>
      </c>
      <c r="T296" s="15">
        <f>Start_up!G104</f>
        <v>23.570512820512821</v>
      </c>
      <c r="V296" s="15">
        <f t="shared" si="10"/>
        <v>16.640000000007955</v>
      </c>
    </row>
    <row r="297" spans="18:22" x14ac:dyDescent="0.25">
      <c r="R297" s="15">
        <f>Start_up!A105-Start_up!B105</f>
        <v>4.7596153846153868</v>
      </c>
      <c r="T297" s="15">
        <f>Start_up!G105</f>
        <v>23.746794871794872</v>
      </c>
      <c r="V297" s="15">
        <f t="shared" si="10"/>
        <v>18.488888888897723</v>
      </c>
    </row>
    <row r="298" spans="18:22" x14ac:dyDescent="0.25">
      <c r="R298" s="15">
        <f>Start_up!A106-Start_up!B106</f>
        <v>4.2307692307692264</v>
      </c>
      <c r="T298" s="15">
        <f>Start_up!G106</f>
        <v>23.923076923076923</v>
      </c>
      <c r="V298" s="15">
        <f t="shared" si="10"/>
        <v>20.80000000000997</v>
      </c>
    </row>
    <row r="299" spans="18:22" x14ac:dyDescent="0.25">
      <c r="R299" s="15">
        <f>Start_up!A107-Start_up!B107</f>
        <v>3.7019230769230731</v>
      </c>
      <c r="T299" s="15">
        <f>Start_up!G107</f>
        <v>24.099358974358974</v>
      </c>
      <c r="V299" s="15">
        <f t="shared" si="10"/>
        <v>23.771428571439966</v>
      </c>
    </row>
    <row r="300" spans="18:22" x14ac:dyDescent="0.25">
      <c r="R300" s="15">
        <f>Start_up!A108-Start_up!B108</f>
        <v>3.1730769230769269</v>
      </c>
      <c r="T300" s="15">
        <f>Start_up!G108</f>
        <v>24.275641025641026</v>
      </c>
      <c r="V300" s="15">
        <f t="shared" si="10"/>
        <v>27.733333333346565</v>
      </c>
    </row>
    <row r="301" spans="18:22" x14ac:dyDescent="0.25">
      <c r="R301" s="15">
        <f>Start_up!A109-Start_up!B109</f>
        <v>2.6442307692307736</v>
      </c>
      <c r="T301" s="15">
        <f>Start_up!G109</f>
        <v>24.451923076923077</v>
      </c>
      <c r="V301" s="15">
        <f t="shared" si="10"/>
        <v>33.28000000001586</v>
      </c>
    </row>
    <row r="302" spans="18:22" x14ac:dyDescent="0.25">
      <c r="R302" s="15">
        <f>Start_up!A110-Start_up!B110</f>
        <v>2.1153846153846132</v>
      </c>
      <c r="T302" s="15">
        <f>Start_up!G110</f>
        <v>24.628205128205128</v>
      </c>
      <c r="V302" s="15">
        <f t="shared" si="10"/>
        <v>41.600000000019939</v>
      </c>
    </row>
    <row r="303" spans="18:22" x14ac:dyDescent="0.25">
      <c r="R303" s="15">
        <f>Start_up!A111-Start_up!B111</f>
        <v>1.5865384615384599</v>
      </c>
      <c r="T303" s="15">
        <f>Start_up!G111</f>
        <v>24.804487179487179</v>
      </c>
      <c r="V303" s="15">
        <f t="shared" si="10"/>
        <v>55.466666666693257</v>
      </c>
    </row>
    <row r="304" spans="18:22" x14ac:dyDescent="0.25">
      <c r="R304" s="15">
        <f>Start_up!A112-Start_up!B112</f>
        <v>1.0576923076923066</v>
      </c>
      <c r="T304" s="15">
        <f>Start_up!G112</f>
        <v>24.98076923076923</v>
      </c>
      <c r="V304" s="15">
        <f t="shared" si="10"/>
        <v>83.200000000039879</v>
      </c>
    </row>
    <row r="305" spans="18:22" x14ac:dyDescent="0.25">
      <c r="R305" s="15">
        <f>Start_up!A113-Start_up!B113</f>
        <v>0.5288461538461533</v>
      </c>
      <c r="T305" s="15">
        <f>Start_up!G113</f>
        <v>25.157051282051281</v>
      </c>
      <c r="V305" s="15">
        <f t="shared" si="10"/>
        <v>166.40000000007976</v>
      </c>
    </row>
    <row r="306" spans="18:22" x14ac:dyDescent="0.25">
      <c r="R306" s="15">
        <f>Start_up!A114-Start_up!B114</f>
        <v>0</v>
      </c>
      <c r="T306" s="15">
        <f>Start_up!G114</f>
        <v>25.333333333333332</v>
      </c>
      <c r="V306" s="15" t="e">
        <f t="shared" si="10"/>
        <v>#DIV/0!</v>
      </c>
    </row>
    <row r="307" spans="18:22" x14ac:dyDescent="0.25">
      <c r="R307" s="15"/>
    </row>
    <row r="308" spans="18:22" x14ac:dyDescent="0.25">
      <c r="R308" s="15"/>
    </row>
    <row r="309" spans="18:22" x14ac:dyDescent="0.25">
      <c r="R309" s="15"/>
    </row>
    <row r="310" spans="18:22" x14ac:dyDescent="0.25">
      <c r="R310" s="15"/>
    </row>
    <row r="311" spans="18:22" x14ac:dyDescent="0.25">
      <c r="R311" s="15"/>
    </row>
    <row r="312" spans="18:22" x14ac:dyDescent="0.25">
      <c r="R312" s="15"/>
    </row>
    <row r="313" spans="18:22" x14ac:dyDescent="0.25">
      <c r="R313" s="15"/>
    </row>
    <row r="314" spans="18:22" x14ac:dyDescent="0.25">
      <c r="R314" s="15"/>
    </row>
    <row r="315" spans="18:22" x14ac:dyDescent="0.25">
      <c r="R315" s="15"/>
    </row>
    <row r="316" spans="18:22" x14ac:dyDescent="0.25">
      <c r="R316" s="15"/>
    </row>
    <row r="317" spans="18:22" x14ac:dyDescent="0.25">
      <c r="R317" s="15"/>
    </row>
    <row r="318" spans="18:22" x14ac:dyDescent="0.25">
      <c r="R318" s="15"/>
    </row>
    <row r="319" spans="18:22" x14ac:dyDescent="0.25">
      <c r="R319" s="15"/>
    </row>
    <row r="320" spans="18:22" x14ac:dyDescent="0.25">
      <c r="R320" s="15"/>
    </row>
    <row r="321" spans="18:18" x14ac:dyDescent="0.25">
      <c r="R321" s="15"/>
    </row>
    <row r="322" spans="18:18" x14ac:dyDescent="0.25">
      <c r="R322" s="15"/>
    </row>
    <row r="323" spans="18:18" x14ac:dyDescent="0.25">
      <c r="R323" s="15"/>
    </row>
    <row r="324" spans="18:18" x14ac:dyDescent="0.25">
      <c r="R324" s="15"/>
    </row>
    <row r="325" spans="18:18" x14ac:dyDescent="0.25">
      <c r="R325" s="15"/>
    </row>
    <row r="326" spans="18:18" x14ac:dyDescent="0.25">
      <c r="R326" s="15"/>
    </row>
    <row r="327" spans="18:18" x14ac:dyDescent="0.25">
      <c r="R327" s="15"/>
    </row>
    <row r="328" spans="18:18" x14ac:dyDescent="0.25">
      <c r="R328" s="15"/>
    </row>
    <row r="329" spans="18:18" x14ac:dyDescent="0.25">
      <c r="R329" s="15"/>
    </row>
    <row r="330" spans="18:18" x14ac:dyDescent="0.25">
      <c r="R330" s="15"/>
    </row>
    <row r="331" spans="18:18" x14ac:dyDescent="0.25">
      <c r="R331" s="15"/>
    </row>
    <row r="332" spans="18:18" x14ac:dyDescent="0.25">
      <c r="R332" s="15"/>
    </row>
    <row r="333" spans="18:18" x14ac:dyDescent="0.25">
      <c r="R333" s="15"/>
    </row>
    <row r="334" spans="18:18" x14ac:dyDescent="0.25">
      <c r="R334" s="15"/>
    </row>
    <row r="335" spans="18:18" x14ac:dyDescent="0.25">
      <c r="R335" s="15"/>
    </row>
    <row r="336" spans="18:18" x14ac:dyDescent="0.25">
      <c r="R336" s="15"/>
    </row>
    <row r="337" spans="18:18" x14ac:dyDescent="0.25">
      <c r="R337" s="15"/>
    </row>
    <row r="338" spans="18:18" x14ac:dyDescent="0.25">
      <c r="R338" s="15"/>
    </row>
    <row r="339" spans="18:18" x14ac:dyDescent="0.25">
      <c r="R339" s="15"/>
    </row>
    <row r="340" spans="18:18" x14ac:dyDescent="0.25">
      <c r="R340" s="15"/>
    </row>
    <row r="341" spans="18:18" x14ac:dyDescent="0.25">
      <c r="R341" s="15"/>
    </row>
    <row r="342" spans="18:18" x14ac:dyDescent="0.25">
      <c r="R342" s="15"/>
    </row>
    <row r="343" spans="18:18" x14ac:dyDescent="0.25">
      <c r="R343" s="15"/>
    </row>
    <row r="344" spans="18:18" x14ac:dyDescent="0.25">
      <c r="R344" s="15"/>
    </row>
    <row r="345" spans="18:18" x14ac:dyDescent="0.25">
      <c r="R345" s="15"/>
    </row>
    <row r="346" spans="18:18" x14ac:dyDescent="0.25">
      <c r="R346" s="15"/>
    </row>
    <row r="347" spans="18:18" x14ac:dyDescent="0.25">
      <c r="R347" s="15"/>
    </row>
    <row r="348" spans="18:18" x14ac:dyDescent="0.25">
      <c r="R348" s="15"/>
    </row>
    <row r="349" spans="18:18" x14ac:dyDescent="0.25">
      <c r="R349" s="15"/>
    </row>
    <row r="350" spans="18:18" x14ac:dyDescent="0.25">
      <c r="R350" s="15"/>
    </row>
    <row r="351" spans="18:18" x14ac:dyDescent="0.25">
      <c r="R351" s="15"/>
    </row>
    <row r="352" spans="18:18" x14ac:dyDescent="0.25">
      <c r="R352" s="15"/>
    </row>
    <row r="353" spans="18:18" x14ac:dyDescent="0.25">
      <c r="R353" s="15"/>
    </row>
    <row r="354" spans="18:18" x14ac:dyDescent="0.25">
      <c r="R354" s="15"/>
    </row>
    <row r="355" spans="18:18" x14ac:dyDescent="0.25">
      <c r="R355" s="15"/>
    </row>
    <row r="356" spans="18:18" x14ac:dyDescent="0.25">
      <c r="R356" s="15"/>
    </row>
    <row r="357" spans="18:18" x14ac:dyDescent="0.25">
      <c r="R357" s="15"/>
    </row>
    <row r="358" spans="18:18" x14ac:dyDescent="0.25">
      <c r="R358" s="15"/>
    </row>
    <row r="359" spans="18:18" x14ac:dyDescent="0.25">
      <c r="R359" s="15"/>
    </row>
    <row r="360" spans="18:18" x14ac:dyDescent="0.25">
      <c r="R360" s="15"/>
    </row>
    <row r="361" spans="18:18" x14ac:dyDescent="0.25">
      <c r="R361" s="15"/>
    </row>
    <row r="362" spans="18:18" x14ac:dyDescent="0.25">
      <c r="R362" s="15"/>
    </row>
    <row r="363" spans="18:18" x14ac:dyDescent="0.25">
      <c r="R363" s="15"/>
    </row>
    <row r="364" spans="18:18" x14ac:dyDescent="0.25">
      <c r="R364" s="15"/>
    </row>
    <row r="365" spans="18:18" x14ac:dyDescent="0.25">
      <c r="R365" s="15"/>
    </row>
    <row r="366" spans="18:18" x14ac:dyDescent="0.25">
      <c r="R366" s="15"/>
    </row>
    <row r="367" spans="18:18" x14ac:dyDescent="0.25">
      <c r="R367" s="15"/>
    </row>
    <row r="368" spans="18:18" x14ac:dyDescent="0.25">
      <c r="R368" s="15"/>
    </row>
    <row r="369" spans="18:18" x14ac:dyDescent="0.25">
      <c r="R369" s="15"/>
    </row>
    <row r="370" spans="18:18" x14ac:dyDescent="0.25">
      <c r="R370" s="15"/>
    </row>
    <row r="371" spans="18:18" x14ac:dyDescent="0.25">
      <c r="R371" s="15"/>
    </row>
    <row r="372" spans="18:18" x14ac:dyDescent="0.25">
      <c r="R372" s="15"/>
    </row>
    <row r="373" spans="18:18" x14ac:dyDescent="0.25">
      <c r="R373" s="15"/>
    </row>
    <row r="374" spans="18:18" x14ac:dyDescent="0.25">
      <c r="R374" s="15"/>
    </row>
    <row r="375" spans="18:18" x14ac:dyDescent="0.25">
      <c r="R375" s="15"/>
    </row>
    <row r="376" spans="18:18" x14ac:dyDescent="0.25">
      <c r="R376" s="15"/>
    </row>
    <row r="377" spans="18:18" x14ac:dyDescent="0.25">
      <c r="R377" s="15"/>
    </row>
    <row r="378" spans="18:18" x14ac:dyDescent="0.25">
      <c r="R378" s="15"/>
    </row>
    <row r="379" spans="18:18" x14ac:dyDescent="0.25">
      <c r="R379" s="15"/>
    </row>
    <row r="380" spans="18:18" x14ac:dyDescent="0.25">
      <c r="R380" s="15"/>
    </row>
    <row r="381" spans="18:18" x14ac:dyDescent="0.25">
      <c r="R381" s="15"/>
    </row>
    <row r="382" spans="18:18" x14ac:dyDescent="0.25">
      <c r="R382" s="15"/>
    </row>
    <row r="383" spans="18:18" x14ac:dyDescent="0.25">
      <c r="R383" s="15"/>
    </row>
    <row r="384" spans="18:18" x14ac:dyDescent="0.25">
      <c r="R384" s="15"/>
    </row>
    <row r="385" spans="18:18" x14ac:dyDescent="0.25">
      <c r="R385" s="15"/>
    </row>
    <row r="386" spans="18:18" x14ac:dyDescent="0.25">
      <c r="R386" s="15"/>
    </row>
    <row r="387" spans="18:18" x14ac:dyDescent="0.25">
      <c r="R387" s="15"/>
    </row>
    <row r="388" spans="18:18" x14ac:dyDescent="0.25">
      <c r="R388" s="15"/>
    </row>
    <row r="389" spans="18:18" x14ac:dyDescent="0.25">
      <c r="R389" s="15"/>
    </row>
    <row r="390" spans="18:18" x14ac:dyDescent="0.25">
      <c r="R390" s="15"/>
    </row>
    <row r="391" spans="18:18" x14ac:dyDescent="0.25">
      <c r="R391" s="15"/>
    </row>
    <row r="392" spans="18:18" x14ac:dyDescent="0.25">
      <c r="R392" s="15"/>
    </row>
    <row r="393" spans="18:18" x14ac:dyDescent="0.25">
      <c r="R393" s="15"/>
    </row>
    <row r="394" spans="18:18" x14ac:dyDescent="0.25">
      <c r="R394" s="15"/>
    </row>
  </sheetData>
  <mergeCells count="3">
    <mergeCell ref="D57:G57"/>
    <mergeCell ref="D68:G68"/>
    <mergeCell ref="D83:H83"/>
  </mergeCells>
  <phoneticPr fontId="59" type="noConversion"/>
  <pageMargins left="0.7" right="0.7" top="0.75" bottom="0.75" header="0.3" footer="0.3"/>
  <pageSetup orientation="portrait" r:id="rId1"/>
  <ignoredErrors>
    <ignoredError sqref="F1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5"/>
  <sheetViews>
    <sheetView topLeftCell="A86" zoomScale="85" zoomScaleNormal="85" workbookViewId="0">
      <selection activeCell="B114" sqref="B114"/>
    </sheetView>
  </sheetViews>
  <sheetFormatPr defaultColWidth="9.36328125" defaultRowHeight="12.5" x14ac:dyDescent="0.25"/>
  <cols>
    <col min="1" max="1" width="11" style="33" customWidth="1"/>
    <col min="2" max="2" width="14.54296875" style="33" bestFit="1" customWidth="1"/>
    <col min="3" max="3" width="9.36328125" style="33"/>
    <col min="4" max="5" width="15" style="33" customWidth="1"/>
    <col min="6" max="6" width="15.453125" style="33" customWidth="1"/>
    <col min="7" max="7" width="14.6328125" style="33" customWidth="1"/>
    <col min="8" max="8" width="10.6328125" style="33" customWidth="1"/>
    <col min="9" max="9" width="12.453125" style="33" bestFit="1" customWidth="1"/>
    <col min="10" max="10" width="14.6328125" style="33" customWidth="1"/>
    <col min="11" max="11" width="12.6328125" style="33" customWidth="1"/>
    <col min="12" max="12" width="14.36328125" style="33" customWidth="1"/>
    <col min="13" max="13" width="20.6328125" style="33" customWidth="1"/>
    <col min="14" max="14" width="12.6328125" style="33" customWidth="1"/>
    <col min="15" max="15" width="10.36328125" style="33" bestFit="1" customWidth="1"/>
    <col min="16" max="16" width="18.6328125" style="33" customWidth="1"/>
    <col min="17" max="17" width="10.6328125" style="33" customWidth="1"/>
    <col min="18" max="16384" width="9.36328125" style="33"/>
  </cols>
  <sheetData>
    <row r="1" spans="1:25" ht="13.25" x14ac:dyDescent="0.25">
      <c r="B1" s="33" t="s">
        <v>107</v>
      </c>
      <c r="C1" s="33" t="s">
        <v>225</v>
      </c>
      <c r="D1" s="33" t="s">
        <v>226</v>
      </c>
      <c r="F1" s="82" t="s">
        <v>254</v>
      </c>
      <c r="G1" s="82" t="s">
        <v>227</v>
      </c>
      <c r="H1" s="82" t="s">
        <v>228</v>
      </c>
      <c r="I1" s="82" t="s">
        <v>229</v>
      </c>
      <c r="J1" s="82" t="s">
        <v>230</v>
      </c>
      <c r="K1" s="82"/>
      <c r="L1" s="82"/>
      <c r="M1" s="82" t="s">
        <v>234</v>
      </c>
      <c r="N1" s="82"/>
      <c r="O1" s="82" t="s">
        <v>235</v>
      </c>
      <c r="Q1" s="33" t="s">
        <v>269</v>
      </c>
      <c r="R1" s="33" t="s">
        <v>270</v>
      </c>
    </row>
    <row r="2" spans="1:25" ht="13.25" x14ac:dyDescent="0.25">
      <c r="B2" s="77">
        <v>1000000000</v>
      </c>
      <c r="C2" s="33">
        <f>'Design Calculator'!F34</f>
        <v>15</v>
      </c>
      <c r="D2" s="33" t="str">
        <f>IF( 'Design Calculator'!F67 = "Constant Current", "CC", "R")</f>
        <v>R</v>
      </c>
      <c r="F2" s="33" t="str">
        <f>'Design Calculator'!F69</f>
        <v>Yes</v>
      </c>
      <c r="G2" s="33">
        <f>'Design Calculator'!F68</f>
        <v>3</v>
      </c>
      <c r="H2" s="33">
        <f>'Design Calculator'!F66</f>
        <v>6</v>
      </c>
      <c r="I2" s="33">
        <f>RsEFF</f>
        <v>1</v>
      </c>
      <c r="J2" s="33">
        <f>'Device Parmaters'!E12</f>
        <v>2.0999999999999999E-3</v>
      </c>
      <c r="M2" s="77">
        <f>J114*1000</f>
        <v>21.999999999999979</v>
      </c>
      <c r="N2" s="33" t="s">
        <v>8</v>
      </c>
      <c r="O2" s="80">
        <f>MIN(L10:L111)</f>
        <v>0.28220700348882283</v>
      </c>
      <c r="Q2" s="33">
        <f>'Device Parmaters'!E35/'Device Parmaters'!D35</f>
        <v>0</v>
      </c>
      <c r="R2" s="33">
        <f>'Device Parmaters'!C35/'Device Parmaters'!D35</f>
        <v>0</v>
      </c>
    </row>
    <row r="3" spans="1:25" ht="13.25" x14ac:dyDescent="0.25">
      <c r="B3" s="77"/>
      <c r="M3" s="77"/>
      <c r="O3" s="80"/>
    </row>
    <row r="4" spans="1:25" ht="13.25" x14ac:dyDescent="0.25">
      <c r="B4" s="77"/>
      <c r="D4" s="33" t="s">
        <v>261</v>
      </c>
      <c r="M4" s="77" t="s">
        <v>262</v>
      </c>
      <c r="N4" s="33">
        <f>MIN(M10:M114)</f>
        <v>51.726190476190467</v>
      </c>
      <c r="O4" s="80" t="s">
        <v>258</v>
      </c>
      <c r="P4" s="33" t="s">
        <v>271</v>
      </c>
      <c r="Q4" s="33">
        <f>MAX(O10:O114)</f>
        <v>481.33136094674563</v>
      </c>
      <c r="R4" s="33" t="s">
        <v>69</v>
      </c>
    </row>
    <row r="5" spans="1:25" ht="13.25" x14ac:dyDescent="0.25">
      <c r="B5" s="77"/>
      <c r="M5" s="33" t="s">
        <v>263</v>
      </c>
      <c r="N5" s="33">
        <f>SUM(N10:N114)</f>
        <v>7.7657737409440877</v>
      </c>
      <c r="O5" s="80" t="s">
        <v>264</v>
      </c>
      <c r="P5" s="33" t="s">
        <v>273</v>
      </c>
      <c r="Q5" s="33">
        <f>MAX(P10:P114)</f>
        <v>252.08333333333331</v>
      </c>
      <c r="R5" s="33" t="s">
        <v>69</v>
      </c>
    </row>
    <row r="6" spans="1:25" ht="13.25" x14ac:dyDescent="0.25">
      <c r="P6" s="33" t="s">
        <v>272</v>
      </c>
      <c r="Q6" s="33">
        <f>MAX(Q10:Q114)</f>
        <v>252.08333333333331</v>
      </c>
      <c r="R6" s="33" t="s">
        <v>69</v>
      </c>
    </row>
    <row r="7" spans="1:25" ht="13" x14ac:dyDescent="0.3">
      <c r="A7" s="78" t="s">
        <v>130</v>
      </c>
      <c r="B7" s="79" t="s">
        <v>101</v>
      </c>
      <c r="C7" s="79" t="s">
        <v>102</v>
      </c>
      <c r="D7" s="79"/>
      <c r="E7" s="79" t="s">
        <v>468</v>
      </c>
      <c r="F7" s="79" t="s">
        <v>253</v>
      </c>
      <c r="G7" s="79" t="s">
        <v>232</v>
      </c>
      <c r="H7" s="79" t="s">
        <v>128</v>
      </c>
      <c r="I7" s="79" t="s">
        <v>231</v>
      </c>
      <c r="J7" s="79" t="s">
        <v>113</v>
      </c>
      <c r="K7" s="79" t="s">
        <v>298</v>
      </c>
      <c r="L7" s="78" t="s">
        <v>233</v>
      </c>
      <c r="M7" s="78" t="s">
        <v>265</v>
      </c>
      <c r="N7" s="78" t="s">
        <v>297</v>
      </c>
      <c r="O7" s="78" t="s">
        <v>266</v>
      </c>
      <c r="P7" s="33" t="s">
        <v>267</v>
      </c>
      <c r="Q7" s="33" t="s">
        <v>268</v>
      </c>
    </row>
    <row r="8" spans="1:25" ht="13" x14ac:dyDescent="0.3">
      <c r="A8" s="78"/>
      <c r="B8" s="79"/>
      <c r="C8" s="79"/>
      <c r="D8" s="79"/>
      <c r="E8" s="79"/>
      <c r="F8" s="79"/>
      <c r="G8" s="79"/>
      <c r="H8" s="79"/>
      <c r="I8" s="79"/>
      <c r="J8" s="79"/>
      <c r="K8" s="101">
        <v>-10</v>
      </c>
      <c r="L8" s="78"/>
      <c r="M8" s="78"/>
      <c r="N8" s="78"/>
      <c r="O8" s="33">
        <v>0</v>
      </c>
    </row>
    <row r="9" spans="1:25" ht="13" x14ac:dyDescent="0.3">
      <c r="A9" s="78"/>
      <c r="B9" s="79"/>
      <c r="C9" s="79"/>
      <c r="D9" s="79"/>
      <c r="E9" s="79"/>
      <c r="F9" s="79"/>
      <c r="G9" s="79"/>
      <c r="H9" s="79"/>
      <c r="I9" s="79"/>
      <c r="J9" s="79"/>
      <c r="K9" s="39">
        <v>-0.01</v>
      </c>
      <c r="L9" s="78"/>
      <c r="M9" s="78"/>
      <c r="N9" s="78"/>
      <c r="O9" s="33">
        <v>0</v>
      </c>
    </row>
    <row r="10" spans="1:25" ht="13.25" x14ac:dyDescent="0.25">
      <c r="A10" s="33">
        <f t="shared" ref="A10:A41" si="0">VINMAX</f>
        <v>55</v>
      </c>
      <c r="B10" s="36">
        <f t="shared" ref="B10:B41" si="1">VINMAX*((ROW()-10)/104)</f>
        <v>0</v>
      </c>
      <c r="C10" s="34">
        <f t="shared" ref="C10:C41" si="2">IF(B10&gt;=$H$2,IF($D$2="CC", $G$2, B10/$G$2), 0)</f>
        <v>0</v>
      </c>
      <c r="D10" s="32"/>
      <c r="E10" s="34">
        <f>((('Device Parmaters'!$D$35)*COUTMAX)/(1000*'Design Calculator'!$F$70))+C10</f>
        <v>308</v>
      </c>
      <c r="F10" s="34">
        <f>I_Cout_ss+C10</f>
        <v>7</v>
      </c>
      <c r="G10" s="32">
        <f>IF($F$2="YES", F10, E10)</f>
        <v>7</v>
      </c>
      <c r="H10" s="34">
        <f t="shared" ref="H10:H41" si="3">G10-C10</f>
        <v>7</v>
      </c>
      <c r="I10" s="35">
        <f>(COUTMAX/1000000)*(B10)/H10</f>
        <v>0</v>
      </c>
      <c r="J10" s="35">
        <f>I10</f>
        <v>0</v>
      </c>
      <c r="K10" s="101">
        <f>J10*1000</f>
        <v>0</v>
      </c>
      <c r="L10" s="80">
        <f>H10/G10</f>
        <v>1</v>
      </c>
      <c r="M10" s="33">
        <f t="shared" ref="M10:M41" si="4">1/COUTMAX*(E10/2-C10)*1000</f>
        <v>55</v>
      </c>
      <c r="N10" s="33">
        <f>I10*G10*(A10-B10)</f>
        <v>0</v>
      </c>
      <c r="O10" s="33">
        <f>G10*(A10-B10)</f>
        <v>385</v>
      </c>
      <c r="P10" s="33">
        <f t="shared" ref="P10:P41" si="5">(A10-B10)*(I_Cout_ss*$Q$2+C10)</f>
        <v>0</v>
      </c>
      <c r="Q10" s="33">
        <f t="shared" ref="Q10:Q41" si="6">(A10-B10)*(I_Cout_ss*$R$2+C10)</f>
        <v>0</v>
      </c>
    </row>
    <row r="11" spans="1:25" ht="13.25" x14ac:dyDescent="0.25">
      <c r="A11" s="33">
        <f t="shared" si="0"/>
        <v>55</v>
      </c>
      <c r="B11" s="36">
        <f t="shared" si="1"/>
        <v>0.52884615384615385</v>
      </c>
      <c r="C11" s="34">
        <f t="shared" si="2"/>
        <v>0</v>
      </c>
      <c r="D11" s="32"/>
      <c r="E11" s="34">
        <f>((('Device Parmaters'!$D$35)*COUTMAX)/(1000*'Design Calculator'!$F$70))+C11</f>
        <v>308</v>
      </c>
      <c r="F11" s="34">
        <f t="shared" ref="F11:F41" si="7">I_Cout_ss+C11</f>
        <v>7</v>
      </c>
      <c r="G11" s="32">
        <f t="shared" ref="G11:G74" si="8">IF($F$2="YES", F11, E11)</f>
        <v>7</v>
      </c>
      <c r="H11" s="34">
        <f t="shared" si="3"/>
        <v>7</v>
      </c>
      <c r="I11" s="35">
        <f t="shared" ref="I11:I42" si="9">(COUTMAX/1000000)*(B11-B10)/H11</f>
        <v>2.1153846153846155E-4</v>
      </c>
      <c r="J11" s="35">
        <f>J10+I11</f>
        <v>2.1153846153846155E-4</v>
      </c>
      <c r="K11" s="101">
        <f t="shared" ref="K11:K74" si="10">J11*1000</f>
        <v>0.21153846153846154</v>
      </c>
      <c r="L11" s="80">
        <f t="shared" ref="L11:L74" si="11">H11/G11</f>
        <v>1</v>
      </c>
      <c r="M11" s="33">
        <f t="shared" si="4"/>
        <v>55</v>
      </c>
      <c r="N11" s="33">
        <f>I11*G11*(A11-B11)</f>
        <v>8.0659208579881667E-2</v>
      </c>
      <c r="O11" s="33">
        <f>G11*(A11-B11)</f>
        <v>381.29807692307691</v>
      </c>
      <c r="P11" s="33">
        <f t="shared" si="5"/>
        <v>0</v>
      </c>
      <c r="Q11" s="33">
        <f t="shared" si="6"/>
        <v>0</v>
      </c>
    </row>
    <row r="12" spans="1:25" ht="13" x14ac:dyDescent="0.3">
      <c r="A12" s="33">
        <f t="shared" si="0"/>
        <v>55</v>
      </c>
      <c r="B12" s="36">
        <f t="shared" si="1"/>
        <v>1.0576923076923077</v>
      </c>
      <c r="C12" s="34">
        <f t="shared" si="2"/>
        <v>0</v>
      </c>
      <c r="D12" s="32"/>
      <c r="E12" s="34">
        <f>((('Device Parmaters'!$D$35)*COUTMAX)/(1000*'Design Calculator'!$F$70))+C12</f>
        <v>308</v>
      </c>
      <c r="F12" s="34">
        <f t="shared" si="7"/>
        <v>7</v>
      </c>
      <c r="G12" s="32">
        <f t="shared" si="8"/>
        <v>7</v>
      </c>
      <c r="H12" s="34">
        <f t="shared" si="3"/>
        <v>7</v>
      </c>
      <c r="I12" s="35">
        <f t="shared" si="9"/>
        <v>2.1153846153846155E-4</v>
      </c>
      <c r="J12" s="35">
        <f t="shared" ref="J12:J75" si="12">J11+I12</f>
        <v>4.230769230769231E-4</v>
      </c>
      <c r="K12" s="101">
        <f t="shared" si="10"/>
        <v>0.42307692307692307</v>
      </c>
      <c r="L12" s="80">
        <f t="shared" si="11"/>
        <v>1</v>
      </c>
      <c r="M12" s="33">
        <f t="shared" si="4"/>
        <v>55</v>
      </c>
      <c r="N12" s="33">
        <f>I12*G12*(A12-B12)</f>
        <v>7.987610946745563E-2</v>
      </c>
      <c r="O12" s="33">
        <f t="shared" ref="O12:O74" si="13">G12*(A12-B12)</f>
        <v>377.59615384615387</v>
      </c>
      <c r="P12" s="33">
        <f t="shared" si="5"/>
        <v>0</v>
      </c>
      <c r="Q12" s="33">
        <f t="shared" si="6"/>
        <v>0</v>
      </c>
      <c r="X12" s="307" t="s">
        <v>103</v>
      </c>
      <c r="Y12" s="307"/>
    </row>
    <row r="13" spans="1:25" ht="13.25" x14ac:dyDescent="0.25">
      <c r="A13" s="33">
        <f t="shared" si="0"/>
        <v>55</v>
      </c>
      <c r="B13" s="36">
        <f t="shared" si="1"/>
        <v>1.5865384615384617</v>
      </c>
      <c r="C13" s="34">
        <f t="shared" si="2"/>
        <v>0</v>
      </c>
      <c r="D13" s="32"/>
      <c r="E13" s="34">
        <f>((('Device Parmaters'!$D$35)*COUTMAX)/(1000*'Design Calculator'!$F$70))+C13</f>
        <v>308</v>
      </c>
      <c r="F13" s="34">
        <f t="shared" si="7"/>
        <v>7</v>
      </c>
      <c r="G13" s="32">
        <f>IF($F$2="YES", F13, E13)</f>
        <v>7</v>
      </c>
      <c r="H13" s="34">
        <f t="shared" si="3"/>
        <v>7</v>
      </c>
      <c r="I13" s="35">
        <f t="shared" si="9"/>
        <v>2.1153846153846158E-4</v>
      </c>
      <c r="J13" s="35">
        <f t="shared" si="12"/>
        <v>6.3461538461538473E-4</v>
      </c>
      <c r="K13" s="101">
        <f t="shared" si="10"/>
        <v>0.63461538461538469</v>
      </c>
      <c r="L13" s="80">
        <f t="shared" si="11"/>
        <v>1</v>
      </c>
      <c r="M13" s="33">
        <f t="shared" si="4"/>
        <v>55</v>
      </c>
      <c r="N13" s="33">
        <f>I13*G13*(A13-B13)</f>
        <v>7.9093010355029608E-2</v>
      </c>
      <c r="O13" s="33">
        <f t="shared" si="13"/>
        <v>373.89423076923077</v>
      </c>
      <c r="P13" s="33">
        <f t="shared" si="5"/>
        <v>0</v>
      </c>
      <c r="Q13" s="33">
        <f t="shared" si="6"/>
        <v>0</v>
      </c>
      <c r="X13" s="37" t="s">
        <v>104</v>
      </c>
      <c r="Y13" s="37">
        <v>0.3</v>
      </c>
    </row>
    <row r="14" spans="1:25" ht="13.25" x14ac:dyDescent="0.25">
      <c r="A14" s="33">
        <f t="shared" si="0"/>
        <v>55</v>
      </c>
      <c r="B14" s="36">
        <f t="shared" si="1"/>
        <v>2.1153846153846154</v>
      </c>
      <c r="C14" s="34">
        <f t="shared" si="2"/>
        <v>0</v>
      </c>
      <c r="D14" s="32"/>
      <c r="E14" s="34">
        <f>((('Device Parmaters'!$D$35)*COUTMAX)/(1000*'Design Calculator'!$F$70))+C14</f>
        <v>308</v>
      </c>
      <c r="F14" s="34">
        <f t="shared" si="7"/>
        <v>7</v>
      </c>
      <c r="G14" s="32">
        <f t="shared" si="8"/>
        <v>7</v>
      </c>
      <c r="H14" s="34">
        <f t="shared" si="3"/>
        <v>7</v>
      </c>
      <c r="I14" s="35">
        <f t="shared" si="9"/>
        <v>2.1153846153846149E-4</v>
      </c>
      <c r="J14" s="35">
        <f t="shared" si="12"/>
        <v>8.461538461538462E-4</v>
      </c>
      <c r="K14" s="101">
        <f t="shared" si="10"/>
        <v>0.84615384615384615</v>
      </c>
      <c r="L14" s="80">
        <f t="shared" si="11"/>
        <v>1</v>
      </c>
      <c r="M14" s="33">
        <f t="shared" si="4"/>
        <v>55</v>
      </c>
      <c r="N14" s="33">
        <f t="shared" ref="N14:N74" si="14">I14*G14*(A14-B14)</f>
        <v>7.830991124260353E-2</v>
      </c>
      <c r="O14" s="33">
        <f t="shared" si="13"/>
        <v>370.19230769230774</v>
      </c>
      <c r="P14" s="33">
        <f t="shared" si="5"/>
        <v>0</v>
      </c>
      <c r="Q14" s="33">
        <f t="shared" si="6"/>
        <v>0</v>
      </c>
      <c r="X14" s="37" t="s">
        <v>105</v>
      </c>
      <c r="Y14" s="37">
        <v>0.3</v>
      </c>
    </row>
    <row r="15" spans="1:25" ht="13.25" x14ac:dyDescent="0.25">
      <c r="A15" s="33">
        <f t="shared" si="0"/>
        <v>55</v>
      </c>
      <c r="B15" s="36">
        <f t="shared" si="1"/>
        <v>2.6442307692307692</v>
      </c>
      <c r="C15" s="34">
        <f t="shared" si="2"/>
        <v>0</v>
      </c>
      <c r="D15" s="32"/>
      <c r="E15" s="34">
        <f>((('Device Parmaters'!$D$35)*COUTMAX)/(1000*'Design Calculator'!$F$70))+C15</f>
        <v>308</v>
      </c>
      <c r="F15" s="34">
        <f t="shared" si="7"/>
        <v>7</v>
      </c>
      <c r="G15" s="32">
        <f t="shared" si="8"/>
        <v>7</v>
      </c>
      <c r="H15" s="34">
        <f t="shared" si="3"/>
        <v>7</v>
      </c>
      <c r="I15" s="35">
        <f t="shared" si="9"/>
        <v>2.1153846153846149E-4</v>
      </c>
      <c r="J15" s="35">
        <f t="shared" si="12"/>
        <v>1.0576923076923077E-3</v>
      </c>
      <c r="K15" s="101">
        <f t="shared" si="10"/>
        <v>1.0576923076923077</v>
      </c>
      <c r="L15" s="80">
        <f t="shared" si="11"/>
        <v>1</v>
      </c>
      <c r="M15" s="33">
        <f t="shared" si="4"/>
        <v>55</v>
      </c>
      <c r="N15" s="33">
        <f t="shared" si="14"/>
        <v>7.7526812130177494E-2</v>
      </c>
      <c r="O15" s="33">
        <f t="shared" si="13"/>
        <v>366.49038461538464</v>
      </c>
      <c r="P15" s="33">
        <f t="shared" si="5"/>
        <v>0</v>
      </c>
      <c r="Q15" s="33">
        <f t="shared" si="6"/>
        <v>0</v>
      </c>
      <c r="X15" s="37" t="s">
        <v>106</v>
      </c>
      <c r="Y15" s="37">
        <f>SQRT(Y14^2+Y13^2)</f>
        <v>0.42426406871192851</v>
      </c>
    </row>
    <row r="16" spans="1:25" ht="13.25" x14ac:dyDescent="0.25">
      <c r="A16" s="33">
        <f t="shared" si="0"/>
        <v>55</v>
      </c>
      <c r="B16" s="36">
        <f t="shared" si="1"/>
        <v>3.1730769230769234</v>
      </c>
      <c r="C16" s="34">
        <f t="shared" si="2"/>
        <v>0</v>
      </c>
      <c r="D16" s="32"/>
      <c r="E16" s="34">
        <f>((('Device Parmaters'!$D$35)*COUTMAX)/(1000*'Design Calculator'!$F$70))+C16</f>
        <v>308</v>
      </c>
      <c r="F16" s="34">
        <f t="shared" si="7"/>
        <v>7</v>
      </c>
      <c r="G16" s="32">
        <f t="shared" si="8"/>
        <v>7</v>
      </c>
      <c r="H16" s="34">
        <f t="shared" si="3"/>
        <v>7</v>
      </c>
      <c r="I16" s="35">
        <f t="shared" si="9"/>
        <v>2.1153846153846166E-4</v>
      </c>
      <c r="J16" s="35">
        <f t="shared" si="12"/>
        <v>1.2692307692307692E-3</v>
      </c>
      <c r="K16" s="101">
        <f t="shared" si="10"/>
        <v>1.2692307692307692</v>
      </c>
      <c r="L16" s="80">
        <f t="shared" si="11"/>
        <v>1</v>
      </c>
      <c r="M16" s="33">
        <f t="shared" si="4"/>
        <v>55</v>
      </c>
      <c r="N16" s="33">
        <f t="shared" si="14"/>
        <v>7.6743713017751528E-2</v>
      </c>
      <c r="O16" s="33">
        <f t="shared" si="13"/>
        <v>362.78846153846155</v>
      </c>
      <c r="P16" s="33">
        <f t="shared" si="5"/>
        <v>0</v>
      </c>
      <c r="Q16" s="33">
        <f t="shared" si="6"/>
        <v>0</v>
      </c>
      <c r="X16" s="37"/>
      <c r="Y16" s="37"/>
    </row>
    <row r="17" spans="1:25" ht="13.25" x14ac:dyDescent="0.25">
      <c r="A17" s="33">
        <f t="shared" si="0"/>
        <v>55</v>
      </c>
      <c r="B17" s="36">
        <f t="shared" si="1"/>
        <v>3.7019230769230766</v>
      </c>
      <c r="C17" s="34">
        <f t="shared" si="2"/>
        <v>0</v>
      </c>
      <c r="D17" s="32"/>
      <c r="E17" s="34">
        <f>((('Device Parmaters'!$D$35)*COUTMAX)/(1000*'Design Calculator'!$F$70))+C17</f>
        <v>308</v>
      </c>
      <c r="F17" s="34">
        <f t="shared" si="7"/>
        <v>7</v>
      </c>
      <c r="G17" s="32">
        <f t="shared" si="8"/>
        <v>7</v>
      </c>
      <c r="H17" s="34">
        <f t="shared" si="3"/>
        <v>7</v>
      </c>
      <c r="I17" s="35">
        <f t="shared" si="9"/>
        <v>2.1153846153846133E-4</v>
      </c>
      <c r="J17" s="35">
        <f t="shared" si="12"/>
        <v>1.4807692307692306E-3</v>
      </c>
      <c r="K17" s="101">
        <f t="shared" si="10"/>
        <v>1.4807692307692306</v>
      </c>
      <c r="L17" s="80">
        <f t="shared" si="11"/>
        <v>1</v>
      </c>
      <c r="M17" s="33">
        <f t="shared" si="4"/>
        <v>55</v>
      </c>
      <c r="N17" s="33">
        <f t="shared" si="14"/>
        <v>7.5960613905325367E-2</v>
      </c>
      <c r="O17" s="33">
        <f t="shared" si="13"/>
        <v>359.08653846153845</v>
      </c>
      <c r="P17" s="33">
        <f t="shared" si="5"/>
        <v>0</v>
      </c>
      <c r="Q17" s="33">
        <f t="shared" si="6"/>
        <v>0</v>
      </c>
      <c r="X17" s="37" t="s">
        <v>107</v>
      </c>
      <c r="Y17" s="37">
        <v>0.3</v>
      </c>
    </row>
    <row r="18" spans="1:25" ht="13.25" x14ac:dyDescent="0.25">
      <c r="A18" s="33">
        <f t="shared" si="0"/>
        <v>55</v>
      </c>
      <c r="B18" s="36">
        <f t="shared" si="1"/>
        <v>4.2307692307692308</v>
      </c>
      <c r="C18" s="34">
        <f t="shared" si="2"/>
        <v>0</v>
      </c>
      <c r="D18" s="32"/>
      <c r="E18" s="34">
        <f>((('Device Parmaters'!$D$35)*COUTMAX)/(1000*'Design Calculator'!$F$70))+C18</f>
        <v>308</v>
      </c>
      <c r="F18" s="34">
        <f t="shared" si="7"/>
        <v>7</v>
      </c>
      <c r="G18" s="32">
        <f t="shared" si="8"/>
        <v>7</v>
      </c>
      <c r="H18" s="34">
        <f t="shared" si="3"/>
        <v>7</v>
      </c>
      <c r="I18" s="35">
        <f t="shared" si="9"/>
        <v>2.1153846153846166E-4</v>
      </c>
      <c r="J18" s="35">
        <f t="shared" si="12"/>
        <v>1.6923076923076922E-3</v>
      </c>
      <c r="K18" s="101">
        <f t="shared" si="10"/>
        <v>1.6923076923076921</v>
      </c>
      <c r="L18" s="80">
        <f t="shared" si="11"/>
        <v>1</v>
      </c>
      <c r="M18" s="33">
        <f t="shared" si="4"/>
        <v>55</v>
      </c>
      <c r="N18" s="33">
        <f t="shared" si="14"/>
        <v>7.5177514792899455E-2</v>
      </c>
      <c r="O18" s="33">
        <f t="shared" si="13"/>
        <v>355.38461538461536</v>
      </c>
      <c r="P18" s="33">
        <f t="shared" si="5"/>
        <v>0</v>
      </c>
      <c r="Q18" s="33">
        <f t="shared" si="6"/>
        <v>0</v>
      </c>
      <c r="X18" s="37" t="s">
        <v>108</v>
      </c>
      <c r="Y18" s="37">
        <f>MAX(Y15:Y17)</f>
        <v>0.42426406871192851</v>
      </c>
    </row>
    <row r="19" spans="1:25" ht="13.25" x14ac:dyDescent="0.25">
      <c r="A19" s="33">
        <f t="shared" si="0"/>
        <v>55</v>
      </c>
      <c r="B19" s="36">
        <f t="shared" si="1"/>
        <v>4.7596153846153841</v>
      </c>
      <c r="C19" s="34">
        <f t="shared" si="2"/>
        <v>0</v>
      </c>
      <c r="D19" s="32"/>
      <c r="E19" s="34">
        <f>((('Device Parmaters'!$D$35)*COUTMAX)/(1000*'Design Calculator'!$F$70))+C19</f>
        <v>308</v>
      </c>
      <c r="F19" s="34">
        <f t="shared" si="7"/>
        <v>7</v>
      </c>
      <c r="G19" s="32">
        <f t="shared" si="8"/>
        <v>7</v>
      </c>
      <c r="H19" s="34">
        <f t="shared" si="3"/>
        <v>7</v>
      </c>
      <c r="I19" s="35">
        <f t="shared" si="9"/>
        <v>2.1153846153846133E-4</v>
      </c>
      <c r="J19" s="35">
        <f t="shared" si="12"/>
        <v>1.9038461538461535E-3</v>
      </c>
      <c r="K19" s="101">
        <f t="shared" si="10"/>
        <v>1.9038461538461535</v>
      </c>
      <c r="L19" s="80">
        <f t="shared" si="11"/>
        <v>1</v>
      </c>
      <c r="M19" s="33">
        <f t="shared" si="4"/>
        <v>55</v>
      </c>
      <c r="N19" s="33">
        <f t="shared" si="14"/>
        <v>7.4394415680473294E-2</v>
      </c>
      <c r="O19" s="33">
        <f t="shared" si="13"/>
        <v>351.68269230769226</v>
      </c>
      <c r="P19" s="33">
        <f t="shared" si="5"/>
        <v>0</v>
      </c>
      <c r="Q19" s="33">
        <f t="shared" si="6"/>
        <v>0</v>
      </c>
      <c r="X19" s="37"/>
      <c r="Y19" s="37"/>
    </row>
    <row r="20" spans="1:25" ht="13.25" x14ac:dyDescent="0.25">
      <c r="A20" s="33">
        <f t="shared" si="0"/>
        <v>55</v>
      </c>
      <c r="B20" s="36">
        <f t="shared" si="1"/>
        <v>5.2884615384615383</v>
      </c>
      <c r="C20" s="34">
        <f t="shared" si="2"/>
        <v>0</v>
      </c>
      <c r="D20" s="32"/>
      <c r="E20" s="34">
        <f>((('Device Parmaters'!$D$35)*COUTMAX)/(1000*'Design Calculator'!$F$70))+C20</f>
        <v>308</v>
      </c>
      <c r="F20" s="34">
        <f t="shared" si="7"/>
        <v>7</v>
      </c>
      <c r="G20" s="32">
        <f t="shared" si="8"/>
        <v>7</v>
      </c>
      <c r="H20" s="34">
        <f t="shared" si="3"/>
        <v>7</v>
      </c>
      <c r="I20" s="35">
        <f t="shared" si="9"/>
        <v>2.1153846153846166E-4</v>
      </c>
      <c r="J20" s="35">
        <f t="shared" si="12"/>
        <v>2.1153846153846153E-3</v>
      </c>
      <c r="K20" s="101">
        <f t="shared" si="10"/>
        <v>2.1153846153846154</v>
      </c>
      <c r="L20" s="80">
        <f t="shared" si="11"/>
        <v>1</v>
      </c>
      <c r="M20" s="33">
        <f t="shared" si="4"/>
        <v>55</v>
      </c>
      <c r="N20" s="33">
        <f t="shared" si="14"/>
        <v>7.3611316568047383E-2</v>
      </c>
      <c r="O20" s="33">
        <f t="shared" si="13"/>
        <v>347.98076923076923</v>
      </c>
      <c r="P20" s="33">
        <f t="shared" si="5"/>
        <v>0</v>
      </c>
      <c r="Q20" s="33">
        <f t="shared" si="6"/>
        <v>0</v>
      </c>
      <c r="X20" s="37" t="s">
        <v>109</v>
      </c>
      <c r="Y20" s="37">
        <v>0.2</v>
      </c>
    </row>
    <row r="21" spans="1:25" ht="13.25" x14ac:dyDescent="0.25">
      <c r="A21" s="33">
        <f t="shared" si="0"/>
        <v>55</v>
      </c>
      <c r="B21" s="36">
        <f t="shared" si="1"/>
        <v>5.8173076923076925</v>
      </c>
      <c r="C21" s="34">
        <f t="shared" si="2"/>
        <v>0</v>
      </c>
      <c r="D21" s="32"/>
      <c r="E21" s="34">
        <f>((('Device Parmaters'!$D$35)*COUTMAX)/(1000*'Design Calculator'!$F$70))+C21</f>
        <v>308</v>
      </c>
      <c r="F21" s="34">
        <f t="shared" si="7"/>
        <v>7</v>
      </c>
      <c r="G21" s="32">
        <f t="shared" si="8"/>
        <v>7</v>
      </c>
      <c r="H21" s="34">
        <f t="shared" si="3"/>
        <v>7</v>
      </c>
      <c r="I21" s="35">
        <f t="shared" si="9"/>
        <v>2.1153846153846166E-4</v>
      </c>
      <c r="J21" s="35">
        <f t="shared" si="12"/>
        <v>2.3269230769230771E-3</v>
      </c>
      <c r="K21" s="101">
        <f t="shared" si="10"/>
        <v>2.3269230769230771</v>
      </c>
      <c r="L21" s="80">
        <f t="shared" si="11"/>
        <v>1</v>
      </c>
      <c r="M21" s="33">
        <f t="shared" si="4"/>
        <v>55</v>
      </c>
      <c r="N21" s="33">
        <f t="shared" si="14"/>
        <v>7.2828217455621347E-2</v>
      </c>
      <c r="O21" s="33">
        <f t="shared" si="13"/>
        <v>344.27884615384613</v>
      </c>
      <c r="P21" s="33">
        <f t="shared" si="5"/>
        <v>0</v>
      </c>
      <c r="Q21" s="33">
        <f t="shared" si="6"/>
        <v>0</v>
      </c>
      <c r="X21" s="37" t="s">
        <v>110</v>
      </c>
      <c r="Y21" s="37">
        <v>0.2</v>
      </c>
    </row>
    <row r="22" spans="1:25" ht="13.25" x14ac:dyDescent="0.25">
      <c r="A22" s="33">
        <f t="shared" si="0"/>
        <v>55</v>
      </c>
      <c r="B22" s="36">
        <f t="shared" si="1"/>
        <v>6.3461538461538467</v>
      </c>
      <c r="C22" s="34">
        <f t="shared" si="2"/>
        <v>2.1153846153846154</v>
      </c>
      <c r="D22" s="32"/>
      <c r="E22" s="34">
        <f>((('Device Parmaters'!$D$35)*COUTMAX)/(1000*'Design Calculator'!$F$70))+C22</f>
        <v>310.11538461538464</v>
      </c>
      <c r="F22" s="34">
        <f t="shared" si="7"/>
        <v>9.115384615384615</v>
      </c>
      <c r="G22" s="32">
        <f t="shared" si="8"/>
        <v>9.115384615384615</v>
      </c>
      <c r="H22" s="34">
        <f t="shared" si="3"/>
        <v>7</v>
      </c>
      <c r="I22" s="35">
        <f t="shared" si="9"/>
        <v>2.1153846153846166E-4</v>
      </c>
      <c r="J22" s="35">
        <f t="shared" si="12"/>
        <v>2.5384615384615389E-3</v>
      </c>
      <c r="K22" s="101">
        <f t="shared" si="10"/>
        <v>2.5384615384615388</v>
      </c>
      <c r="L22" s="80">
        <f t="shared" si="11"/>
        <v>0.76793248945147685</v>
      </c>
      <c r="M22" s="33">
        <f t="shared" si="4"/>
        <v>54.622252747252759</v>
      </c>
      <c r="N22" s="33">
        <f t="shared" si="14"/>
        <v>9.3816994765589481E-2</v>
      </c>
      <c r="O22" s="33">
        <f t="shared" si="13"/>
        <v>443.49852071005915</v>
      </c>
      <c r="P22" s="33">
        <f t="shared" si="5"/>
        <v>102.9215976331361</v>
      </c>
      <c r="Q22" s="33">
        <f t="shared" si="6"/>
        <v>102.9215976331361</v>
      </c>
      <c r="X22" s="37" t="s">
        <v>106</v>
      </c>
      <c r="Y22" s="37">
        <f>SQRT(Y21^2+Y20^2)</f>
        <v>0.28284271247461906</v>
      </c>
    </row>
    <row r="23" spans="1:25" ht="13.25" x14ac:dyDescent="0.25">
      <c r="A23" s="33">
        <f t="shared" si="0"/>
        <v>55</v>
      </c>
      <c r="B23" s="36">
        <f t="shared" si="1"/>
        <v>6.875</v>
      </c>
      <c r="C23" s="34">
        <f t="shared" si="2"/>
        <v>2.2916666666666665</v>
      </c>
      <c r="D23" s="32"/>
      <c r="E23" s="34">
        <f>((('Device Parmaters'!$D$35)*COUTMAX)/(1000*'Design Calculator'!$F$70))+C23</f>
        <v>310.29166666666669</v>
      </c>
      <c r="F23" s="34">
        <f t="shared" si="7"/>
        <v>9.2916666666666661</v>
      </c>
      <c r="G23" s="32">
        <f t="shared" si="8"/>
        <v>9.2916666666666661</v>
      </c>
      <c r="H23" s="34">
        <f t="shared" si="3"/>
        <v>7</v>
      </c>
      <c r="I23" s="35">
        <f t="shared" si="9"/>
        <v>2.1153846153846133E-4</v>
      </c>
      <c r="J23" s="35">
        <f t="shared" si="12"/>
        <v>2.7500000000000003E-3</v>
      </c>
      <c r="K23" s="101">
        <f t="shared" si="10"/>
        <v>2.7500000000000004</v>
      </c>
      <c r="L23" s="80">
        <f t="shared" si="11"/>
        <v>0.75336322869955163</v>
      </c>
      <c r="M23" s="33">
        <f t="shared" si="4"/>
        <v>54.590773809523817</v>
      </c>
      <c r="N23" s="33">
        <f t="shared" si="14"/>
        <v>9.4591846955128109E-2</v>
      </c>
      <c r="O23" s="33">
        <f t="shared" si="13"/>
        <v>447.16145833333331</v>
      </c>
      <c r="P23" s="33">
        <f t="shared" si="5"/>
        <v>110.28645833333333</v>
      </c>
      <c r="Q23" s="33">
        <f t="shared" si="6"/>
        <v>110.28645833333333</v>
      </c>
      <c r="X23" s="37"/>
      <c r="Y23" s="37"/>
    </row>
    <row r="24" spans="1:25" ht="13.25" x14ac:dyDescent="0.25">
      <c r="A24" s="33">
        <f t="shared" si="0"/>
        <v>55</v>
      </c>
      <c r="B24" s="36">
        <f t="shared" si="1"/>
        <v>7.4038461538461533</v>
      </c>
      <c r="C24" s="34">
        <f t="shared" si="2"/>
        <v>2.4679487179487176</v>
      </c>
      <c r="D24" s="32"/>
      <c r="E24" s="34">
        <f>((('Device Parmaters'!$D$35)*COUTMAX)/(1000*'Design Calculator'!$F$70))+C24</f>
        <v>310.46794871794873</v>
      </c>
      <c r="F24" s="34">
        <f t="shared" si="7"/>
        <v>9.4679487179487172</v>
      </c>
      <c r="G24" s="32">
        <f t="shared" si="8"/>
        <v>9.4679487179487172</v>
      </c>
      <c r="H24" s="34">
        <f t="shared" si="3"/>
        <v>7</v>
      </c>
      <c r="I24" s="35">
        <f t="shared" si="9"/>
        <v>2.1153846153846133E-4</v>
      </c>
      <c r="J24" s="35">
        <f t="shared" si="12"/>
        <v>2.9615384615384616E-3</v>
      </c>
      <c r="K24" s="101">
        <f t="shared" si="10"/>
        <v>2.9615384615384617</v>
      </c>
      <c r="L24" s="80">
        <f t="shared" si="11"/>
        <v>0.73933649289099534</v>
      </c>
      <c r="M24" s="33">
        <f t="shared" si="4"/>
        <v>54.559294871794869</v>
      </c>
      <c r="N24" s="33">
        <f t="shared" si="14"/>
        <v>9.5327257339553842E-2</v>
      </c>
      <c r="O24" s="33">
        <f t="shared" si="13"/>
        <v>450.63794378698219</v>
      </c>
      <c r="P24" s="33">
        <f t="shared" si="5"/>
        <v>117.46486686390531</v>
      </c>
      <c r="Q24" s="33">
        <f t="shared" si="6"/>
        <v>117.46486686390531</v>
      </c>
      <c r="X24" s="37" t="s">
        <v>111</v>
      </c>
      <c r="Y24" s="37">
        <f>SQRT(Y18^2+Y22^2)</f>
        <v>0.50990195135927852</v>
      </c>
    </row>
    <row r="25" spans="1:25" ht="13.25" x14ac:dyDescent="0.25">
      <c r="A25" s="33">
        <f t="shared" si="0"/>
        <v>55</v>
      </c>
      <c r="B25" s="36">
        <f t="shared" si="1"/>
        <v>7.9326923076923066</v>
      </c>
      <c r="C25" s="34">
        <f t="shared" si="2"/>
        <v>2.6442307692307687</v>
      </c>
      <c r="D25" s="32"/>
      <c r="E25" s="34">
        <f>((('Device Parmaters'!$D$35)*COUTMAX)/(1000*'Design Calculator'!$F$70))+C25</f>
        <v>310.64423076923077</v>
      </c>
      <c r="F25" s="34">
        <f t="shared" si="7"/>
        <v>9.6442307692307683</v>
      </c>
      <c r="G25" s="32">
        <f t="shared" si="8"/>
        <v>9.6442307692307683</v>
      </c>
      <c r="H25" s="34">
        <f t="shared" si="3"/>
        <v>7</v>
      </c>
      <c r="I25" s="35">
        <f t="shared" si="9"/>
        <v>2.1153846153846133E-4</v>
      </c>
      <c r="J25" s="35">
        <f t="shared" si="12"/>
        <v>3.173076923076923E-3</v>
      </c>
      <c r="K25" s="101">
        <f t="shared" si="10"/>
        <v>3.1730769230769229</v>
      </c>
      <c r="L25" s="80">
        <f t="shared" si="11"/>
        <v>0.72582253240279171</v>
      </c>
      <c r="M25" s="33">
        <f t="shared" si="4"/>
        <v>54.527815934065934</v>
      </c>
      <c r="N25" s="33">
        <f t="shared" si="14"/>
        <v>9.6023225918866542E-2</v>
      </c>
      <c r="O25" s="33">
        <f t="shared" si="13"/>
        <v>453.9279770710059</v>
      </c>
      <c r="P25" s="33">
        <f t="shared" si="5"/>
        <v>124.45682322485204</v>
      </c>
      <c r="Q25" s="33">
        <f t="shared" si="6"/>
        <v>124.45682322485204</v>
      </c>
    </row>
    <row r="26" spans="1:25" ht="13.25" x14ac:dyDescent="0.25">
      <c r="A26" s="33">
        <f t="shared" si="0"/>
        <v>55</v>
      </c>
      <c r="B26" s="36">
        <f t="shared" si="1"/>
        <v>8.4615384615384617</v>
      </c>
      <c r="C26" s="34">
        <f t="shared" si="2"/>
        <v>2.8205128205128207</v>
      </c>
      <c r="D26" s="32"/>
      <c r="E26" s="34">
        <f>((('Device Parmaters'!$D$35)*COUTMAX)/(1000*'Design Calculator'!$F$70))+C26</f>
        <v>310.82051282051282</v>
      </c>
      <c r="F26" s="34">
        <f t="shared" si="7"/>
        <v>9.8205128205128212</v>
      </c>
      <c r="G26" s="32">
        <f t="shared" si="8"/>
        <v>9.8205128205128212</v>
      </c>
      <c r="H26" s="34">
        <f t="shared" si="3"/>
        <v>7</v>
      </c>
      <c r="I26" s="35">
        <f t="shared" si="9"/>
        <v>2.1153846153846204E-4</v>
      </c>
      <c r="J26" s="35">
        <f t="shared" si="12"/>
        <v>3.3846153846153852E-3</v>
      </c>
      <c r="K26" s="101">
        <f t="shared" si="10"/>
        <v>3.384615384615385</v>
      </c>
      <c r="L26" s="80">
        <f t="shared" si="11"/>
        <v>0.71279373368146215</v>
      </c>
      <c r="M26" s="33">
        <f t="shared" si="4"/>
        <v>54.496336996337</v>
      </c>
      <c r="N26" s="33">
        <f t="shared" si="14"/>
        <v>9.6679752693066529E-2</v>
      </c>
      <c r="O26" s="33">
        <f t="shared" si="13"/>
        <v>457.03155818540438</v>
      </c>
      <c r="P26" s="33">
        <f t="shared" si="5"/>
        <v>131.26232741617358</v>
      </c>
      <c r="Q26" s="33">
        <f t="shared" si="6"/>
        <v>131.26232741617358</v>
      </c>
    </row>
    <row r="27" spans="1:25" ht="13.25" x14ac:dyDescent="0.25">
      <c r="A27" s="33">
        <f t="shared" si="0"/>
        <v>55</v>
      </c>
      <c r="B27" s="36">
        <f t="shared" si="1"/>
        <v>8.990384615384615</v>
      </c>
      <c r="C27" s="34">
        <f t="shared" si="2"/>
        <v>2.9967948717948718</v>
      </c>
      <c r="D27" s="32"/>
      <c r="E27" s="34">
        <f>((('Device Parmaters'!$D$35)*COUTMAX)/(1000*'Design Calculator'!$F$70))+C27</f>
        <v>310.99679487179486</v>
      </c>
      <c r="F27" s="34">
        <f t="shared" si="7"/>
        <v>9.9967948717948723</v>
      </c>
      <c r="G27" s="32">
        <f t="shared" si="8"/>
        <v>9.9967948717948723</v>
      </c>
      <c r="H27" s="34">
        <f t="shared" si="3"/>
        <v>7</v>
      </c>
      <c r="I27" s="35">
        <f t="shared" si="9"/>
        <v>2.1153846153846133E-4</v>
      </c>
      <c r="J27" s="35">
        <f t="shared" si="12"/>
        <v>3.5961538461538466E-3</v>
      </c>
      <c r="K27" s="101">
        <f t="shared" si="10"/>
        <v>3.5961538461538467</v>
      </c>
      <c r="L27" s="80">
        <f t="shared" si="11"/>
        <v>0.7002244309073421</v>
      </c>
      <c r="M27" s="33">
        <f t="shared" si="4"/>
        <v>54.464858058608058</v>
      </c>
      <c r="N27" s="33">
        <f t="shared" si="14"/>
        <v>9.7296837662152844E-2</v>
      </c>
      <c r="O27" s="33">
        <f t="shared" si="13"/>
        <v>459.94868713017757</v>
      </c>
      <c r="P27" s="33">
        <f t="shared" si="5"/>
        <v>137.88137943786984</v>
      </c>
      <c r="Q27" s="33">
        <f t="shared" si="6"/>
        <v>137.88137943786984</v>
      </c>
    </row>
    <row r="28" spans="1:25" ht="13.25" x14ac:dyDescent="0.25">
      <c r="A28" s="33">
        <f t="shared" si="0"/>
        <v>55</v>
      </c>
      <c r="B28" s="36">
        <f t="shared" si="1"/>
        <v>9.5192307692307683</v>
      </c>
      <c r="C28" s="34">
        <f t="shared" si="2"/>
        <v>3.1730769230769229</v>
      </c>
      <c r="D28" s="32"/>
      <c r="E28" s="34">
        <f>((('Device Parmaters'!$D$35)*COUTMAX)/(1000*'Design Calculator'!$F$70))+C28</f>
        <v>311.17307692307691</v>
      </c>
      <c r="F28" s="34">
        <f t="shared" si="7"/>
        <v>10.173076923076923</v>
      </c>
      <c r="G28" s="32">
        <f t="shared" si="8"/>
        <v>10.173076923076923</v>
      </c>
      <c r="H28" s="34">
        <f t="shared" si="3"/>
        <v>7</v>
      </c>
      <c r="I28" s="35">
        <f t="shared" si="9"/>
        <v>2.1153846153846133E-4</v>
      </c>
      <c r="J28" s="35">
        <f t="shared" si="12"/>
        <v>3.8076923076923079E-3</v>
      </c>
      <c r="K28" s="101">
        <f t="shared" si="10"/>
        <v>3.8076923076923079</v>
      </c>
      <c r="L28" s="80">
        <f t="shared" si="11"/>
        <v>0.68809073724007563</v>
      </c>
      <c r="M28" s="33">
        <f t="shared" si="4"/>
        <v>54.433379120879117</v>
      </c>
      <c r="N28" s="33">
        <f t="shared" si="14"/>
        <v>9.7874480826126445E-2</v>
      </c>
      <c r="O28" s="33">
        <f t="shared" si="13"/>
        <v>462.67936390532549</v>
      </c>
      <c r="P28" s="33">
        <f t="shared" si="5"/>
        <v>144.31397928994082</v>
      </c>
      <c r="Q28" s="33">
        <f t="shared" si="6"/>
        <v>144.31397928994082</v>
      </c>
    </row>
    <row r="29" spans="1:25" ht="13.25" x14ac:dyDescent="0.25">
      <c r="A29" s="33">
        <f t="shared" si="0"/>
        <v>55</v>
      </c>
      <c r="B29" s="36">
        <f t="shared" si="1"/>
        <v>10.048076923076923</v>
      </c>
      <c r="C29" s="34">
        <f t="shared" si="2"/>
        <v>3.3493589743589745</v>
      </c>
      <c r="D29" s="32"/>
      <c r="E29" s="34">
        <f>((('Device Parmaters'!$D$35)*COUTMAX)/(1000*'Design Calculator'!$F$70))+C29</f>
        <v>311.34935897435895</v>
      </c>
      <c r="F29" s="34">
        <f t="shared" si="7"/>
        <v>10.349358974358974</v>
      </c>
      <c r="G29" s="32">
        <f t="shared" si="8"/>
        <v>10.349358974358974</v>
      </c>
      <c r="H29" s="34">
        <f t="shared" si="3"/>
        <v>7</v>
      </c>
      <c r="I29" s="35">
        <f t="shared" si="9"/>
        <v>2.1153846153846204E-4</v>
      </c>
      <c r="J29" s="35">
        <f t="shared" si="12"/>
        <v>4.0192307692307697E-3</v>
      </c>
      <c r="K29" s="101">
        <f t="shared" si="10"/>
        <v>4.0192307692307701</v>
      </c>
      <c r="L29" s="80">
        <f t="shared" si="11"/>
        <v>0.67637039331062243</v>
      </c>
      <c r="M29" s="33">
        <f t="shared" si="4"/>
        <v>54.401900183150175</v>
      </c>
      <c r="N29" s="33">
        <f t="shared" si="14"/>
        <v>9.8412682184987346E-2</v>
      </c>
      <c r="O29" s="33">
        <f t="shared" si="13"/>
        <v>465.22358851084817</v>
      </c>
      <c r="P29" s="33">
        <f t="shared" si="5"/>
        <v>150.5601269723866</v>
      </c>
      <c r="Q29" s="33">
        <f t="shared" si="6"/>
        <v>150.5601269723866</v>
      </c>
    </row>
    <row r="30" spans="1:25" ht="13.25" x14ac:dyDescent="0.25">
      <c r="A30" s="33">
        <f t="shared" si="0"/>
        <v>55</v>
      </c>
      <c r="B30" s="36">
        <f t="shared" si="1"/>
        <v>10.576923076923077</v>
      </c>
      <c r="C30" s="34">
        <f t="shared" si="2"/>
        <v>3.5256410256410255</v>
      </c>
      <c r="D30" s="32"/>
      <c r="E30" s="34">
        <f>((('Device Parmaters'!$D$35)*COUTMAX)/(1000*'Design Calculator'!$F$70))+C30</f>
        <v>311.52564102564105</v>
      </c>
      <c r="F30" s="34">
        <f t="shared" si="7"/>
        <v>10.525641025641026</v>
      </c>
      <c r="G30" s="32">
        <f t="shared" si="8"/>
        <v>10.525641025641026</v>
      </c>
      <c r="H30" s="34">
        <f t="shared" si="3"/>
        <v>7</v>
      </c>
      <c r="I30" s="35">
        <f t="shared" si="9"/>
        <v>2.1153846153846133E-4</v>
      </c>
      <c r="J30" s="35">
        <f t="shared" si="12"/>
        <v>4.2307692307692307E-3</v>
      </c>
      <c r="K30" s="101">
        <f t="shared" si="10"/>
        <v>4.2307692307692308</v>
      </c>
      <c r="L30" s="80">
        <f t="shared" si="11"/>
        <v>0.66504263093788063</v>
      </c>
      <c r="M30" s="33">
        <f t="shared" si="4"/>
        <v>54.370421245421248</v>
      </c>
      <c r="N30" s="33">
        <f t="shared" si="14"/>
        <v>9.8911441738734535E-2</v>
      </c>
      <c r="O30" s="33">
        <f t="shared" si="13"/>
        <v>467.58136094674552</v>
      </c>
      <c r="P30" s="33">
        <f t="shared" si="5"/>
        <v>156.6198224852071</v>
      </c>
      <c r="Q30" s="33">
        <f t="shared" si="6"/>
        <v>156.6198224852071</v>
      </c>
    </row>
    <row r="31" spans="1:25" ht="13.25" x14ac:dyDescent="0.25">
      <c r="A31" s="33">
        <f t="shared" si="0"/>
        <v>55</v>
      </c>
      <c r="B31" s="36">
        <f t="shared" si="1"/>
        <v>11.105769230769232</v>
      </c>
      <c r="C31" s="34">
        <f t="shared" si="2"/>
        <v>3.7019230769230771</v>
      </c>
      <c r="D31" s="32"/>
      <c r="E31" s="34">
        <f>((('Device Parmaters'!$D$35)*COUTMAX)/(1000*'Design Calculator'!$F$70))+C31</f>
        <v>311.70192307692309</v>
      </c>
      <c r="F31" s="34">
        <f t="shared" si="7"/>
        <v>10.701923076923077</v>
      </c>
      <c r="G31" s="32">
        <f t="shared" si="8"/>
        <v>10.701923076923077</v>
      </c>
      <c r="H31" s="34">
        <f t="shared" si="3"/>
        <v>7</v>
      </c>
      <c r="I31" s="35">
        <f t="shared" si="9"/>
        <v>2.1153846153846204E-4</v>
      </c>
      <c r="J31" s="35">
        <f t="shared" si="12"/>
        <v>4.4423076923076925E-3</v>
      </c>
      <c r="K31" s="101">
        <f t="shared" si="10"/>
        <v>4.4423076923076925</v>
      </c>
      <c r="L31" s="80">
        <f t="shared" si="11"/>
        <v>0.65408805031446537</v>
      </c>
      <c r="M31" s="33">
        <f t="shared" si="4"/>
        <v>54.338942307692321</v>
      </c>
      <c r="N31" s="33">
        <f t="shared" si="14"/>
        <v>9.937075948736937E-2</v>
      </c>
      <c r="O31" s="33">
        <f t="shared" si="13"/>
        <v>469.75268121301769</v>
      </c>
      <c r="P31" s="33">
        <f t="shared" si="5"/>
        <v>162.49306582840237</v>
      </c>
      <c r="Q31" s="33">
        <f t="shared" si="6"/>
        <v>162.49306582840237</v>
      </c>
    </row>
    <row r="32" spans="1:25" ht="13.25" x14ac:dyDescent="0.25">
      <c r="A32" s="33">
        <f t="shared" si="0"/>
        <v>55</v>
      </c>
      <c r="B32" s="36">
        <f t="shared" si="1"/>
        <v>11.634615384615385</v>
      </c>
      <c r="C32" s="34">
        <f t="shared" si="2"/>
        <v>3.8782051282051282</v>
      </c>
      <c r="D32" s="32"/>
      <c r="E32" s="34">
        <f>((('Device Parmaters'!$D$35)*COUTMAX)/(1000*'Design Calculator'!$F$70))+C32</f>
        <v>311.87820512820514</v>
      </c>
      <c r="F32" s="34">
        <f t="shared" si="7"/>
        <v>10.878205128205128</v>
      </c>
      <c r="G32" s="32">
        <f t="shared" si="8"/>
        <v>10.878205128205128</v>
      </c>
      <c r="H32" s="34">
        <f t="shared" si="3"/>
        <v>7</v>
      </c>
      <c r="I32" s="35">
        <f t="shared" si="9"/>
        <v>2.1153846153846133E-4</v>
      </c>
      <c r="J32" s="35">
        <f t="shared" si="12"/>
        <v>4.6538461538461534E-3</v>
      </c>
      <c r="K32" s="101">
        <f t="shared" si="10"/>
        <v>4.6538461538461533</v>
      </c>
      <c r="L32" s="80">
        <f t="shared" si="11"/>
        <v>0.64348850913376554</v>
      </c>
      <c r="M32" s="33">
        <f t="shared" si="4"/>
        <v>54.307463369963365</v>
      </c>
      <c r="N32" s="33">
        <f t="shared" si="14"/>
        <v>9.9790635430890492E-2</v>
      </c>
      <c r="O32" s="33">
        <f t="shared" si="13"/>
        <v>471.73754930966464</v>
      </c>
      <c r="P32" s="33">
        <f t="shared" si="5"/>
        <v>168.17985700197238</v>
      </c>
      <c r="Q32" s="33">
        <f t="shared" si="6"/>
        <v>168.17985700197238</v>
      </c>
    </row>
    <row r="33" spans="1:17" ht="13.25" x14ac:dyDescent="0.25">
      <c r="A33" s="33">
        <f t="shared" si="0"/>
        <v>55</v>
      </c>
      <c r="B33" s="36">
        <f t="shared" si="1"/>
        <v>12.163461538461538</v>
      </c>
      <c r="C33" s="34">
        <f t="shared" si="2"/>
        <v>4.0544871794871797</v>
      </c>
      <c r="D33" s="32"/>
      <c r="E33" s="34">
        <f>((('Device Parmaters'!$D$35)*COUTMAX)/(1000*'Design Calculator'!$F$70))+C33</f>
        <v>312.05448717948718</v>
      </c>
      <c r="F33" s="34">
        <f t="shared" si="7"/>
        <v>11.054487179487179</v>
      </c>
      <c r="G33" s="32">
        <f t="shared" si="8"/>
        <v>11.054487179487179</v>
      </c>
      <c r="H33" s="34">
        <f t="shared" si="3"/>
        <v>6.9999999999999991</v>
      </c>
      <c r="I33" s="35">
        <f t="shared" si="9"/>
        <v>2.1153846153846136E-4</v>
      </c>
      <c r="J33" s="35">
        <f t="shared" si="12"/>
        <v>4.8653846153846152E-3</v>
      </c>
      <c r="K33" s="101">
        <f t="shared" si="10"/>
        <v>4.865384615384615</v>
      </c>
      <c r="L33" s="80">
        <f t="shared" si="11"/>
        <v>0.63322702232531169</v>
      </c>
      <c r="M33" s="33">
        <f t="shared" si="4"/>
        <v>54.275984432234438</v>
      </c>
      <c r="N33" s="33">
        <f t="shared" si="14"/>
        <v>0.10017106956929896</v>
      </c>
      <c r="O33" s="33">
        <f t="shared" si="13"/>
        <v>473.53596523668637</v>
      </c>
      <c r="P33" s="33">
        <f t="shared" si="5"/>
        <v>173.68019600591717</v>
      </c>
      <c r="Q33" s="33">
        <f t="shared" si="6"/>
        <v>173.68019600591717</v>
      </c>
    </row>
    <row r="34" spans="1:17" ht="13.25" x14ac:dyDescent="0.25">
      <c r="A34" s="33">
        <f t="shared" si="0"/>
        <v>55</v>
      </c>
      <c r="B34" s="36">
        <f t="shared" si="1"/>
        <v>12.692307692307693</v>
      </c>
      <c r="C34" s="34">
        <f t="shared" si="2"/>
        <v>4.2307692307692308</v>
      </c>
      <c r="D34" s="32"/>
      <c r="E34" s="34">
        <f>((('Device Parmaters'!$D$35)*COUTMAX)/(1000*'Design Calculator'!$F$70))+C34</f>
        <v>312.23076923076923</v>
      </c>
      <c r="F34" s="34">
        <f t="shared" si="7"/>
        <v>11.23076923076923</v>
      </c>
      <c r="G34" s="32">
        <f t="shared" si="8"/>
        <v>11.23076923076923</v>
      </c>
      <c r="H34" s="34">
        <f t="shared" si="3"/>
        <v>6.9999999999999991</v>
      </c>
      <c r="I34" s="35">
        <f t="shared" si="9"/>
        <v>2.1153846153846206E-4</v>
      </c>
      <c r="J34" s="35">
        <f t="shared" si="12"/>
        <v>5.076923076923077E-3</v>
      </c>
      <c r="K34" s="101">
        <f t="shared" si="10"/>
        <v>5.0769230769230766</v>
      </c>
      <c r="L34" s="80">
        <f t="shared" si="11"/>
        <v>0.62328767123287665</v>
      </c>
      <c r="M34" s="33">
        <f t="shared" si="4"/>
        <v>54.244505494505496</v>
      </c>
      <c r="N34" s="33">
        <f t="shared" si="14"/>
        <v>0.10051206190259469</v>
      </c>
      <c r="O34" s="33">
        <f t="shared" si="13"/>
        <v>475.1479289940828</v>
      </c>
      <c r="P34" s="33">
        <f t="shared" si="5"/>
        <v>178.99408284023667</v>
      </c>
      <c r="Q34" s="33">
        <f t="shared" si="6"/>
        <v>178.99408284023667</v>
      </c>
    </row>
    <row r="35" spans="1:17" ht="13.25" x14ac:dyDescent="0.25">
      <c r="A35" s="33">
        <f t="shared" si="0"/>
        <v>55</v>
      </c>
      <c r="B35" s="36">
        <f t="shared" si="1"/>
        <v>13.221153846153847</v>
      </c>
      <c r="C35" s="34">
        <f t="shared" si="2"/>
        <v>4.4070512820512819</v>
      </c>
      <c r="D35" s="32"/>
      <c r="E35" s="34">
        <f>((('Device Parmaters'!$D$35)*COUTMAX)/(1000*'Design Calculator'!$F$70))+C35</f>
        <v>312.40705128205127</v>
      </c>
      <c r="F35" s="34">
        <f t="shared" si="7"/>
        <v>11.407051282051281</v>
      </c>
      <c r="G35" s="32">
        <f t="shared" si="8"/>
        <v>11.407051282051281</v>
      </c>
      <c r="H35" s="34">
        <f t="shared" si="3"/>
        <v>6.9999999999999991</v>
      </c>
      <c r="I35" s="35">
        <f t="shared" si="9"/>
        <v>2.1153846153846136E-4</v>
      </c>
      <c r="J35" s="35">
        <f t="shared" si="12"/>
        <v>5.2884615384615388E-3</v>
      </c>
      <c r="K35" s="101">
        <f t="shared" si="10"/>
        <v>5.2884615384615383</v>
      </c>
      <c r="L35" s="80">
        <f t="shared" si="11"/>
        <v>0.61365552121382405</v>
      </c>
      <c r="M35" s="33">
        <f t="shared" si="4"/>
        <v>54.213026556776562</v>
      </c>
      <c r="N35" s="33">
        <f t="shared" si="14"/>
        <v>0.10081361243077673</v>
      </c>
      <c r="O35" s="33">
        <f t="shared" si="13"/>
        <v>476.57344058185402</v>
      </c>
      <c r="P35" s="33">
        <f t="shared" si="5"/>
        <v>184.12151750493095</v>
      </c>
      <c r="Q35" s="33">
        <f t="shared" si="6"/>
        <v>184.12151750493095</v>
      </c>
    </row>
    <row r="36" spans="1:17" ht="13.25" x14ac:dyDescent="0.25">
      <c r="A36" s="33">
        <f t="shared" si="0"/>
        <v>55</v>
      </c>
      <c r="B36" s="36">
        <f t="shared" si="1"/>
        <v>13.75</v>
      </c>
      <c r="C36" s="34">
        <f t="shared" si="2"/>
        <v>4.583333333333333</v>
      </c>
      <c r="D36" s="32"/>
      <c r="E36" s="34">
        <f>((('Device Parmaters'!$D$35)*COUTMAX)/(1000*'Design Calculator'!$F$70))+C36</f>
        <v>312.58333333333331</v>
      </c>
      <c r="F36" s="34">
        <f t="shared" si="7"/>
        <v>11.583333333333332</v>
      </c>
      <c r="G36" s="32">
        <f t="shared" si="8"/>
        <v>11.583333333333332</v>
      </c>
      <c r="H36" s="34">
        <f t="shared" si="3"/>
        <v>6.9999999999999991</v>
      </c>
      <c r="I36" s="35">
        <f t="shared" si="9"/>
        <v>2.1153846153846136E-4</v>
      </c>
      <c r="J36" s="35">
        <f t="shared" si="12"/>
        <v>5.4999999999999997E-3</v>
      </c>
      <c r="K36" s="101">
        <f t="shared" si="10"/>
        <v>5.5</v>
      </c>
      <c r="L36" s="80">
        <f t="shared" si="11"/>
        <v>0.60431654676258995</v>
      </c>
      <c r="M36" s="33">
        <f t="shared" si="4"/>
        <v>54.181547619047613</v>
      </c>
      <c r="N36" s="33">
        <f t="shared" si="14"/>
        <v>0.10107572115384607</v>
      </c>
      <c r="O36" s="33">
        <f t="shared" si="13"/>
        <v>477.81249999999994</v>
      </c>
      <c r="P36" s="33">
        <f t="shared" si="5"/>
        <v>189.0625</v>
      </c>
      <c r="Q36" s="33">
        <f t="shared" si="6"/>
        <v>189.0625</v>
      </c>
    </row>
    <row r="37" spans="1:17" ht="13.25" x14ac:dyDescent="0.25">
      <c r="A37" s="33">
        <f t="shared" si="0"/>
        <v>55</v>
      </c>
      <c r="B37" s="36">
        <f t="shared" si="1"/>
        <v>14.278846153846155</v>
      </c>
      <c r="C37" s="34">
        <f t="shared" si="2"/>
        <v>4.759615384615385</v>
      </c>
      <c r="D37" s="32"/>
      <c r="E37" s="34">
        <f>((('Device Parmaters'!$D$35)*COUTMAX)/(1000*'Design Calculator'!$F$70))+C37</f>
        <v>312.75961538461536</v>
      </c>
      <c r="F37" s="34">
        <f t="shared" si="7"/>
        <v>11.759615384615385</v>
      </c>
      <c r="G37" s="32">
        <f t="shared" si="8"/>
        <v>11.759615384615385</v>
      </c>
      <c r="H37" s="34">
        <f t="shared" si="3"/>
        <v>7</v>
      </c>
      <c r="I37" s="35">
        <f t="shared" si="9"/>
        <v>2.1153846153846204E-4</v>
      </c>
      <c r="J37" s="35">
        <f t="shared" si="12"/>
        <v>5.7115384615384615E-3</v>
      </c>
      <c r="K37" s="101">
        <f t="shared" si="10"/>
        <v>5.7115384615384617</v>
      </c>
      <c r="L37" s="80">
        <f t="shared" si="11"/>
        <v>0.59525756336876534</v>
      </c>
      <c r="M37" s="33">
        <f t="shared" si="4"/>
        <v>54.150068681318679</v>
      </c>
      <c r="N37" s="33">
        <f t="shared" si="14"/>
        <v>0.10129838807180271</v>
      </c>
      <c r="O37" s="33">
        <f t="shared" si="13"/>
        <v>478.86510724852076</v>
      </c>
      <c r="P37" s="33">
        <f t="shared" si="5"/>
        <v>193.8170303254438</v>
      </c>
      <c r="Q37" s="33">
        <f t="shared" si="6"/>
        <v>193.8170303254438</v>
      </c>
    </row>
    <row r="38" spans="1:17" ht="13.25" x14ac:dyDescent="0.25">
      <c r="A38" s="33">
        <f t="shared" si="0"/>
        <v>55</v>
      </c>
      <c r="B38" s="36">
        <f t="shared" si="1"/>
        <v>14.807692307692307</v>
      </c>
      <c r="C38" s="34">
        <f t="shared" si="2"/>
        <v>4.9358974358974352</v>
      </c>
      <c r="D38" s="32"/>
      <c r="E38" s="34">
        <f>((('Device Parmaters'!$D$35)*COUTMAX)/(1000*'Design Calculator'!$F$70))+C38</f>
        <v>312.93589743589746</v>
      </c>
      <c r="F38" s="34">
        <f t="shared" si="7"/>
        <v>11.935897435897434</v>
      </c>
      <c r="G38" s="32">
        <f t="shared" si="8"/>
        <v>11.935897435897434</v>
      </c>
      <c r="H38" s="34">
        <f t="shared" si="3"/>
        <v>6.9999999999999991</v>
      </c>
      <c r="I38" s="35">
        <f t="shared" si="9"/>
        <v>2.1153846153846065E-4</v>
      </c>
      <c r="J38" s="35">
        <f t="shared" si="12"/>
        <v>5.9230769230769224E-3</v>
      </c>
      <c r="K38" s="101">
        <f t="shared" si="10"/>
        <v>5.9230769230769225</v>
      </c>
      <c r="L38" s="80">
        <f t="shared" si="11"/>
        <v>0.5864661654135338</v>
      </c>
      <c r="M38" s="33">
        <f t="shared" si="4"/>
        <v>54.118589743589745</v>
      </c>
      <c r="N38" s="33">
        <f t="shared" si="14"/>
        <v>0.1014816131846453</v>
      </c>
      <c r="O38" s="33">
        <f t="shared" si="13"/>
        <v>479.73126232741612</v>
      </c>
      <c r="P38" s="33">
        <f t="shared" si="5"/>
        <v>198.38510848126231</v>
      </c>
      <c r="Q38" s="33">
        <f t="shared" si="6"/>
        <v>198.38510848126231</v>
      </c>
    </row>
    <row r="39" spans="1:17" ht="13.25" x14ac:dyDescent="0.25">
      <c r="A39" s="33">
        <f t="shared" si="0"/>
        <v>55</v>
      </c>
      <c r="B39" s="36">
        <f t="shared" si="1"/>
        <v>15.336538461538462</v>
      </c>
      <c r="C39" s="34">
        <f t="shared" si="2"/>
        <v>5.1121794871794872</v>
      </c>
      <c r="D39" s="32"/>
      <c r="E39" s="34">
        <f>((('Device Parmaters'!$D$35)*COUTMAX)/(1000*'Design Calculator'!$F$70))+C39</f>
        <v>313.1121794871795</v>
      </c>
      <c r="F39" s="34">
        <f t="shared" si="7"/>
        <v>12.112179487179487</v>
      </c>
      <c r="G39" s="32">
        <f t="shared" si="8"/>
        <v>12.112179487179487</v>
      </c>
      <c r="H39" s="34">
        <f t="shared" si="3"/>
        <v>7</v>
      </c>
      <c r="I39" s="35">
        <f t="shared" si="9"/>
        <v>2.1153846153846204E-4</v>
      </c>
      <c r="J39" s="35">
        <f t="shared" si="12"/>
        <v>6.1346153846153842E-3</v>
      </c>
      <c r="K39" s="101">
        <f t="shared" si="10"/>
        <v>6.1346153846153841</v>
      </c>
      <c r="L39" s="80">
        <f t="shared" si="11"/>
        <v>0.57793066948928284</v>
      </c>
      <c r="M39" s="33">
        <f t="shared" si="4"/>
        <v>54.087110805860817</v>
      </c>
      <c r="N39" s="33">
        <f t="shared" si="14"/>
        <v>0.1016253964923762</v>
      </c>
      <c r="O39" s="33">
        <f t="shared" si="13"/>
        <v>480.41096523668642</v>
      </c>
      <c r="P39" s="33">
        <f t="shared" si="5"/>
        <v>202.76673446745562</v>
      </c>
      <c r="Q39" s="33">
        <f t="shared" si="6"/>
        <v>202.76673446745562</v>
      </c>
    </row>
    <row r="40" spans="1:17" ht="13.25" x14ac:dyDescent="0.25">
      <c r="A40" s="33">
        <f t="shared" si="0"/>
        <v>55</v>
      </c>
      <c r="B40" s="36">
        <f t="shared" si="1"/>
        <v>15.865384615384613</v>
      </c>
      <c r="C40" s="34">
        <f t="shared" si="2"/>
        <v>5.2884615384615374</v>
      </c>
      <c r="D40" s="32"/>
      <c r="E40" s="34">
        <f>((('Device Parmaters'!$D$35)*COUTMAX)/(1000*'Design Calculator'!$F$70))+C40</f>
        <v>313.28846153846155</v>
      </c>
      <c r="F40" s="34">
        <f t="shared" si="7"/>
        <v>12.288461538461537</v>
      </c>
      <c r="G40" s="32">
        <f t="shared" si="8"/>
        <v>12.288461538461537</v>
      </c>
      <c r="H40" s="34">
        <f t="shared" si="3"/>
        <v>6.9999999999999991</v>
      </c>
      <c r="I40" s="35">
        <f t="shared" si="9"/>
        <v>2.1153846153846065E-4</v>
      </c>
      <c r="J40" s="35">
        <f t="shared" si="12"/>
        <v>6.3461538461538451E-3</v>
      </c>
      <c r="K40" s="101">
        <f t="shared" si="10"/>
        <v>6.3461538461538449</v>
      </c>
      <c r="L40" s="80">
        <f t="shared" si="11"/>
        <v>0.56964006259780908</v>
      </c>
      <c r="M40" s="33">
        <f t="shared" si="4"/>
        <v>54.055631868131861</v>
      </c>
      <c r="N40" s="33">
        <f t="shared" si="14"/>
        <v>0.10172973799499274</v>
      </c>
      <c r="O40" s="33">
        <f t="shared" si="13"/>
        <v>480.90421597633133</v>
      </c>
      <c r="P40" s="33">
        <f t="shared" si="5"/>
        <v>206.96190828402365</v>
      </c>
      <c r="Q40" s="33">
        <f t="shared" si="6"/>
        <v>206.96190828402365</v>
      </c>
    </row>
    <row r="41" spans="1:17" ht="13.25" x14ac:dyDescent="0.25">
      <c r="A41" s="33">
        <f t="shared" si="0"/>
        <v>55</v>
      </c>
      <c r="B41" s="36">
        <f t="shared" si="1"/>
        <v>16.39423076923077</v>
      </c>
      <c r="C41" s="34">
        <f t="shared" si="2"/>
        <v>5.4647435897435903</v>
      </c>
      <c r="D41" s="32"/>
      <c r="E41" s="34">
        <f>((('Device Parmaters'!$D$35)*COUTMAX)/(1000*'Design Calculator'!$F$70))+C41</f>
        <v>313.46474358974359</v>
      </c>
      <c r="F41" s="34">
        <f t="shared" si="7"/>
        <v>12.464743589743591</v>
      </c>
      <c r="G41" s="32">
        <f t="shared" si="8"/>
        <v>12.464743589743591</v>
      </c>
      <c r="H41" s="34">
        <f t="shared" si="3"/>
        <v>7.0000000000000009</v>
      </c>
      <c r="I41" s="35">
        <f t="shared" si="9"/>
        <v>2.1153846153846271E-4</v>
      </c>
      <c r="J41" s="35">
        <f t="shared" si="12"/>
        <v>6.5576923076923078E-3</v>
      </c>
      <c r="K41" s="101">
        <f t="shared" si="10"/>
        <v>6.5576923076923075</v>
      </c>
      <c r="L41" s="80">
        <f t="shared" si="11"/>
        <v>0.56158395474415013</v>
      </c>
      <c r="M41" s="33">
        <f t="shared" si="4"/>
        <v>54.024152930402927</v>
      </c>
      <c r="N41" s="33">
        <f t="shared" si="14"/>
        <v>0.10179463769249791</v>
      </c>
      <c r="O41" s="33">
        <f t="shared" si="13"/>
        <v>481.21101454635107</v>
      </c>
      <c r="P41" s="33">
        <f t="shared" si="5"/>
        <v>210.97062993096648</v>
      </c>
      <c r="Q41" s="33">
        <f t="shared" si="6"/>
        <v>210.97062993096648</v>
      </c>
    </row>
    <row r="42" spans="1:17" ht="13.25" x14ac:dyDescent="0.25">
      <c r="A42" s="33">
        <f t="shared" ref="A42:A73" si="15">VINMAX</f>
        <v>55</v>
      </c>
      <c r="B42" s="36">
        <f t="shared" ref="B42:B73" si="16">VINMAX*((ROW()-10)/104)</f>
        <v>16.923076923076923</v>
      </c>
      <c r="C42" s="34">
        <f t="shared" ref="C42:C73" si="17">IF(B42&gt;=$H$2,IF($D$2="CC", $G$2, B42/$G$2), 0)</f>
        <v>5.6410256410256414</v>
      </c>
      <c r="D42" s="32"/>
      <c r="E42" s="34">
        <f>((('Device Parmaters'!$D$35)*COUTMAX)/(1000*'Design Calculator'!$F$70))+C42</f>
        <v>313.64102564102564</v>
      </c>
      <c r="F42" s="34">
        <f t="shared" ref="F42:F73" si="18">I_Cout_ss+C42</f>
        <v>12.641025641025642</v>
      </c>
      <c r="G42" s="32">
        <f t="shared" si="8"/>
        <v>12.641025641025642</v>
      </c>
      <c r="H42" s="34">
        <f t="shared" ref="H42:H73" si="19">G42-C42</f>
        <v>7.0000000000000009</v>
      </c>
      <c r="I42" s="35">
        <f t="shared" si="9"/>
        <v>2.1153846153846131E-4</v>
      </c>
      <c r="J42" s="35">
        <f t="shared" si="12"/>
        <v>6.7692307692307687E-3</v>
      </c>
      <c r="K42" s="101">
        <f t="shared" si="10"/>
        <v>6.7692307692307683</v>
      </c>
      <c r="L42" s="80">
        <f t="shared" si="11"/>
        <v>0.55375253549695747</v>
      </c>
      <c r="M42" s="33">
        <f t="shared" ref="M42:M73" si="20">1/COUTMAX*(E42/2-C42)*1000</f>
        <v>53.992673992674</v>
      </c>
      <c r="N42" s="33">
        <f t="shared" si="14"/>
        <v>0.1018200955848884</v>
      </c>
      <c r="O42" s="33">
        <f t="shared" si="13"/>
        <v>481.33136094674563</v>
      </c>
      <c r="P42" s="33">
        <f t="shared" ref="P42:P73" si="21">(A42-B42)*(I_Cout_ss*$Q$2+C42)</f>
        <v>214.79289940828406</v>
      </c>
      <c r="Q42" s="33">
        <f t="shared" ref="Q42:Q73" si="22">(A42-B42)*(I_Cout_ss*$R$2+C42)</f>
        <v>214.79289940828406</v>
      </c>
    </row>
    <row r="43" spans="1:17" ht="13.25" x14ac:dyDescent="0.25">
      <c r="A43" s="33">
        <f t="shared" si="15"/>
        <v>55</v>
      </c>
      <c r="B43" s="36">
        <f t="shared" si="16"/>
        <v>17.451923076923077</v>
      </c>
      <c r="C43" s="34">
        <f t="shared" si="17"/>
        <v>5.8173076923076925</v>
      </c>
      <c r="D43" s="32"/>
      <c r="E43" s="34">
        <f>((('Device Parmaters'!$D$35)*COUTMAX)/(1000*'Design Calculator'!$F$70))+C43</f>
        <v>313.81730769230768</v>
      </c>
      <c r="F43" s="34">
        <f t="shared" si="18"/>
        <v>12.817307692307693</v>
      </c>
      <c r="G43" s="32">
        <f t="shared" si="8"/>
        <v>12.817307692307693</v>
      </c>
      <c r="H43" s="34">
        <f t="shared" si="19"/>
        <v>7.0000000000000009</v>
      </c>
      <c r="I43" s="35">
        <f t="shared" ref="I43:I74" si="23">(COUTMAX/1000000)*(B43-B42)/H43</f>
        <v>2.1153846153846131E-4</v>
      </c>
      <c r="J43" s="35">
        <f t="shared" si="12"/>
        <v>6.9807692307692296E-3</v>
      </c>
      <c r="K43" s="101">
        <f t="shared" si="10"/>
        <v>6.9807692307692299</v>
      </c>
      <c r="L43" s="80">
        <f t="shared" si="11"/>
        <v>0.54613653413353336</v>
      </c>
      <c r="M43" s="33">
        <f t="shared" si="20"/>
        <v>53.961195054945058</v>
      </c>
      <c r="N43" s="33">
        <f t="shared" si="14"/>
        <v>0.10180611167216648</v>
      </c>
      <c r="O43" s="33">
        <f t="shared" si="13"/>
        <v>481.2652551775148</v>
      </c>
      <c r="P43" s="33">
        <f t="shared" si="21"/>
        <v>218.42871671597632</v>
      </c>
      <c r="Q43" s="33">
        <f t="shared" si="22"/>
        <v>218.42871671597632</v>
      </c>
    </row>
    <row r="44" spans="1:17" ht="13.25" x14ac:dyDescent="0.25">
      <c r="A44" s="33">
        <f t="shared" si="15"/>
        <v>55</v>
      </c>
      <c r="B44" s="36">
        <f t="shared" si="16"/>
        <v>17.98076923076923</v>
      </c>
      <c r="C44" s="34">
        <f t="shared" si="17"/>
        <v>5.9935897435897436</v>
      </c>
      <c r="D44" s="32"/>
      <c r="E44" s="34">
        <f>((('Device Parmaters'!$D$35)*COUTMAX)/(1000*'Design Calculator'!$F$70))+C44</f>
        <v>313.99358974358972</v>
      </c>
      <c r="F44" s="34">
        <f t="shared" si="18"/>
        <v>12.993589743589745</v>
      </c>
      <c r="G44" s="32">
        <f t="shared" si="8"/>
        <v>12.993589743589745</v>
      </c>
      <c r="H44" s="34">
        <f t="shared" si="19"/>
        <v>7.0000000000000009</v>
      </c>
      <c r="I44" s="35">
        <f t="shared" si="23"/>
        <v>2.1153846153846131E-4</v>
      </c>
      <c r="J44" s="35">
        <f t="shared" si="12"/>
        <v>7.1923076923076906E-3</v>
      </c>
      <c r="K44" s="101">
        <f t="shared" si="10"/>
        <v>7.1923076923076907</v>
      </c>
      <c r="L44" s="80">
        <f t="shared" si="11"/>
        <v>0.53872718302910705</v>
      </c>
      <c r="M44" s="33">
        <f t="shared" si="20"/>
        <v>53.92971611721611</v>
      </c>
      <c r="N44" s="33">
        <f t="shared" si="14"/>
        <v>0.10175268595433157</v>
      </c>
      <c r="O44" s="33">
        <f t="shared" si="13"/>
        <v>481.01269723865886</v>
      </c>
      <c r="P44" s="33">
        <f t="shared" si="21"/>
        <v>221.87808185404342</v>
      </c>
      <c r="Q44" s="33">
        <f t="shared" si="22"/>
        <v>221.87808185404342</v>
      </c>
    </row>
    <row r="45" spans="1:17" ht="13.25" x14ac:dyDescent="0.25">
      <c r="A45" s="33">
        <f t="shared" si="15"/>
        <v>55</v>
      </c>
      <c r="B45" s="36">
        <f t="shared" si="16"/>
        <v>18.509615384615387</v>
      </c>
      <c r="C45" s="34">
        <f t="shared" si="17"/>
        <v>6.1698717948717956</v>
      </c>
      <c r="D45" s="32"/>
      <c r="E45" s="34">
        <f>((('Device Parmaters'!$D$35)*COUTMAX)/(1000*'Design Calculator'!$F$70))+C45</f>
        <v>314.16987179487182</v>
      </c>
      <c r="F45" s="34">
        <f t="shared" si="18"/>
        <v>13.169871794871796</v>
      </c>
      <c r="G45" s="32">
        <f t="shared" si="8"/>
        <v>13.169871794871796</v>
      </c>
      <c r="H45" s="34">
        <f t="shared" si="19"/>
        <v>7</v>
      </c>
      <c r="I45" s="35">
        <f t="shared" si="23"/>
        <v>2.1153846153846274E-4</v>
      </c>
      <c r="J45" s="35">
        <f t="shared" si="12"/>
        <v>7.4038461538461532E-3</v>
      </c>
      <c r="K45" s="101">
        <f t="shared" si="10"/>
        <v>7.4038461538461533</v>
      </c>
      <c r="L45" s="80">
        <f t="shared" si="11"/>
        <v>0.53151618398637135</v>
      </c>
      <c r="M45" s="33">
        <f t="shared" si="20"/>
        <v>53.898237179487182</v>
      </c>
      <c r="N45" s="33">
        <f t="shared" si="14"/>
        <v>0.10165981843138429</v>
      </c>
      <c r="O45" s="33">
        <f t="shared" si="13"/>
        <v>480.57368713017752</v>
      </c>
      <c r="P45" s="33">
        <f t="shared" si="21"/>
        <v>225.14099482248523</v>
      </c>
      <c r="Q45" s="33">
        <f t="shared" si="22"/>
        <v>225.14099482248523</v>
      </c>
    </row>
    <row r="46" spans="1:17" ht="13.25" x14ac:dyDescent="0.25">
      <c r="A46" s="33">
        <f t="shared" si="15"/>
        <v>55</v>
      </c>
      <c r="B46" s="36">
        <f t="shared" si="16"/>
        <v>19.038461538461537</v>
      </c>
      <c r="C46" s="34">
        <f t="shared" si="17"/>
        <v>6.3461538461538458</v>
      </c>
      <c r="D46" s="32"/>
      <c r="E46" s="34">
        <f>((('Device Parmaters'!$D$35)*COUTMAX)/(1000*'Design Calculator'!$F$70))+C46</f>
        <v>314.34615384615387</v>
      </c>
      <c r="F46" s="34">
        <f t="shared" si="18"/>
        <v>13.346153846153847</v>
      </c>
      <c r="G46" s="32">
        <f t="shared" si="8"/>
        <v>13.346153846153847</v>
      </c>
      <c r="H46" s="34">
        <f t="shared" si="19"/>
        <v>7.0000000000000009</v>
      </c>
      <c r="I46" s="35">
        <f t="shared" si="23"/>
        <v>2.1153846153845987E-4</v>
      </c>
      <c r="J46" s="35">
        <f t="shared" si="12"/>
        <v>7.6153846153846133E-3</v>
      </c>
      <c r="K46" s="101">
        <f t="shared" si="10"/>
        <v>7.6153846153846132</v>
      </c>
      <c r="L46" s="80">
        <f t="shared" si="11"/>
        <v>0.52449567723342949</v>
      </c>
      <c r="M46" s="33">
        <f t="shared" si="20"/>
        <v>53.866758241758248</v>
      </c>
      <c r="N46" s="33">
        <f t="shared" si="14"/>
        <v>0.10152750910332192</v>
      </c>
      <c r="O46" s="33">
        <f t="shared" si="13"/>
        <v>479.94822485207112</v>
      </c>
      <c r="P46" s="33">
        <f t="shared" si="21"/>
        <v>228.21745562130181</v>
      </c>
      <c r="Q46" s="33">
        <f t="shared" si="22"/>
        <v>228.21745562130181</v>
      </c>
    </row>
    <row r="47" spans="1:17" ht="13.25" x14ac:dyDescent="0.25">
      <c r="A47" s="33">
        <f t="shared" si="15"/>
        <v>55</v>
      </c>
      <c r="B47" s="36">
        <f t="shared" si="16"/>
        <v>19.567307692307693</v>
      </c>
      <c r="C47" s="34">
        <f t="shared" si="17"/>
        <v>6.5224358974358978</v>
      </c>
      <c r="D47" s="32"/>
      <c r="E47" s="34">
        <f>((('Device Parmaters'!$D$35)*COUTMAX)/(1000*'Design Calculator'!$F$70))+C47</f>
        <v>314.52243589743591</v>
      </c>
      <c r="F47" s="34">
        <f t="shared" si="18"/>
        <v>13.522435897435898</v>
      </c>
      <c r="G47" s="32">
        <f t="shared" si="8"/>
        <v>13.522435897435898</v>
      </c>
      <c r="H47" s="34">
        <f t="shared" si="19"/>
        <v>7</v>
      </c>
      <c r="I47" s="35">
        <f t="shared" si="23"/>
        <v>2.1153846153846274E-4</v>
      </c>
      <c r="J47" s="35">
        <f t="shared" si="12"/>
        <v>7.8269230769230768E-3</v>
      </c>
      <c r="K47" s="101">
        <f t="shared" si="10"/>
        <v>7.8269230769230766</v>
      </c>
      <c r="L47" s="80">
        <f t="shared" si="11"/>
        <v>0.51765821284664615</v>
      </c>
      <c r="M47" s="33">
        <f t="shared" si="20"/>
        <v>53.835279304029299</v>
      </c>
      <c r="N47" s="33">
        <f t="shared" si="14"/>
        <v>0.10135575797014926</v>
      </c>
      <c r="O47" s="33">
        <f t="shared" si="13"/>
        <v>479.13631040433927</v>
      </c>
      <c r="P47" s="33">
        <f t="shared" si="21"/>
        <v>231.10746425049311</v>
      </c>
      <c r="Q47" s="33">
        <f t="shared" si="22"/>
        <v>231.10746425049311</v>
      </c>
    </row>
    <row r="48" spans="1:17" ht="13.25" x14ac:dyDescent="0.25">
      <c r="A48" s="33">
        <f t="shared" si="15"/>
        <v>55</v>
      </c>
      <c r="B48" s="36">
        <f t="shared" si="16"/>
        <v>20.096153846153847</v>
      </c>
      <c r="C48" s="34">
        <f t="shared" si="17"/>
        <v>6.6987179487179489</v>
      </c>
      <c r="D48" s="32"/>
      <c r="E48" s="34">
        <f>((('Device Parmaters'!$D$35)*COUTMAX)/(1000*'Design Calculator'!$F$70))+C48</f>
        <v>314.69871794871796</v>
      </c>
      <c r="F48" s="34">
        <f t="shared" si="18"/>
        <v>13.698717948717949</v>
      </c>
      <c r="G48" s="32">
        <f t="shared" si="8"/>
        <v>13.698717948717949</v>
      </c>
      <c r="H48" s="34">
        <f t="shared" si="19"/>
        <v>7</v>
      </c>
      <c r="I48" s="35">
        <f t="shared" si="23"/>
        <v>2.1153846153846133E-4</v>
      </c>
      <c r="J48" s="35">
        <f t="shared" si="12"/>
        <v>8.0384615384615377E-3</v>
      </c>
      <c r="K48" s="101">
        <f t="shared" si="10"/>
        <v>8.0384615384615383</v>
      </c>
      <c r="L48" s="80">
        <f t="shared" si="11"/>
        <v>0.5109967243799719</v>
      </c>
      <c r="M48" s="33">
        <f t="shared" si="20"/>
        <v>53.803800366300365</v>
      </c>
      <c r="N48" s="33">
        <f t="shared" si="14"/>
        <v>0.10114456503186153</v>
      </c>
      <c r="O48" s="33">
        <f t="shared" si="13"/>
        <v>478.13794378698225</v>
      </c>
      <c r="P48" s="33">
        <f t="shared" si="21"/>
        <v>233.81102071005918</v>
      </c>
      <c r="Q48" s="33">
        <f t="shared" si="22"/>
        <v>233.81102071005918</v>
      </c>
    </row>
    <row r="49" spans="1:17" ht="13.25" x14ac:dyDescent="0.25">
      <c r="A49" s="33">
        <f t="shared" si="15"/>
        <v>55</v>
      </c>
      <c r="B49" s="36">
        <f t="shared" si="16"/>
        <v>20.625</v>
      </c>
      <c r="C49" s="34">
        <f t="shared" si="17"/>
        <v>6.875</v>
      </c>
      <c r="D49" s="32"/>
      <c r="E49" s="34">
        <f>((('Device Parmaters'!$D$35)*COUTMAX)/(1000*'Design Calculator'!$F$70))+C49</f>
        <v>314.875</v>
      </c>
      <c r="F49" s="34">
        <f t="shared" si="18"/>
        <v>13.875</v>
      </c>
      <c r="G49" s="32">
        <f t="shared" si="8"/>
        <v>13.875</v>
      </c>
      <c r="H49" s="34">
        <f t="shared" si="19"/>
        <v>7</v>
      </c>
      <c r="I49" s="35">
        <f t="shared" si="23"/>
        <v>2.1153846153846133E-4</v>
      </c>
      <c r="J49" s="35">
        <f t="shared" si="12"/>
        <v>8.2499999999999987E-3</v>
      </c>
      <c r="K49" s="101">
        <f t="shared" si="10"/>
        <v>8.2499999999999982</v>
      </c>
      <c r="L49" s="80">
        <f t="shared" si="11"/>
        <v>0.50450450450450446</v>
      </c>
      <c r="M49" s="33">
        <f t="shared" si="20"/>
        <v>53.772321428571423</v>
      </c>
      <c r="N49" s="33">
        <f t="shared" si="14"/>
        <v>0.10089393028846144</v>
      </c>
      <c r="O49" s="33">
        <f t="shared" si="13"/>
        <v>476.953125</v>
      </c>
      <c r="P49" s="33">
        <f t="shared" si="21"/>
        <v>236.328125</v>
      </c>
      <c r="Q49" s="33">
        <f t="shared" si="22"/>
        <v>236.328125</v>
      </c>
    </row>
    <row r="50" spans="1:17" ht="13.25" x14ac:dyDescent="0.25">
      <c r="A50" s="33">
        <f t="shared" si="15"/>
        <v>55</v>
      </c>
      <c r="B50" s="36">
        <f t="shared" si="16"/>
        <v>21.153846153846153</v>
      </c>
      <c r="C50" s="34">
        <f t="shared" si="17"/>
        <v>7.0512820512820511</v>
      </c>
      <c r="D50" s="32"/>
      <c r="E50" s="34">
        <f>((('Device Parmaters'!$D$35)*COUTMAX)/(1000*'Design Calculator'!$F$70))+C50</f>
        <v>315.05128205128204</v>
      </c>
      <c r="F50" s="34">
        <f t="shared" si="18"/>
        <v>14.051282051282051</v>
      </c>
      <c r="G50" s="32">
        <f t="shared" si="8"/>
        <v>14.051282051282051</v>
      </c>
      <c r="H50" s="34">
        <f t="shared" si="19"/>
        <v>7</v>
      </c>
      <c r="I50" s="35">
        <f t="shared" si="23"/>
        <v>2.1153846153846133E-4</v>
      </c>
      <c r="J50" s="35">
        <f t="shared" si="12"/>
        <v>8.4615384615384596E-3</v>
      </c>
      <c r="K50" s="101">
        <f t="shared" si="10"/>
        <v>8.4615384615384599</v>
      </c>
      <c r="L50" s="80">
        <f t="shared" si="11"/>
        <v>0.49817518248175185</v>
      </c>
      <c r="M50" s="33">
        <f t="shared" si="20"/>
        <v>53.740842490842489</v>
      </c>
      <c r="N50" s="33">
        <f t="shared" si="14"/>
        <v>0.10060385373994832</v>
      </c>
      <c r="O50" s="33">
        <f t="shared" si="13"/>
        <v>475.58185404339252</v>
      </c>
      <c r="P50" s="33">
        <f t="shared" si="21"/>
        <v>238.65877712031559</v>
      </c>
      <c r="Q50" s="33">
        <f t="shared" si="22"/>
        <v>238.65877712031559</v>
      </c>
    </row>
    <row r="51" spans="1:17" ht="13.25" x14ac:dyDescent="0.25">
      <c r="A51" s="33">
        <f t="shared" si="15"/>
        <v>55</v>
      </c>
      <c r="B51" s="36">
        <f t="shared" si="16"/>
        <v>21.682692307692307</v>
      </c>
      <c r="C51" s="34">
        <f t="shared" si="17"/>
        <v>7.2275641025641022</v>
      </c>
      <c r="D51" s="32"/>
      <c r="E51" s="34">
        <f>((('Device Parmaters'!$D$35)*COUTMAX)/(1000*'Design Calculator'!$F$70))+C51</f>
        <v>315.22756410256409</v>
      </c>
      <c r="F51" s="34">
        <f t="shared" si="18"/>
        <v>14.227564102564102</v>
      </c>
      <c r="G51" s="32">
        <f t="shared" si="8"/>
        <v>14.227564102564102</v>
      </c>
      <c r="H51" s="34">
        <f t="shared" si="19"/>
        <v>7</v>
      </c>
      <c r="I51" s="35">
        <f t="shared" si="23"/>
        <v>2.1153846153846133E-4</v>
      </c>
      <c r="J51" s="35">
        <f t="shared" si="12"/>
        <v>8.6730769230769205E-3</v>
      </c>
      <c r="K51" s="101">
        <f t="shared" si="10"/>
        <v>8.6730769230769198</v>
      </c>
      <c r="L51" s="80">
        <f t="shared" si="11"/>
        <v>0.49200270331155666</v>
      </c>
      <c r="M51" s="33">
        <f t="shared" si="20"/>
        <v>53.709363553113555</v>
      </c>
      <c r="N51" s="33">
        <f t="shared" si="14"/>
        <v>0.10027433538632216</v>
      </c>
      <c r="O51" s="33">
        <f t="shared" si="13"/>
        <v>474.02413091715977</v>
      </c>
      <c r="P51" s="33">
        <f t="shared" si="21"/>
        <v>240.80297707100593</v>
      </c>
      <c r="Q51" s="33">
        <f t="shared" si="22"/>
        <v>240.80297707100593</v>
      </c>
    </row>
    <row r="52" spans="1:17" ht="13.25" x14ac:dyDescent="0.25">
      <c r="A52" s="33">
        <f t="shared" si="15"/>
        <v>55</v>
      </c>
      <c r="B52" s="36">
        <f t="shared" si="16"/>
        <v>22.211538461538463</v>
      </c>
      <c r="C52" s="34">
        <f t="shared" si="17"/>
        <v>7.4038461538461542</v>
      </c>
      <c r="D52" s="32"/>
      <c r="E52" s="34">
        <f>((('Device Parmaters'!$D$35)*COUTMAX)/(1000*'Design Calculator'!$F$70))+C52</f>
        <v>315.40384615384613</v>
      </c>
      <c r="F52" s="34">
        <f t="shared" si="18"/>
        <v>14.403846153846153</v>
      </c>
      <c r="G52" s="32">
        <f t="shared" si="8"/>
        <v>14.403846153846153</v>
      </c>
      <c r="H52" s="34">
        <f t="shared" si="19"/>
        <v>6.9999999999999991</v>
      </c>
      <c r="I52" s="35">
        <f t="shared" si="23"/>
        <v>2.1153846153846277E-4</v>
      </c>
      <c r="J52" s="35">
        <f t="shared" si="12"/>
        <v>8.8846153846153832E-3</v>
      </c>
      <c r="K52" s="101">
        <f t="shared" si="10"/>
        <v>8.8846153846153832</v>
      </c>
      <c r="L52" s="80">
        <f t="shared" si="11"/>
        <v>0.4859813084112149</v>
      </c>
      <c r="M52" s="33">
        <f t="shared" si="20"/>
        <v>53.677884615384606</v>
      </c>
      <c r="N52" s="33">
        <f t="shared" si="14"/>
        <v>9.9905375227583637E-2</v>
      </c>
      <c r="O52" s="33">
        <f t="shared" si="13"/>
        <v>472.27995562130167</v>
      </c>
      <c r="P52" s="33">
        <f t="shared" si="21"/>
        <v>242.76072485207098</v>
      </c>
      <c r="Q52" s="33">
        <f t="shared" si="22"/>
        <v>242.76072485207098</v>
      </c>
    </row>
    <row r="53" spans="1:17" ht="13.25" x14ac:dyDescent="0.25">
      <c r="A53" s="33">
        <f t="shared" si="15"/>
        <v>55</v>
      </c>
      <c r="B53" s="36">
        <f t="shared" si="16"/>
        <v>22.740384615384613</v>
      </c>
      <c r="C53" s="34">
        <f t="shared" si="17"/>
        <v>7.5801282051282044</v>
      </c>
      <c r="D53" s="32"/>
      <c r="E53" s="34">
        <f>((('Device Parmaters'!$D$35)*COUTMAX)/(1000*'Design Calculator'!$F$70))+C53</f>
        <v>315.58012820512818</v>
      </c>
      <c r="F53" s="34">
        <f t="shared" si="18"/>
        <v>14.580128205128204</v>
      </c>
      <c r="G53" s="32">
        <f t="shared" si="8"/>
        <v>14.580128205128204</v>
      </c>
      <c r="H53" s="34">
        <f t="shared" si="19"/>
        <v>7</v>
      </c>
      <c r="I53" s="35">
        <f t="shared" si="23"/>
        <v>2.115384615384599E-4</v>
      </c>
      <c r="J53" s="35">
        <f t="shared" si="12"/>
        <v>9.0961538461538424E-3</v>
      </c>
      <c r="K53" s="101">
        <f t="shared" si="10"/>
        <v>9.0961538461538431</v>
      </c>
      <c r="L53" s="80">
        <f t="shared" si="11"/>
        <v>0.48010551769619697</v>
      </c>
      <c r="M53" s="33">
        <f t="shared" si="20"/>
        <v>53.646405677655679</v>
      </c>
      <c r="N53" s="33">
        <f t="shared" si="14"/>
        <v>9.9496973263730082E-2</v>
      </c>
      <c r="O53" s="33">
        <f t="shared" si="13"/>
        <v>470.34932815581857</v>
      </c>
      <c r="P53" s="33">
        <f t="shared" si="21"/>
        <v>244.53202046351083</v>
      </c>
      <c r="Q53" s="33">
        <f t="shared" si="22"/>
        <v>244.53202046351083</v>
      </c>
    </row>
    <row r="54" spans="1:17" ht="13.25" x14ac:dyDescent="0.25">
      <c r="A54" s="33">
        <f t="shared" si="15"/>
        <v>55</v>
      </c>
      <c r="B54" s="36">
        <f t="shared" si="16"/>
        <v>23.26923076923077</v>
      </c>
      <c r="C54" s="34">
        <f t="shared" si="17"/>
        <v>7.7564102564102564</v>
      </c>
      <c r="D54" s="32"/>
      <c r="E54" s="34">
        <f>((('Device Parmaters'!$D$35)*COUTMAX)/(1000*'Design Calculator'!$F$70))+C54</f>
        <v>315.75641025641028</v>
      </c>
      <c r="F54" s="34">
        <f t="shared" si="18"/>
        <v>14.756410256410255</v>
      </c>
      <c r="G54" s="32">
        <f t="shared" si="8"/>
        <v>14.756410256410255</v>
      </c>
      <c r="H54" s="34">
        <f t="shared" si="19"/>
        <v>6.9999999999999991</v>
      </c>
      <c r="I54" s="35">
        <f t="shared" si="23"/>
        <v>2.1153846153846277E-4</v>
      </c>
      <c r="J54" s="35">
        <f t="shared" si="12"/>
        <v>9.307692307692305E-3</v>
      </c>
      <c r="K54" s="101">
        <f t="shared" si="10"/>
        <v>9.3076923076923048</v>
      </c>
      <c r="L54" s="80">
        <f t="shared" si="11"/>
        <v>0.47437011294526493</v>
      </c>
      <c r="M54" s="33">
        <f t="shared" si="20"/>
        <v>53.614926739926744</v>
      </c>
      <c r="N54" s="33">
        <f t="shared" si="14"/>
        <v>9.9049129494766158E-2</v>
      </c>
      <c r="O54" s="33">
        <f t="shared" si="13"/>
        <v>468.23224852071002</v>
      </c>
      <c r="P54" s="33">
        <f t="shared" si="21"/>
        <v>246.11686390532543</v>
      </c>
      <c r="Q54" s="33">
        <f t="shared" si="22"/>
        <v>246.11686390532543</v>
      </c>
    </row>
    <row r="55" spans="1:17" ht="13.25" x14ac:dyDescent="0.25">
      <c r="A55" s="33">
        <f t="shared" si="15"/>
        <v>55</v>
      </c>
      <c r="B55" s="36">
        <f t="shared" si="16"/>
        <v>23.798076923076923</v>
      </c>
      <c r="C55" s="34">
        <f t="shared" si="17"/>
        <v>7.9326923076923075</v>
      </c>
      <c r="D55" s="32"/>
      <c r="E55" s="34">
        <f>((('Device Parmaters'!$D$35)*COUTMAX)/(1000*'Design Calculator'!$F$70))+C55</f>
        <v>315.93269230769232</v>
      </c>
      <c r="F55" s="34">
        <f t="shared" si="18"/>
        <v>14.932692307692307</v>
      </c>
      <c r="G55" s="32">
        <f t="shared" si="8"/>
        <v>14.932692307692307</v>
      </c>
      <c r="H55" s="34">
        <f t="shared" si="19"/>
        <v>6.9999999999999991</v>
      </c>
      <c r="I55" s="35">
        <f t="shared" si="23"/>
        <v>2.1153846153846136E-4</v>
      </c>
      <c r="J55" s="35">
        <f t="shared" si="12"/>
        <v>9.5192307692307659E-3</v>
      </c>
      <c r="K55" s="101">
        <f t="shared" si="10"/>
        <v>9.5192307692307665</v>
      </c>
      <c r="L55" s="80">
        <f t="shared" si="11"/>
        <v>0.46877012234385057</v>
      </c>
      <c r="M55" s="33">
        <f t="shared" si="20"/>
        <v>53.583447802197803</v>
      </c>
      <c r="N55" s="33">
        <f t="shared" si="14"/>
        <v>9.8561843920687217E-2</v>
      </c>
      <c r="O55" s="33">
        <f t="shared" si="13"/>
        <v>465.92871671597629</v>
      </c>
      <c r="P55" s="33">
        <f t="shared" si="21"/>
        <v>247.51525517751477</v>
      </c>
      <c r="Q55" s="33">
        <f t="shared" si="22"/>
        <v>247.51525517751477</v>
      </c>
    </row>
    <row r="56" spans="1:17" ht="13.25" x14ac:dyDescent="0.25">
      <c r="A56" s="33">
        <f t="shared" si="15"/>
        <v>55</v>
      </c>
      <c r="B56" s="36">
        <f t="shared" si="16"/>
        <v>24.326923076923077</v>
      </c>
      <c r="C56" s="34">
        <f t="shared" si="17"/>
        <v>8.1089743589743595</v>
      </c>
      <c r="D56" s="32"/>
      <c r="E56" s="34">
        <f>((('Device Parmaters'!$D$35)*COUTMAX)/(1000*'Design Calculator'!$F$70))+C56</f>
        <v>316.10897435897436</v>
      </c>
      <c r="F56" s="34">
        <f t="shared" si="18"/>
        <v>15.108974358974359</v>
      </c>
      <c r="G56" s="32">
        <f t="shared" si="8"/>
        <v>15.108974358974359</v>
      </c>
      <c r="H56" s="34">
        <f t="shared" si="19"/>
        <v>7</v>
      </c>
      <c r="I56" s="35">
        <f t="shared" si="23"/>
        <v>2.1153846153846133E-4</v>
      </c>
      <c r="J56" s="35">
        <f t="shared" si="12"/>
        <v>9.7307692307692269E-3</v>
      </c>
      <c r="K56" s="101">
        <f t="shared" si="10"/>
        <v>9.7307692307692264</v>
      </c>
      <c r="L56" s="80">
        <f t="shared" si="11"/>
        <v>0.46330080610946117</v>
      </c>
      <c r="M56" s="33">
        <f t="shared" si="20"/>
        <v>53.551968864468861</v>
      </c>
      <c r="N56" s="33">
        <f t="shared" si="14"/>
        <v>9.8035116541495895E-2</v>
      </c>
      <c r="O56" s="33">
        <f t="shared" si="13"/>
        <v>463.4387327416174</v>
      </c>
      <c r="P56" s="33">
        <f t="shared" si="21"/>
        <v>248.72719428007892</v>
      </c>
      <c r="Q56" s="33">
        <f t="shared" si="22"/>
        <v>248.72719428007892</v>
      </c>
    </row>
    <row r="57" spans="1:17" ht="13.25" x14ac:dyDescent="0.25">
      <c r="A57" s="33">
        <f t="shared" si="15"/>
        <v>55</v>
      </c>
      <c r="B57" s="36">
        <f t="shared" si="16"/>
        <v>24.85576923076923</v>
      </c>
      <c r="C57" s="34">
        <f t="shared" si="17"/>
        <v>8.2852564102564106</v>
      </c>
      <c r="D57" s="32"/>
      <c r="E57" s="34">
        <f>((('Device Parmaters'!$D$35)*COUTMAX)/(1000*'Design Calculator'!$F$70))+C57</f>
        <v>316.28525641025641</v>
      </c>
      <c r="F57" s="34">
        <f t="shared" si="18"/>
        <v>15.285256410256411</v>
      </c>
      <c r="G57" s="32">
        <f t="shared" si="8"/>
        <v>15.285256410256411</v>
      </c>
      <c r="H57" s="34">
        <f t="shared" si="19"/>
        <v>7</v>
      </c>
      <c r="I57" s="35">
        <f t="shared" si="23"/>
        <v>2.1153846153846133E-4</v>
      </c>
      <c r="J57" s="35">
        <f t="shared" si="12"/>
        <v>9.9423076923076878E-3</v>
      </c>
      <c r="K57" s="101">
        <f t="shared" si="10"/>
        <v>9.9423076923076881</v>
      </c>
      <c r="L57" s="80">
        <f t="shared" si="11"/>
        <v>0.45795764311176346</v>
      </c>
      <c r="M57" s="33">
        <f t="shared" si="20"/>
        <v>53.520489926739927</v>
      </c>
      <c r="N57" s="33">
        <f t="shared" si="14"/>
        <v>9.7468947357191527E-2</v>
      </c>
      <c r="O57" s="33">
        <f t="shared" si="13"/>
        <v>460.76229659763317</v>
      </c>
      <c r="P57" s="33">
        <f t="shared" si="21"/>
        <v>249.75268121301778</v>
      </c>
      <c r="Q57" s="33">
        <f t="shared" si="22"/>
        <v>249.75268121301778</v>
      </c>
    </row>
    <row r="58" spans="1:17" ht="13.25" x14ac:dyDescent="0.25">
      <c r="A58" s="33">
        <f t="shared" si="15"/>
        <v>55</v>
      </c>
      <c r="B58" s="36">
        <f t="shared" si="16"/>
        <v>25.384615384615387</v>
      </c>
      <c r="C58" s="34">
        <f t="shared" si="17"/>
        <v>8.4615384615384617</v>
      </c>
      <c r="D58" s="32"/>
      <c r="E58" s="34">
        <f>((('Device Parmaters'!$D$35)*COUTMAX)/(1000*'Design Calculator'!$F$70))+C58</f>
        <v>316.46153846153845</v>
      </c>
      <c r="F58" s="34">
        <f t="shared" si="18"/>
        <v>15.461538461538462</v>
      </c>
      <c r="G58" s="32">
        <f t="shared" si="8"/>
        <v>15.461538461538462</v>
      </c>
      <c r="H58" s="34">
        <f t="shared" si="19"/>
        <v>7</v>
      </c>
      <c r="I58" s="35">
        <f t="shared" si="23"/>
        <v>2.1153846153846274E-4</v>
      </c>
      <c r="J58" s="35">
        <f t="shared" si="12"/>
        <v>1.015384615384615E-2</v>
      </c>
      <c r="K58" s="101">
        <f t="shared" si="10"/>
        <v>10.15384615384615</v>
      </c>
      <c r="L58" s="80">
        <f t="shared" si="11"/>
        <v>0.45273631840796019</v>
      </c>
      <c r="M58" s="33">
        <f t="shared" si="20"/>
        <v>53.489010989010985</v>
      </c>
      <c r="N58" s="33">
        <f t="shared" si="14"/>
        <v>9.6863336367774791E-2</v>
      </c>
      <c r="O58" s="33">
        <f t="shared" si="13"/>
        <v>457.89940828402365</v>
      </c>
      <c r="P58" s="33">
        <f t="shared" si="21"/>
        <v>250.59171597633136</v>
      </c>
      <c r="Q58" s="33">
        <f t="shared" si="22"/>
        <v>250.59171597633136</v>
      </c>
    </row>
    <row r="59" spans="1:17" ht="13.25" x14ac:dyDescent="0.25">
      <c r="A59" s="33">
        <f t="shared" si="15"/>
        <v>55</v>
      </c>
      <c r="B59" s="36">
        <f t="shared" si="16"/>
        <v>25.913461538461537</v>
      </c>
      <c r="C59" s="34">
        <f t="shared" si="17"/>
        <v>8.6378205128205128</v>
      </c>
      <c r="D59" s="32"/>
      <c r="E59" s="34">
        <f>((('Device Parmaters'!$D$35)*COUTMAX)/(1000*'Design Calculator'!$F$70))+C59</f>
        <v>316.6378205128205</v>
      </c>
      <c r="F59" s="34">
        <f t="shared" si="18"/>
        <v>15.637820512820513</v>
      </c>
      <c r="G59" s="32">
        <f t="shared" si="8"/>
        <v>15.637820512820513</v>
      </c>
      <c r="H59" s="34">
        <f t="shared" si="19"/>
        <v>7</v>
      </c>
      <c r="I59" s="35">
        <f t="shared" si="23"/>
        <v>2.115384615384599E-4</v>
      </c>
      <c r="J59" s="35">
        <f t="shared" si="12"/>
        <v>1.036538461538461E-2</v>
      </c>
      <c r="K59" s="101">
        <f t="shared" si="10"/>
        <v>10.36538461538461</v>
      </c>
      <c r="L59" s="80">
        <f t="shared" si="11"/>
        <v>0.44763271162123386</v>
      </c>
      <c r="M59" s="33">
        <f t="shared" si="20"/>
        <v>53.457532051282044</v>
      </c>
      <c r="N59" s="33">
        <f t="shared" si="14"/>
        <v>9.621828357324308E-2</v>
      </c>
      <c r="O59" s="33">
        <f t="shared" si="13"/>
        <v>454.85006780078896</v>
      </c>
      <c r="P59" s="33">
        <f t="shared" si="21"/>
        <v>251.24429857001974</v>
      </c>
      <c r="Q59" s="33">
        <f t="shared" si="22"/>
        <v>251.24429857001974</v>
      </c>
    </row>
    <row r="60" spans="1:17" ht="13.25" x14ac:dyDescent="0.25">
      <c r="A60" s="33">
        <f t="shared" si="15"/>
        <v>55</v>
      </c>
      <c r="B60" s="36">
        <f t="shared" si="16"/>
        <v>26.442307692307693</v>
      </c>
      <c r="C60" s="34">
        <f t="shared" si="17"/>
        <v>8.8141025641025639</v>
      </c>
      <c r="D60" s="32"/>
      <c r="E60" s="34">
        <f>((('Device Parmaters'!$D$35)*COUTMAX)/(1000*'Design Calculator'!$F$70))+C60</f>
        <v>316.81410256410254</v>
      </c>
      <c r="F60" s="34">
        <f t="shared" si="18"/>
        <v>15.814102564102564</v>
      </c>
      <c r="G60" s="32">
        <f t="shared" si="8"/>
        <v>15.814102564102564</v>
      </c>
      <c r="H60" s="34">
        <f t="shared" si="19"/>
        <v>7</v>
      </c>
      <c r="I60" s="35">
        <f t="shared" si="23"/>
        <v>2.1153846153846274E-4</v>
      </c>
      <c r="J60" s="35">
        <f t="shared" si="12"/>
        <v>1.0576923076923072E-2</v>
      </c>
      <c r="K60" s="101">
        <f t="shared" si="10"/>
        <v>10.576923076923073</v>
      </c>
      <c r="L60" s="80">
        <f t="shared" si="11"/>
        <v>0.44264288609647345</v>
      </c>
      <c r="M60" s="33">
        <f t="shared" si="20"/>
        <v>53.426053113553102</v>
      </c>
      <c r="N60" s="33">
        <f t="shared" si="14"/>
        <v>9.5533788973600903E-2</v>
      </c>
      <c r="O60" s="33">
        <f t="shared" si="13"/>
        <v>451.61427514792899</v>
      </c>
      <c r="P60" s="33">
        <f t="shared" si="21"/>
        <v>251.71042899408283</v>
      </c>
      <c r="Q60" s="33">
        <f t="shared" si="22"/>
        <v>251.71042899408283</v>
      </c>
    </row>
    <row r="61" spans="1:17" ht="13.25" x14ac:dyDescent="0.25">
      <c r="A61" s="33">
        <f t="shared" si="15"/>
        <v>55</v>
      </c>
      <c r="B61" s="36">
        <f t="shared" si="16"/>
        <v>26.971153846153847</v>
      </c>
      <c r="C61" s="34">
        <f t="shared" si="17"/>
        <v>8.990384615384615</v>
      </c>
      <c r="D61" s="32"/>
      <c r="E61" s="34">
        <f>((('Device Parmaters'!$D$35)*COUTMAX)/(1000*'Design Calculator'!$F$70))+C61</f>
        <v>316.99038461538464</v>
      </c>
      <c r="F61" s="34">
        <f t="shared" si="18"/>
        <v>15.990384615384615</v>
      </c>
      <c r="G61" s="32">
        <f t="shared" si="8"/>
        <v>15.990384615384615</v>
      </c>
      <c r="H61" s="34">
        <f t="shared" si="19"/>
        <v>7</v>
      </c>
      <c r="I61" s="35">
        <f t="shared" si="23"/>
        <v>2.1153846153846133E-4</v>
      </c>
      <c r="J61" s="35">
        <f t="shared" si="12"/>
        <v>1.0788461538461533E-2</v>
      </c>
      <c r="K61" s="101">
        <f t="shared" si="10"/>
        <v>10.788461538461533</v>
      </c>
      <c r="L61" s="80">
        <f t="shared" si="11"/>
        <v>0.43776307877330128</v>
      </c>
      <c r="M61" s="33">
        <f t="shared" si="20"/>
        <v>53.394574175824182</v>
      </c>
      <c r="N61" s="33">
        <f>I61*G61*(A61-B61)</f>
        <v>9.4809852568843778E-2</v>
      </c>
      <c r="O61" s="33">
        <f t="shared" si="13"/>
        <v>448.19203032544374</v>
      </c>
      <c r="P61" s="33">
        <f t="shared" si="21"/>
        <v>251.9901072485207</v>
      </c>
      <c r="Q61" s="33">
        <f t="shared" si="22"/>
        <v>251.9901072485207</v>
      </c>
    </row>
    <row r="62" spans="1:17" ht="13.25" x14ac:dyDescent="0.25">
      <c r="A62" s="33">
        <f t="shared" si="15"/>
        <v>55</v>
      </c>
      <c r="B62" s="36">
        <f t="shared" si="16"/>
        <v>27.5</v>
      </c>
      <c r="C62" s="34">
        <f t="shared" si="17"/>
        <v>9.1666666666666661</v>
      </c>
      <c r="D62" s="32"/>
      <c r="E62" s="34">
        <f>((('Device Parmaters'!$D$35)*COUTMAX)/(1000*'Design Calculator'!$F$70))+C62</f>
        <v>317.16666666666669</v>
      </c>
      <c r="F62" s="34">
        <f t="shared" si="18"/>
        <v>16.166666666666664</v>
      </c>
      <c r="G62" s="32">
        <f t="shared" si="8"/>
        <v>16.166666666666664</v>
      </c>
      <c r="H62" s="34">
        <f t="shared" si="19"/>
        <v>6.9999999999999982</v>
      </c>
      <c r="I62" s="35">
        <f t="shared" si="23"/>
        <v>2.1153846153846139E-4</v>
      </c>
      <c r="J62" s="35">
        <f t="shared" si="12"/>
        <v>1.0999999999999994E-2</v>
      </c>
      <c r="K62" s="101">
        <f t="shared" si="10"/>
        <v>10.999999999999995</v>
      </c>
      <c r="L62" s="80">
        <f t="shared" si="11"/>
        <v>0.43298969072164945</v>
      </c>
      <c r="M62" s="33">
        <f t="shared" si="20"/>
        <v>53.363095238095241</v>
      </c>
      <c r="N62" s="33">
        <f t="shared" si="14"/>
        <v>9.4046474358974272E-2</v>
      </c>
      <c r="O62" s="33">
        <f t="shared" si="13"/>
        <v>444.58333333333326</v>
      </c>
      <c r="P62" s="33">
        <f t="shared" si="21"/>
        <v>252.08333333333331</v>
      </c>
      <c r="Q62" s="33">
        <f t="shared" si="22"/>
        <v>252.08333333333331</v>
      </c>
    </row>
    <row r="63" spans="1:17" ht="13.25" x14ac:dyDescent="0.25">
      <c r="A63" s="33">
        <f t="shared" si="15"/>
        <v>55</v>
      </c>
      <c r="B63" s="36">
        <f t="shared" si="16"/>
        <v>28.028846153846153</v>
      </c>
      <c r="C63" s="34">
        <f t="shared" si="17"/>
        <v>9.3429487179487172</v>
      </c>
      <c r="D63" s="32"/>
      <c r="E63" s="34">
        <f>((('Device Parmaters'!$D$35)*COUTMAX)/(1000*'Design Calculator'!$F$70))+C63</f>
        <v>317.34294871794873</v>
      </c>
      <c r="F63" s="34">
        <f t="shared" si="18"/>
        <v>16.342948717948715</v>
      </c>
      <c r="G63" s="32">
        <f t="shared" si="8"/>
        <v>16.342948717948715</v>
      </c>
      <c r="H63" s="34">
        <f t="shared" si="19"/>
        <v>6.9999999999999982</v>
      </c>
      <c r="I63" s="35">
        <f t="shared" si="23"/>
        <v>2.1153846153846139E-4</v>
      </c>
      <c r="J63" s="35">
        <f t="shared" si="12"/>
        <v>1.1211538461538455E-2</v>
      </c>
      <c r="K63" s="101">
        <f t="shared" si="10"/>
        <v>11.211538461538455</v>
      </c>
      <c r="L63" s="80">
        <f t="shared" si="11"/>
        <v>0.42831927828986072</v>
      </c>
      <c r="M63" s="33">
        <f t="shared" si="20"/>
        <v>53.331616300366299</v>
      </c>
      <c r="N63" s="33">
        <f t="shared" si="14"/>
        <v>9.3243654343991719E-2</v>
      </c>
      <c r="O63" s="33">
        <f t="shared" si="13"/>
        <v>440.78818417159755</v>
      </c>
      <c r="P63" s="33">
        <f t="shared" si="21"/>
        <v>251.9901072485207</v>
      </c>
      <c r="Q63" s="33">
        <f t="shared" si="22"/>
        <v>251.9901072485207</v>
      </c>
    </row>
    <row r="64" spans="1:17" ht="13.25" x14ac:dyDescent="0.25">
      <c r="A64" s="33">
        <f t="shared" si="15"/>
        <v>55</v>
      </c>
      <c r="B64" s="36">
        <f t="shared" si="16"/>
        <v>28.55769230769231</v>
      </c>
      <c r="C64" s="34">
        <f t="shared" si="17"/>
        <v>9.5192307692307701</v>
      </c>
      <c r="D64" s="32"/>
      <c r="E64" s="34">
        <f>((('Device Parmaters'!$D$35)*COUTMAX)/(1000*'Design Calculator'!$F$70))+C64</f>
        <v>317.51923076923077</v>
      </c>
      <c r="F64" s="34">
        <f t="shared" si="18"/>
        <v>16.51923076923077</v>
      </c>
      <c r="G64" s="32">
        <f t="shared" si="8"/>
        <v>16.51923076923077</v>
      </c>
      <c r="H64" s="34">
        <f t="shared" si="19"/>
        <v>7</v>
      </c>
      <c r="I64" s="35">
        <f t="shared" si="23"/>
        <v>2.1153846153846274E-4</v>
      </c>
      <c r="J64" s="35">
        <f t="shared" si="12"/>
        <v>1.1423076923076918E-2</v>
      </c>
      <c r="K64" s="101">
        <f t="shared" si="10"/>
        <v>11.423076923076918</v>
      </c>
      <c r="L64" s="80">
        <f t="shared" si="11"/>
        <v>0.42374854481955759</v>
      </c>
      <c r="M64" s="33">
        <f t="shared" si="20"/>
        <v>53.300137362637365</v>
      </c>
      <c r="N64" s="33">
        <f t="shared" si="14"/>
        <v>9.2401392523896744E-2</v>
      </c>
      <c r="O64" s="33">
        <f t="shared" si="13"/>
        <v>436.80658284023667</v>
      </c>
      <c r="P64" s="33">
        <f t="shared" si="21"/>
        <v>251.71042899408283</v>
      </c>
      <c r="Q64" s="33">
        <f t="shared" si="22"/>
        <v>251.71042899408283</v>
      </c>
    </row>
    <row r="65" spans="1:17" ht="13.25" x14ac:dyDescent="0.25">
      <c r="A65" s="33">
        <f t="shared" si="15"/>
        <v>55</v>
      </c>
      <c r="B65" s="36">
        <f t="shared" si="16"/>
        <v>29.086538461538463</v>
      </c>
      <c r="C65" s="34">
        <f t="shared" si="17"/>
        <v>9.6955128205128212</v>
      </c>
      <c r="D65" s="32"/>
      <c r="E65" s="34">
        <f>((('Device Parmaters'!$D$35)*COUTMAX)/(1000*'Design Calculator'!$F$70))+C65</f>
        <v>317.69551282051282</v>
      </c>
      <c r="F65" s="34">
        <f t="shared" si="18"/>
        <v>16.695512820512821</v>
      </c>
      <c r="G65" s="32">
        <f t="shared" si="8"/>
        <v>16.695512820512821</v>
      </c>
      <c r="H65" s="34">
        <f t="shared" si="19"/>
        <v>7</v>
      </c>
      <c r="I65" s="35">
        <f t="shared" si="23"/>
        <v>2.1153846153846133E-4</v>
      </c>
      <c r="J65" s="35">
        <f t="shared" si="12"/>
        <v>1.1634615384615379E-2</v>
      </c>
      <c r="K65" s="101">
        <f t="shared" si="10"/>
        <v>11.634615384615378</v>
      </c>
      <c r="L65" s="80">
        <f t="shared" si="11"/>
        <v>0.41927433288539068</v>
      </c>
      <c r="M65" s="33">
        <f t="shared" si="20"/>
        <v>53.268658424908423</v>
      </c>
      <c r="N65" s="33">
        <f t="shared" si="14"/>
        <v>9.1519688898687515E-2</v>
      </c>
      <c r="O65" s="33">
        <f t="shared" si="13"/>
        <v>432.63852933925045</v>
      </c>
      <c r="P65" s="33">
        <f t="shared" si="21"/>
        <v>251.24429857001971</v>
      </c>
      <c r="Q65" s="33">
        <f t="shared" si="22"/>
        <v>251.24429857001971</v>
      </c>
    </row>
    <row r="66" spans="1:17" ht="13.25" x14ac:dyDescent="0.25">
      <c r="A66" s="33">
        <f t="shared" si="15"/>
        <v>55</v>
      </c>
      <c r="B66" s="36">
        <f t="shared" si="16"/>
        <v>29.615384615384613</v>
      </c>
      <c r="C66" s="34">
        <f t="shared" si="17"/>
        <v>9.8717948717948705</v>
      </c>
      <c r="D66" s="32"/>
      <c r="E66" s="34">
        <f>((('Device Parmaters'!$D$35)*COUTMAX)/(1000*'Design Calculator'!$F$70))+C66</f>
        <v>317.87179487179486</v>
      </c>
      <c r="F66" s="34">
        <f t="shared" si="18"/>
        <v>16.871794871794869</v>
      </c>
      <c r="G66" s="32">
        <f t="shared" si="8"/>
        <v>16.871794871794869</v>
      </c>
      <c r="H66" s="34">
        <f t="shared" si="19"/>
        <v>6.9999999999999982</v>
      </c>
      <c r="I66" s="35">
        <f t="shared" si="23"/>
        <v>2.1153846153845995E-4</v>
      </c>
      <c r="J66" s="35">
        <f t="shared" si="12"/>
        <v>1.1846153846153838E-2</v>
      </c>
      <c r="K66" s="101">
        <f t="shared" si="10"/>
        <v>11.846153846153838</v>
      </c>
      <c r="L66" s="80">
        <f t="shared" si="11"/>
        <v>0.41489361702127658</v>
      </c>
      <c r="M66" s="33">
        <f t="shared" si="20"/>
        <v>53.237179487179489</v>
      </c>
      <c r="N66" s="33">
        <f t="shared" si="14"/>
        <v>9.0598543468365267E-2</v>
      </c>
      <c r="O66" s="33">
        <f t="shared" si="13"/>
        <v>428.28402366863901</v>
      </c>
      <c r="P66" s="33">
        <f t="shared" si="21"/>
        <v>250.59171597633136</v>
      </c>
      <c r="Q66" s="33">
        <f t="shared" si="22"/>
        <v>250.59171597633136</v>
      </c>
    </row>
    <row r="67" spans="1:17" ht="13.25" x14ac:dyDescent="0.25">
      <c r="A67" s="33">
        <f t="shared" si="15"/>
        <v>55</v>
      </c>
      <c r="B67" s="36">
        <f t="shared" si="16"/>
        <v>30.144230769230774</v>
      </c>
      <c r="C67" s="34">
        <f t="shared" si="17"/>
        <v>10.048076923076925</v>
      </c>
      <c r="D67" s="32"/>
      <c r="E67" s="34">
        <f>((('Device Parmaters'!$D$35)*COUTMAX)/(1000*'Design Calculator'!$F$70))+C67</f>
        <v>318.04807692307691</v>
      </c>
      <c r="F67" s="34">
        <f t="shared" si="18"/>
        <v>17.048076923076927</v>
      </c>
      <c r="G67" s="32">
        <f t="shared" si="8"/>
        <v>17.048076923076927</v>
      </c>
      <c r="H67" s="34">
        <f t="shared" si="19"/>
        <v>7.0000000000000018</v>
      </c>
      <c r="I67" s="35">
        <f t="shared" si="23"/>
        <v>2.115384615384641E-4</v>
      </c>
      <c r="J67" s="35">
        <f t="shared" si="12"/>
        <v>1.2057692307692302E-2</v>
      </c>
      <c r="K67" s="101">
        <f t="shared" si="10"/>
        <v>12.057692307692303</v>
      </c>
      <c r="L67" s="80">
        <f t="shared" si="11"/>
        <v>0.41060349689791314</v>
      </c>
      <c r="M67" s="33">
        <f t="shared" si="20"/>
        <v>53.20570054945054</v>
      </c>
      <c r="N67" s="33">
        <f t="shared" si="14"/>
        <v>8.9637956232932359E-2</v>
      </c>
      <c r="O67" s="33">
        <f t="shared" si="13"/>
        <v>423.74306582840239</v>
      </c>
      <c r="P67" s="33">
        <f t="shared" si="21"/>
        <v>249.75268121301775</v>
      </c>
      <c r="Q67" s="33">
        <f t="shared" si="22"/>
        <v>249.75268121301775</v>
      </c>
    </row>
    <row r="68" spans="1:17" ht="13.25" x14ac:dyDescent="0.25">
      <c r="A68" s="33">
        <f t="shared" si="15"/>
        <v>55</v>
      </c>
      <c r="B68" s="36">
        <f t="shared" si="16"/>
        <v>30.673076923076923</v>
      </c>
      <c r="C68" s="34">
        <f t="shared" si="17"/>
        <v>10.224358974358974</v>
      </c>
      <c r="D68" s="32"/>
      <c r="E68" s="34">
        <f>((('Device Parmaters'!$D$35)*COUTMAX)/(1000*'Design Calculator'!$F$70))+C68</f>
        <v>318.22435897435895</v>
      </c>
      <c r="F68" s="34">
        <f t="shared" si="18"/>
        <v>17.224358974358974</v>
      </c>
      <c r="G68" s="32">
        <f t="shared" si="8"/>
        <v>17.224358974358974</v>
      </c>
      <c r="H68" s="34">
        <f t="shared" si="19"/>
        <v>7</v>
      </c>
      <c r="I68" s="35">
        <f t="shared" si="23"/>
        <v>2.115384615384599E-4</v>
      </c>
      <c r="J68" s="35">
        <f t="shared" si="12"/>
        <v>1.2269230769230761E-2</v>
      </c>
      <c r="K68" s="101">
        <f t="shared" si="10"/>
        <v>12.269230769230761</v>
      </c>
      <c r="L68" s="80">
        <f t="shared" si="11"/>
        <v>0.40640119091924076</v>
      </c>
      <c r="M68" s="33">
        <f t="shared" si="20"/>
        <v>53.174221611721606</v>
      </c>
      <c r="N68" s="33">
        <f t="shared" si="14"/>
        <v>8.8637927192382865E-2</v>
      </c>
      <c r="O68" s="33">
        <f t="shared" si="13"/>
        <v>419.01565581854044</v>
      </c>
      <c r="P68" s="33">
        <f t="shared" si="21"/>
        <v>248.72719428007889</v>
      </c>
      <c r="Q68" s="33">
        <f t="shared" si="22"/>
        <v>248.72719428007889</v>
      </c>
    </row>
    <row r="69" spans="1:17" ht="13.25" x14ac:dyDescent="0.25">
      <c r="A69" s="33">
        <f t="shared" si="15"/>
        <v>55</v>
      </c>
      <c r="B69" s="36">
        <f t="shared" si="16"/>
        <v>31.201923076923077</v>
      </c>
      <c r="C69" s="34">
        <f t="shared" si="17"/>
        <v>10.400641025641026</v>
      </c>
      <c r="D69" s="32"/>
      <c r="E69" s="34">
        <f>((('Device Parmaters'!$D$35)*COUTMAX)/(1000*'Design Calculator'!$F$70))+C69</f>
        <v>318.40064102564105</v>
      </c>
      <c r="F69" s="34">
        <f t="shared" si="18"/>
        <v>17.400641025641026</v>
      </c>
      <c r="G69" s="32">
        <f t="shared" si="8"/>
        <v>17.400641025641026</v>
      </c>
      <c r="H69" s="34">
        <f t="shared" si="19"/>
        <v>7</v>
      </c>
      <c r="I69" s="35">
        <f t="shared" si="23"/>
        <v>2.1153846153846133E-4</v>
      </c>
      <c r="J69" s="35">
        <f t="shared" si="12"/>
        <v>1.2480769230769222E-2</v>
      </c>
      <c r="K69" s="101">
        <f t="shared" si="10"/>
        <v>12.480769230769223</v>
      </c>
      <c r="L69" s="80">
        <f t="shared" si="11"/>
        <v>0.40228403020814146</v>
      </c>
      <c r="M69" s="33">
        <f t="shared" si="20"/>
        <v>53.142742673992679</v>
      </c>
      <c r="N69" s="33">
        <f t="shared" si="14"/>
        <v>8.7598456346722725E-2</v>
      </c>
      <c r="O69" s="33">
        <f t="shared" si="13"/>
        <v>414.10179363905326</v>
      </c>
      <c r="P69" s="33">
        <f t="shared" si="21"/>
        <v>247.5152551775148</v>
      </c>
      <c r="Q69" s="33">
        <f t="shared" si="22"/>
        <v>247.5152551775148</v>
      </c>
    </row>
    <row r="70" spans="1:17" ht="13.25" x14ac:dyDescent="0.25">
      <c r="A70" s="33">
        <f t="shared" si="15"/>
        <v>55</v>
      </c>
      <c r="B70" s="36">
        <f t="shared" si="16"/>
        <v>31.730769230769226</v>
      </c>
      <c r="C70" s="34">
        <f t="shared" si="17"/>
        <v>10.576923076923075</v>
      </c>
      <c r="D70" s="32"/>
      <c r="E70" s="34">
        <f>((('Device Parmaters'!$D$35)*COUTMAX)/(1000*'Design Calculator'!$F$70))+C70</f>
        <v>318.57692307692309</v>
      </c>
      <c r="F70" s="34">
        <f t="shared" si="18"/>
        <v>17.576923076923073</v>
      </c>
      <c r="G70" s="32">
        <f t="shared" si="8"/>
        <v>17.576923076923073</v>
      </c>
      <c r="H70" s="34">
        <f t="shared" si="19"/>
        <v>6.9999999999999982</v>
      </c>
      <c r="I70" s="35">
        <f t="shared" si="23"/>
        <v>2.1153846153845995E-4</v>
      </c>
      <c r="J70" s="35">
        <f t="shared" si="12"/>
        <v>1.2692307692307682E-2</v>
      </c>
      <c r="K70" s="101">
        <f t="shared" si="10"/>
        <v>12.692307692307681</v>
      </c>
      <c r="L70" s="80">
        <f t="shared" si="11"/>
        <v>0.39824945295404812</v>
      </c>
      <c r="M70" s="33">
        <f t="shared" si="20"/>
        <v>53.111263736263744</v>
      </c>
      <c r="N70" s="33">
        <f t="shared" si="14"/>
        <v>8.6519543695948373E-2</v>
      </c>
      <c r="O70" s="33">
        <f t="shared" si="13"/>
        <v>409.00147928994079</v>
      </c>
      <c r="P70" s="33">
        <f t="shared" si="21"/>
        <v>246.11686390532543</v>
      </c>
      <c r="Q70" s="33">
        <f t="shared" si="22"/>
        <v>246.11686390532543</v>
      </c>
    </row>
    <row r="71" spans="1:17" ht="13.25" x14ac:dyDescent="0.25">
      <c r="A71" s="33">
        <f t="shared" si="15"/>
        <v>55</v>
      </c>
      <c r="B71" s="36">
        <f t="shared" si="16"/>
        <v>32.259615384615387</v>
      </c>
      <c r="C71" s="34">
        <f t="shared" si="17"/>
        <v>10.75320512820513</v>
      </c>
      <c r="D71" s="32"/>
      <c r="E71" s="34">
        <f>((('Device Parmaters'!$D$35)*COUTMAX)/(1000*'Design Calculator'!$F$70))+C71</f>
        <v>318.75320512820514</v>
      </c>
      <c r="F71" s="34">
        <f t="shared" si="18"/>
        <v>17.753205128205131</v>
      </c>
      <c r="G71" s="32">
        <f t="shared" si="8"/>
        <v>17.753205128205131</v>
      </c>
      <c r="H71" s="34">
        <f t="shared" si="19"/>
        <v>7.0000000000000018</v>
      </c>
      <c r="I71" s="35">
        <f t="shared" si="23"/>
        <v>2.115384615384641E-4</v>
      </c>
      <c r="J71" s="35">
        <f t="shared" si="12"/>
        <v>1.2903846153846146E-2</v>
      </c>
      <c r="K71" s="101">
        <f t="shared" si="10"/>
        <v>12.903846153846146</v>
      </c>
      <c r="L71" s="80">
        <f t="shared" si="11"/>
        <v>0.39429499909731003</v>
      </c>
      <c r="M71" s="33">
        <f t="shared" si="20"/>
        <v>53.079784798534796</v>
      </c>
      <c r="N71" s="33">
        <f t="shared" si="14"/>
        <v>8.5401189240063249E-2</v>
      </c>
      <c r="O71" s="33">
        <f t="shared" si="13"/>
        <v>403.71471277120321</v>
      </c>
      <c r="P71" s="33">
        <f t="shared" si="21"/>
        <v>244.53202046351086</v>
      </c>
      <c r="Q71" s="33">
        <f t="shared" si="22"/>
        <v>244.53202046351086</v>
      </c>
    </row>
    <row r="72" spans="1:17" ht="13.25" x14ac:dyDescent="0.25">
      <c r="A72" s="33">
        <f t="shared" si="15"/>
        <v>55</v>
      </c>
      <c r="B72" s="36">
        <f t="shared" si="16"/>
        <v>32.78846153846154</v>
      </c>
      <c r="C72" s="34">
        <f t="shared" si="17"/>
        <v>10.929487179487181</v>
      </c>
      <c r="D72" s="32"/>
      <c r="E72" s="34">
        <f>((('Device Parmaters'!$D$35)*COUTMAX)/(1000*'Design Calculator'!$F$70))+C72</f>
        <v>318.92948717948718</v>
      </c>
      <c r="F72" s="34">
        <f t="shared" si="18"/>
        <v>17.929487179487182</v>
      </c>
      <c r="G72" s="32">
        <f t="shared" si="8"/>
        <v>17.929487179487182</v>
      </c>
      <c r="H72" s="34">
        <f t="shared" si="19"/>
        <v>7.0000000000000018</v>
      </c>
      <c r="I72" s="35">
        <f t="shared" si="23"/>
        <v>2.1153846153846128E-4</v>
      </c>
      <c r="J72" s="35">
        <f t="shared" si="12"/>
        <v>1.3115384615384607E-2</v>
      </c>
      <c r="K72" s="101">
        <f t="shared" si="10"/>
        <v>13.115384615384606</v>
      </c>
      <c r="L72" s="80">
        <f t="shared" si="11"/>
        <v>0.39041830532713623</v>
      </c>
      <c r="M72" s="33">
        <f t="shared" si="20"/>
        <v>53.048305860805861</v>
      </c>
      <c r="N72" s="33">
        <f t="shared" si="14"/>
        <v>8.4243392979062262E-2</v>
      </c>
      <c r="O72" s="33">
        <f t="shared" si="13"/>
        <v>398.24149408284029</v>
      </c>
      <c r="P72" s="33">
        <f t="shared" si="21"/>
        <v>242.76072485207101</v>
      </c>
      <c r="Q72" s="33">
        <f t="shared" si="22"/>
        <v>242.76072485207101</v>
      </c>
    </row>
    <row r="73" spans="1:17" ht="13.25" x14ac:dyDescent="0.25">
      <c r="A73" s="33">
        <f t="shared" si="15"/>
        <v>55</v>
      </c>
      <c r="B73" s="36">
        <f t="shared" si="16"/>
        <v>33.317307692307693</v>
      </c>
      <c r="C73" s="34">
        <f t="shared" si="17"/>
        <v>11.105769230769232</v>
      </c>
      <c r="D73" s="32"/>
      <c r="E73" s="34">
        <f>((('Device Parmaters'!$D$35)*COUTMAX)/(1000*'Design Calculator'!$F$70))+C73</f>
        <v>319.10576923076923</v>
      </c>
      <c r="F73" s="34">
        <f t="shared" si="18"/>
        <v>18.105769230769234</v>
      </c>
      <c r="G73" s="32">
        <f t="shared" si="8"/>
        <v>18.105769230769234</v>
      </c>
      <c r="H73" s="34">
        <f t="shared" si="19"/>
        <v>7.0000000000000018</v>
      </c>
      <c r="I73" s="35">
        <f t="shared" si="23"/>
        <v>2.1153846153846128E-4</v>
      </c>
      <c r="J73" s="35">
        <f t="shared" si="12"/>
        <v>1.3326923076923068E-2</v>
      </c>
      <c r="K73" s="101">
        <f t="shared" si="10"/>
        <v>13.326923076923068</v>
      </c>
      <c r="L73" s="80">
        <f t="shared" si="11"/>
        <v>0.38661710037174724</v>
      </c>
      <c r="M73" s="33">
        <f t="shared" si="20"/>
        <v>53.016826923076927</v>
      </c>
      <c r="N73" s="33">
        <f t="shared" si="14"/>
        <v>8.304615491294938E-2</v>
      </c>
      <c r="O73" s="33">
        <f t="shared" si="13"/>
        <v>392.58182322485209</v>
      </c>
      <c r="P73" s="33">
        <f t="shared" si="21"/>
        <v>240.80297707100593</v>
      </c>
      <c r="Q73" s="33">
        <f t="shared" si="22"/>
        <v>240.80297707100593</v>
      </c>
    </row>
    <row r="74" spans="1:17" ht="13.25" x14ac:dyDescent="0.25">
      <c r="A74" s="33">
        <f t="shared" ref="A74:A105" si="24">VINMAX</f>
        <v>55</v>
      </c>
      <c r="B74" s="36">
        <f t="shared" ref="B74:B105" si="25">VINMAX*((ROW()-10)/104)</f>
        <v>33.846153846153847</v>
      </c>
      <c r="C74" s="34">
        <f t="shared" ref="C74:C105" si="26">IF(B74&gt;=$H$2,IF($D$2="CC", $G$2, B74/$G$2), 0)</f>
        <v>11.282051282051283</v>
      </c>
      <c r="D74" s="32"/>
      <c r="E74" s="34">
        <f>((('Device Parmaters'!$D$35)*COUTMAX)/(1000*'Design Calculator'!$F$70))+C74</f>
        <v>319.28205128205127</v>
      </c>
      <c r="F74" s="34">
        <f t="shared" ref="F74:F105" si="27">I_Cout_ss+C74</f>
        <v>18.282051282051285</v>
      </c>
      <c r="G74" s="32">
        <f t="shared" si="8"/>
        <v>18.282051282051285</v>
      </c>
      <c r="H74" s="34">
        <f t="shared" ref="H74:H105" si="28">G74-C74</f>
        <v>7.0000000000000018</v>
      </c>
      <c r="I74" s="35">
        <f t="shared" si="23"/>
        <v>2.1153846153846128E-4</v>
      </c>
      <c r="J74" s="35">
        <f t="shared" si="12"/>
        <v>1.3538461538461529E-2</v>
      </c>
      <c r="K74" s="101">
        <f t="shared" si="10"/>
        <v>13.538461538461529</v>
      </c>
      <c r="L74" s="80">
        <f t="shared" si="11"/>
        <v>0.38288920056100983</v>
      </c>
      <c r="M74" s="33">
        <f t="shared" ref="M74:M105" si="29">1/COUTMAX*(E74/2-C74)*1000</f>
        <v>52.985347985347985</v>
      </c>
      <c r="N74" s="33">
        <f t="shared" si="14"/>
        <v>8.1809475041723478E-2</v>
      </c>
      <c r="O74" s="33">
        <f t="shared" si="13"/>
        <v>386.73570019723871</v>
      </c>
      <c r="P74" s="33">
        <f t="shared" ref="P74:P105" si="30">(A74-B74)*(I_Cout_ss*$Q$2+C74)</f>
        <v>238.65877712031559</v>
      </c>
      <c r="Q74" s="33">
        <f t="shared" ref="Q74:Q105" si="31">(A74-B74)*(I_Cout_ss*$R$2+C74)</f>
        <v>238.65877712031559</v>
      </c>
    </row>
    <row r="75" spans="1:17" ht="13.25" x14ac:dyDescent="0.25">
      <c r="A75" s="33">
        <f t="shared" si="24"/>
        <v>55</v>
      </c>
      <c r="B75" s="36">
        <f t="shared" si="25"/>
        <v>34.375</v>
      </c>
      <c r="C75" s="34">
        <f t="shared" si="26"/>
        <v>11.458333333333334</v>
      </c>
      <c r="D75" s="32"/>
      <c r="E75" s="34">
        <f>((('Device Parmaters'!$D$35)*COUTMAX)/(1000*'Design Calculator'!$F$70))+C75</f>
        <v>319.45833333333331</v>
      </c>
      <c r="F75" s="34">
        <f t="shared" si="27"/>
        <v>18.458333333333336</v>
      </c>
      <c r="G75" s="32">
        <f t="shared" ref="G75:G110" si="32">IF($F$2="YES", F75, E75)</f>
        <v>18.458333333333336</v>
      </c>
      <c r="H75" s="34">
        <f t="shared" si="28"/>
        <v>7.0000000000000018</v>
      </c>
      <c r="I75" s="35">
        <f t="shared" ref="I75:I106" si="33">(COUTMAX/1000000)*(B75-B74)/H75</f>
        <v>2.1153846153846128E-4</v>
      </c>
      <c r="J75" s="35">
        <f t="shared" si="12"/>
        <v>1.374999999999999E-2</v>
      </c>
      <c r="K75" s="101">
        <f t="shared" ref="K75:K114" si="34">J75*1000</f>
        <v>13.749999999999989</v>
      </c>
      <c r="L75" s="80">
        <f t="shared" ref="L75:L110" si="35">H75/G75</f>
        <v>0.37923250564334088</v>
      </c>
      <c r="M75" s="33">
        <f t="shared" si="29"/>
        <v>52.953869047619044</v>
      </c>
      <c r="N75" s="33">
        <f t="shared" ref="N75:N110" si="36">I75*G75*(A75-B75)</f>
        <v>8.053335336538453E-2</v>
      </c>
      <c r="O75" s="33">
        <f t="shared" ref="O75:O114" si="37">G75*(A75-B75)</f>
        <v>380.70312500000006</v>
      </c>
      <c r="P75" s="33">
        <f t="shared" si="30"/>
        <v>236.328125</v>
      </c>
      <c r="Q75" s="33">
        <f t="shared" si="31"/>
        <v>236.328125</v>
      </c>
    </row>
    <row r="76" spans="1:17" ht="13.25" x14ac:dyDescent="0.25">
      <c r="A76" s="33">
        <f t="shared" si="24"/>
        <v>55</v>
      </c>
      <c r="B76" s="36">
        <f t="shared" si="25"/>
        <v>34.903846153846153</v>
      </c>
      <c r="C76" s="34">
        <f t="shared" si="26"/>
        <v>11.634615384615385</v>
      </c>
      <c r="D76" s="32"/>
      <c r="E76" s="34">
        <f>((('Device Parmaters'!$D$35)*COUTMAX)/(1000*'Design Calculator'!$F$70))+C76</f>
        <v>319.63461538461536</v>
      </c>
      <c r="F76" s="34">
        <f t="shared" si="27"/>
        <v>18.634615384615387</v>
      </c>
      <c r="G76" s="32">
        <f t="shared" si="32"/>
        <v>18.634615384615387</v>
      </c>
      <c r="H76" s="34">
        <f t="shared" si="28"/>
        <v>7.0000000000000018</v>
      </c>
      <c r="I76" s="35">
        <f t="shared" si="33"/>
        <v>2.1153846153846128E-4</v>
      </c>
      <c r="J76" s="35">
        <f t="shared" ref="J76:J110" si="38">J75+I76</f>
        <v>1.3961538461538451E-2</v>
      </c>
      <c r="K76" s="101">
        <f t="shared" si="34"/>
        <v>13.961538461538451</v>
      </c>
      <c r="L76" s="80">
        <f t="shared" si="35"/>
        <v>0.37564499484004132</v>
      </c>
      <c r="M76" s="33">
        <f t="shared" si="29"/>
        <v>52.922390109890102</v>
      </c>
      <c r="N76" s="33">
        <f t="shared" si="36"/>
        <v>7.9217789883932549E-2</v>
      </c>
      <c r="O76" s="33">
        <f t="shared" si="37"/>
        <v>374.48409763313617</v>
      </c>
      <c r="P76" s="33">
        <f t="shared" si="30"/>
        <v>233.81102071005918</v>
      </c>
      <c r="Q76" s="33">
        <f t="shared" si="31"/>
        <v>233.81102071005918</v>
      </c>
    </row>
    <row r="77" spans="1:17" ht="13.25" x14ac:dyDescent="0.25">
      <c r="A77" s="33">
        <f t="shared" si="24"/>
        <v>55</v>
      </c>
      <c r="B77" s="36">
        <f t="shared" si="25"/>
        <v>35.432692307692307</v>
      </c>
      <c r="C77" s="34">
        <f t="shared" si="26"/>
        <v>11.810897435897436</v>
      </c>
      <c r="D77" s="32"/>
      <c r="E77" s="34">
        <f>((('Device Parmaters'!$D$35)*COUTMAX)/(1000*'Design Calculator'!$F$70))+C77</f>
        <v>319.81089743589746</v>
      </c>
      <c r="F77" s="34">
        <f t="shared" si="27"/>
        <v>18.810897435897438</v>
      </c>
      <c r="G77" s="32">
        <f t="shared" si="32"/>
        <v>18.810897435897438</v>
      </c>
      <c r="H77" s="34">
        <f t="shared" si="28"/>
        <v>7.0000000000000018</v>
      </c>
      <c r="I77" s="35">
        <f t="shared" si="33"/>
        <v>2.1153846153846128E-4</v>
      </c>
      <c r="J77" s="35">
        <f t="shared" si="38"/>
        <v>1.4173076923076912E-2</v>
      </c>
      <c r="K77" s="101">
        <f t="shared" si="34"/>
        <v>14.173076923076911</v>
      </c>
      <c r="L77" s="80">
        <f t="shared" si="35"/>
        <v>0.37212472312148581</v>
      </c>
      <c r="M77" s="33">
        <f t="shared" si="29"/>
        <v>52.890911172161182</v>
      </c>
      <c r="N77" s="33">
        <f t="shared" si="36"/>
        <v>7.7862784597367549E-2</v>
      </c>
      <c r="O77" s="33">
        <f t="shared" si="37"/>
        <v>368.07861809664701</v>
      </c>
      <c r="P77" s="33">
        <f t="shared" si="30"/>
        <v>231.10746425049311</v>
      </c>
      <c r="Q77" s="33">
        <f t="shared" si="31"/>
        <v>231.10746425049311</v>
      </c>
    </row>
    <row r="78" spans="1:17" ht="13.25" x14ac:dyDescent="0.25">
      <c r="A78" s="33">
        <f t="shared" si="24"/>
        <v>55</v>
      </c>
      <c r="B78" s="36">
        <f t="shared" si="25"/>
        <v>35.96153846153846</v>
      </c>
      <c r="C78" s="34">
        <f t="shared" si="26"/>
        <v>11.987179487179487</v>
      </c>
      <c r="D78" s="32"/>
      <c r="E78" s="34">
        <f>((('Device Parmaters'!$D$35)*COUTMAX)/(1000*'Design Calculator'!$F$70))+C78</f>
        <v>319.9871794871795</v>
      </c>
      <c r="F78" s="34">
        <f t="shared" si="27"/>
        <v>18.987179487179489</v>
      </c>
      <c r="G78" s="32">
        <f t="shared" si="32"/>
        <v>18.987179487179489</v>
      </c>
      <c r="H78" s="34">
        <f t="shared" si="28"/>
        <v>7.0000000000000018</v>
      </c>
      <c r="I78" s="35">
        <f t="shared" si="33"/>
        <v>2.1153846153846128E-4</v>
      </c>
      <c r="J78" s="35">
        <f t="shared" si="38"/>
        <v>1.4384615384615372E-2</v>
      </c>
      <c r="K78" s="101">
        <f t="shared" si="34"/>
        <v>14.384615384615373</v>
      </c>
      <c r="L78" s="80">
        <f t="shared" si="35"/>
        <v>0.36866981769074958</v>
      </c>
      <c r="M78" s="33">
        <f t="shared" si="29"/>
        <v>52.859432234432241</v>
      </c>
      <c r="N78" s="33">
        <f t="shared" si="36"/>
        <v>7.6468337505689501E-2</v>
      </c>
      <c r="O78" s="33">
        <f t="shared" si="37"/>
        <v>361.48668639053261</v>
      </c>
      <c r="P78" s="33">
        <f t="shared" si="30"/>
        <v>228.21745562130181</v>
      </c>
      <c r="Q78" s="33">
        <f t="shared" si="31"/>
        <v>228.21745562130181</v>
      </c>
    </row>
    <row r="79" spans="1:17" ht="13.25" x14ac:dyDescent="0.25">
      <c r="A79" s="33">
        <f t="shared" si="24"/>
        <v>55</v>
      </c>
      <c r="B79" s="36">
        <f t="shared" si="25"/>
        <v>36.490384615384613</v>
      </c>
      <c r="C79" s="34">
        <f t="shared" si="26"/>
        <v>12.163461538461538</v>
      </c>
      <c r="D79" s="32"/>
      <c r="E79" s="34">
        <f>((('Device Parmaters'!$D$35)*COUTMAX)/(1000*'Design Calculator'!$F$70))+C79</f>
        <v>320.16346153846155</v>
      </c>
      <c r="F79" s="34">
        <f t="shared" si="27"/>
        <v>19.16346153846154</v>
      </c>
      <c r="G79" s="32">
        <f t="shared" si="32"/>
        <v>19.16346153846154</v>
      </c>
      <c r="H79" s="34">
        <f t="shared" si="28"/>
        <v>7.0000000000000018</v>
      </c>
      <c r="I79" s="35">
        <f t="shared" si="33"/>
        <v>2.1153846153846128E-4</v>
      </c>
      <c r="J79" s="35">
        <f t="shared" si="38"/>
        <v>1.4596153846153833E-2</v>
      </c>
      <c r="K79" s="101">
        <f t="shared" si="34"/>
        <v>14.596153846153832</v>
      </c>
      <c r="L79" s="80">
        <f t="shared" si="35"/>
        <v>0.36527847466131469</v>
      </c>
      <c r="M79" s="33">
        <f t="shared" si="29"/>
        <v>52.827953296703299</v>
      </c>
      <c r="N79" s="33">
        <f t="shared" si="36"/>
        <v>7.5034448608898421E-2</v>
      </c>
      <c r="O79" s="33">
        <f t="shared" si="37"/>
        <v>354.70830251479299</v>
      </c>
      <c r="P79" s="33">
        <f t="shared" si="30"/>
        <v>225.14099482248523</v>
      </c>
      <c r="Q79" s="33">
        <f t="shared" si="31"/>
        <v>225.14099482248523</v>
      </c>
    </row>
    <row r="80" spans="1:17" ht="13.25" x14ac:dyDescent="0.25">
      <c r="A80" s="33">
        <f t="shared" si="24"/>
        <v>55</v>
      </c>
      <c r="B80" s="36">
        <f t="shared" si="25"/>
        <v>37.019230769230774</v>
      </c>
      <c r="C80" s="34">
        <f t="shared" si="26"/>
        <v>12.339743589743591</v>
      </c>
      <c r="D80" s="32"/>
      <c r="E80" s="34">
        <f>((('Device Parmaters'!$D$35)*COUTMAX)/(1000*'Design Calculator'!$F$70))+C80</f>
        <v>320.33974358974359</v>
      </c>
      <c r="F80" s="34">
        <f t="shared" si="27"/>
        <v>19.339743589743591</v>
      </c>
      <c r="G80" s="32">
        <f t="shared" si="32"/>
        <v>19.339743589743591</v>
      </c>
      <c r="H80" s="34">
        <f t="shared" si="28"/>
        <v>7</v>
      </c>
      <c r="I80" s="35">
        <f t="shared" si="33"/>
        <v>2.1153846153846415E-4</v>
      </c>
      <c r="J80" s="35">
        <f t="shared" si="38"/>
        <v>1.4807692307692298E-2</v>
      </c>
      <c r="K80" s="101">
        <f t="shared" si="34"/>
        <v>14.807692307692298</v>
      </c>
      <c r="L80" s="80">
        <f t="shared" si="35"/>
        <v>0.3619489559164733</v>
      </c>
      <c r="M80" s="33">
        <f t="shared" si="29"/>
        <v>52.796474358974358</v>
      </c>
      <c r="N80" s="33">
        <f t="shared" si="36"/>
        <v>7.356111790699528E-2</v>
      </c>
      <c r="O80" s="33">
        <f t="shared" si="37"/>
        <v>347.74346646942797</v>
      </c>
      <c r="P80" s="33">
        <f t="shared" si="30"/>
        <v>221.87808185404336</v>
      </c>
      <c r="Q80" s="33">
        <f t="shared" si="31"/>
        <v>221.87808185404336</v>
      </c>
    </row>
    <row r="81" spans="1:17" ht="13.25" x14ac:dyDescent="0.25">
      <c r="A81" s="33">
        <f t="shared" si="24"/>
        <v>55</v>
      </c>
      <c r="B81" s="36">
        <f t="shared" si="25"/>
        <v>37.548076923076927</v>
      </c>
      <c r="C81" s="34">
        <f t="shared" si="26"/>
        <v>12.516025641025642</v>
      </c>
      <c r="D81" s="32"/>
      <c r="E81" s="34">
        <f>((('Device Parmaters'!$D$35)*COUTMAX)/(1000*'Design Calculator'!$F$70))+C81</f>
        <v>320.51602564102564</v>
      </c>
      <c r="F81" s="34">
        <f t="shared" si="27"/>
        <v>19.516025641025642</v>
      </c>
      <c r="G81" s="32">
        <f t="shared" si="32"/>
        <v>19.516025641025642</v>
      </c>
      <c r="H81" s="34">
        <f t="shared" si="28"/>
        <v>7</v>
      </c>
      <c r="I81" s="35">
        <f t="shared" si="33"/>
        <v>2.1153846153846133E-4</v>
      </c>
      <c r="J81" s="35">
        <f t="shared" si="38"/>
        <v>1.5019230769230759E-2</v>
      </c>
      <c r="K81" s="101">
        <f t="shared" si="34"/>
        <v>15.019230769230759</v>
      </c>
      <c r="L81" s="80">
        <f t="shared" si="35"/>
        <v>0.35867958613893902</v>
      </c>
      <c r="M81" s="33">
        <f t="shared" si="29"/>
        <v>52.764995421245423</v>
      </c>
      <c r="N81" s="33">
        <f t="shared" si="36"/>
        <v>7.2048345399977162E-2</v>
      </c>
      <c r="O81" s="33">
        <f t="shared" si="37"/>
        <v>340.59217825443784</v>
      </c>
      <c r="P81" s="33">
        <f t="shared" si="30"/>
        <v>218.42871671597629</v>
      </c>
      <c r="Q81" s="33">
        <f t="shared" si="31"/>
        <v>218.42871671597629</v>
      </c>
    </row>
    <row r="82" spans="1:17" ht="13.25" x14ac:dyDescent="0.25">
      <c r="A82" s="33">
        <f t="shared" si="24"/>
        <v>55</v>
      </c>
      <c r="B82" s="36">
        <f t="shared" si="25"/>
        <v>38.076923076923073</v>
      </c>
      <c r="C82" s="34">
        <f t="shared" si="26"/>
        <v>12.692307692307692</v>
      </c>
      <c r="D82" s="32"/>
      <c r="E82" s="34">
        <f>((('Device Parmaters'!$D$35)*COUTMAX)/(1000*'Design Calculator'!$F$70))+C82</f>
        <v>320.69230769230768</v>
      </c>
      <c r="F82" s="34">
        <f t="shared" si="27"/>
        <v>19.692307692307693</v>
      </c>
      <c r="G82" s="32">
        <f t="shared" si="32"/>
        <v>19.692307692307693</v>
      </c>
      <c r="H82" s="34">
        <f t="shared" si="28"/>
        <v>7.0000000000000018</v>
      </c>
      <c r="I82" s="35">
        <f t="shared" si="33"/>
        <v>2.1153846153845843E-4</v>
      </c>
      <c r="J82" s="35">
        <f t="shared" si="38"/>
        <v>1.5230769230769218E-2</v>
      </c>
      <c r="K82" s="101">
        <f t="shared" si="34"/>
        <v>15.230769230769218</v>
      </c>
      <c r="L82" s="80">
        <f t="shared" si="35"/>
        <v>0.35546875000000006</v>
      </c>
      <c r="M82" s="33">
        <f t="shared" si="29"/>
        <v>52.733516483516482</v>
      </c>
      <c r="N82" s="33">
        <f t="shared" si="36"/>
        <v>7.0496131087846053E-2</v>
      </c>
      <c r="O82" s="33">
        <f t="shared" si="37"/>
        <v>333.2544378698226</v>
      </c>
      <c r="P82" s="33">
        <f t="shared" si="30"/>
        <v>214.79289940828406</v>
      </c>
      <c r="Q82" s="33">
        <f t="shared" si="31"/>
        <v>214.79289940828406</v>
      </c>
    </row>
    <row r="83" spans="1:17" ht="13.25" x14ac:dyDescent="0.25">
      <c r="A83" s="33">
        <f t="shared" si="24"/>
        <v>55</v>
      </c>
      <c r="B83" s="36">
        <f t="shared" si="25"/>
        <v>38.605769230769226</v>
      </c>
      <c r="C83" s="34">
        <f t="shared" si="26"/>
        <v>12.868589743589743</v>
      </c>
      <c r="D83" s="32"/>
      <c r="E83" s="34">
        <f>((('Device Parmaters'!$D$35)*COUTMAX)/(1000*'Design Calculator'!$F$70))+C83</f>
        <v>320.86858974358972</v>
      </c>
      <c r="F83" s="34">
        <f t="shared" si="27"/>
        <v>19.868589743589745</v>
      </c>
      <c r="G83" s="32">
        <f t="shared" si="32"/>
        <v>19.868589743589745</v>
      </c>
      <c r="H83" s="34">
        <f t="shared" si="28"/>
        <v>7.0000000000000018</v>
      </c>
      <c r="I83" s="35">
        <f t="shared" si="33"/>
        <v>2.1153846153846128E-4</v>
      </c>
      <c r="J83" s="35">
        <f t="shared" si="38"/>
        <v>1.5442307692307679E-2</v>
      </c>
      <c r="K83" s="101">
        <f t="shared" si="34"/>
        <v>15.442307692307679</v>
      </c>
      <c r="L83" s="80">
        <f t="shared" si="35"/>
        <v>0.35231488949830625</v>
      </c>
      <c r="M83" s="33">
        <f t="shared" si="29"/>
        <v>52.70203754578754</v>
      </c>
      <c r="N83" s="33">
        <f t="shared" si="36"/>
        <v>6.8904474970603799E-2</v>
      </c>
      <c r="O83" s="33">
        <f t="shared" si="37"/>
        <v>325.73024531558195</v>
      </c>
      <c r="P83" s="33">
        <f t="shared" si="30"/>
        <v>210.97062993096651</v>
      </c>
      <c r="Q83" s="33">
        <f t="shared" si="31"/>
        <v>210.97062993096651</v>
      </c>
    </row>
    <row r="84" spans="1:17" ht="13.25" x14ac:dyDescent="0.25">
      <c r="A84" s="33">
        <f t="shared" si="24"/>
        <v>55</v>
      </c>
      <c r="B84" s="36">
        <f t="shared" si="25"/>
        <v>39.134615384615387</v>
      </c>
      <c r="C84" s="34">
        <f t="shared" si="26"/>
        <v>13.044871794871796</v>
      </c>
      <c r="D84" s="32"/>
      <c r="E84" s="34">
        <f>((('Device Parmaters'!$D$35)*COUTMAX)/(1000*'Design Calculator'!$F$70))+C84</f>
        <v>321.04487179487182</v>
      </c>
      <c r="F84" s="34">
        <f t="shared" si="27"/>
        <v>20.044871794871796</v>
      </c>
      <c r="G84" s="32">
        <f t="shared" si="32"/>
        <v>20.044871794871796</v>
      </c>
      <c r="H84" s="34">
        <f t="shared" si="28"/>
        <v>7</v>
      </c>
      <c r="I84" s="35">
        <f t="shared" si="33"/>
        <v>2.1153846153846415E-4</v>
      </c>
      <c r="J84" s="35">
        <f t="shared" si="38"/>
        <v>1.5653846153846143E-2</v>
      </c>
      <c r="K84" s="101">
        <f t="shared" si="34"/>
        <v>15.653846153846143</v>
      </c>
      <c r="L84" s="80">
        <f t="shared" si="35"/>
        <v>0.34921650143907895</v>
      </c>
      <c r="M84" s="33">
        <f t="shared" si="29"/>
        <v>52.670558608058613</v>
      </c>
      <c r="N84" s="33">
        <f t="shared" si="36"/>
        <v>6.7273377048248428E-2</v>
      </c>
      <c r="O84" s="33">
        <f t="shared" si="37"/>
        <v>318.01960059171597</v>
      </c>
      <c r="P84" s="33">
        <f t="shared" si="30"/>
        <v>206.96190828402365</v>
      </c>
      <c r="Q84" s="33">
        <f t="shared" si="31"/>
        <v>206.96190828402365</v>
      </c>
    </row>
    <row r="85" spans="1:17" ht="13.25" x14ac:dyDescent="0.25">
      <c r="A85" s="33">
        <f t="shared" si="24"/>
        <v>55</v>
      </c>
      <c r="B85" s="36">
        <f t="shared" si="25"/>
        <v>39.66346153846154</v>
      </c>
      <c r="C85" s="34">
        <f t="shared" si="26"/>
        <v>13.221153846153847</v>
      </c>
      <c r="D85" s="32"/>
      <c r="E85" s="34">
        <f>((('Device Parmaters'!$D$35)*COUTMAX)/(1000*'Design Calculator'!$F$70))+C85</f>
        <v>321.22115384615387</v>
      </c>
      <c r="F85" s="34">
        <f t="shared" si="27"/>
        <v>20.221153846153847</v>
      </c>
      <c r="G85" s="32">
        <f t="shared" si="32"/>
        <v>20.221153846153847</v>
      </c>
      <c r="H85" s="34">
        <f t="shared" si="28"/>
        <v>7</v>
      </c>
      <c r="I85" s="35">
        <f t="shared" si="33"/>
        <v>2.1153846153846133E-4</v>
      </c>
      <c r="J85" s="35">
        <f t="shared" si="38"/>
        <v>1.5865384615384604E-2</v>
      </c>
      <c r="K85" s="101">
        <f t="shared" si="34"/>
        <v>15.865384615384604</v>
      </c>
      <c r="L85" s="80">
        <f t="shared" si="35"/>
        <v>0.34617213504517358</v>
      </c>
      <c r="M85" s="33">
        <f t="shared" si="29"/>
        <v>52.639079670329679</v>
      </c>
      <c r="N85" s="33">
        <f t="shared" si="36"/>
        <v>6.5602837320778262E-2</v>
      </c>
      <c r="O85" s="33">
        <f t="shared" si="37"/>
        <v>310.12250369822482</v>
      </c>
      <c r="P85" s="33">
        <f t="shared" si="30"/>
        <v>202.76673446745562</v>
      </c>
      <c r="Q85" s="33">
        <f t="shared" si="31"/>
        <v>202.76673446745562</v>
      </c>
    </row>
    <row r="86" spans="1:17" ht="13.25" x14ac:dyDescent="0.25">
      <c r="A86" s="33">
        <f t="shared" si="24"/>
        <v>55</v>
      </c>
      <c r="B86" s="36">
        <f t="shared" si="25"/>
        <v>40.192307692307693</v>
      </c>
      <c r="C86" s="34">
        <f t="shared" si="26"/>
        <v>13.397435897435898</v>
      </c>
      <c r="D86" s="32"/>
      <c r="E86" s="34">
        <f>((('Device Parmaters'!$D$35)*COUTMAX)/(1000*'Design Calculator'!$F$70))+C86</f>
        <v>321.39743589743591</v>
      </c>
      <c r="F86" s="34">
        <f t="shared" si="27"/>
        <v>20.397435897435898</v>
      </c>
      <c r="G86" s="32">
        <f t="shared" si="32"/>
        <v>20.397435897435898</v>
      </c>
      <c r="H86" s="34">
        <f t="shared" si="28"/>
        <v>7</v>
      </c>
      <c r="I86" s="35">
        <f t="shared" si="33"/>
        <v>2.1153846153846133E-4</v>
      </c>
      <c r="J86" s="35">
        <f t="shared" si="38"/>
        <v>1.6076923076923065E-2</v>
      </c>
      <c r="K86" s="101">
        <f t="shared" si="34"/>
        <v>16.076923076923066</v>
      </c>
      <c r="L86" s="80">
        <f t="shared" si="35"/>
        <v>0.34318038969201758</v>
      </c>
      <c r="M86" s="33">
        <f t="shared" si="29"/>
        <v>52.60760073260073</v>
      </c>
      <c r="N86" s="33">
        <f t="shared" si="36"/>
        <v>6.3892855788195965E-2</v>
      </c>
      <c r="O86" s="33">
        <f t="shared" si="37"/>
        <v>302.03895463510844</v>
      </c>
      <c r="P86" s="33">
        <f t="shared" si="30"/>
        <v>198.38510848126231</v>
      </c>
      <c r="Q86" s="33">
        <f t="shared" si="31"/>
        <v>198.38510848126231</v>
      </c>
    </row>
    <row r="87" spans="1:17" ht="13.25" x14ac:dyDescent="0.25">
      <c r="A87" s="33">
        <f t="shared" si="24"/>
        <v>55</v>
      </c>
      <c r="B87" s="36">
        <f t="shared" si="25"/>
        <v>40.721153846153847</v>
      </c>
      <c r="C87" s="34">
        <f t="shared" si="26"/>
        <v>13.573717948717949</v>
      </c>
      <c r="D87" s="32"/>
      <c r="E87" s="34">
        <f>((('Device Parmaters'!$D$35)*COUTMAX)/(1000*'Design Calculator'!$F$70))+C87</f>
        <v>321.57371794871796</v>
      </c>
      <c r="F87" s="34">
        <f t="shared" si="27"/>
        <v>20.573717948717949</v>
      </c>
      <c r="G87" s="32">
        <f t="shared" si="32"/>
        <v>20.573717948717949</v>
      </c>
      <c r="H87" s="34">
        <f t="shared" si="28"/>
        <v>7</v>
      </c>
      <c r="I87" s="35">
        <f t="shared" si="33"/>
        <v>2.1153846153846133E-4</v>
      </c>
      <c r="J87" s="35">
        <f t="shared" si="38"/>
        <v>1.6288461538461526E-2</v>
      </c>
      <c r="K87" s="101">
        <f t="shared" si="34"/>
        <v>16.288461538461526</v>
      </c>
      <c r="L87" s="80">
        <f t="shared" si="35"/>
        <v>0.34023991275899673</v>
      </c>
      <c r="M87" s="33">
        <f t="shared" si="29"/>
        <v>52.576121794871796</v>
      </c>
      <c r="N87" s="33">
        <f t="shared" si="36"/>
        <v>6.2143432450500621E-2</v>
      </c>
      <c r="O87" s="33">
        <f t="shared" si="37"/>
        <v>293.76895340236683</v>
      </c>
      <c r="P87" s="33">
        <f t="shared" si="30"/>
        <v>193.8170303254438</v>
      </c>
      <c r="Q87" s="33">
        <f t="shared" si="31"/>
        <v>193.8170303254438</v>
      </c>
    </row>
    <row r="88" spans="1:17" ht="13.25" x14ac:dyDescent="0.25">
      <c r="A88" s="33">
        <f t="shared" si="24"/>
        <v>55</v>
      </c>
      <c r="B88" s="36">
        <f t="shared" si="25"/>
        <v>41.25</v>
      </c>
      <c r="C88" s="34">
        <f t="shared" si="26"/>
        <v>13.75</v>
      </c>
      <c r="D88" s="32"/>
      <c r="E88" s="34">
        <f>((('Device Parmaters'!$D$35)*COUTMAX)/(1000*'Design Calculator'!$F$70))+C88</f>
        <v>321.75</v>
      </c>
      <c r="F88" s="34">
        <f t="shared" si="27"/>
        <v>20.75</v>
      </c>
      <c r="G88" s="32">
        <f t="shared" si="32"/>
        <v>20.75</v>
      </c>
      <c r="H88" s="34">
        <f t="shared" si="28"/>
        <v>7</v>
      </c>
      <c r="I88" s="35">
        <f t="shared" si="33"/>
        <v>2.1153846153846133E-4</v>
      </c>
      <c r="J88" s="35">
        <f t="shared" si="38"/>
        <v>1.6499999999999987E-2</v>
      </c>
      <c r="K88" s="101">
        <f t="shared" si="34"/>
        <v>16.499999999999986</v>
      </c>
      <c r="L88" s="80">
        <f t="shared" si="35"/>
        <v>0.33734939759036142</v>
      </c>
      <c r="M88" s="33">
        <f t="shared" si="29"/>
        <v>52.544642857142861</v>
      </c>
      <c r="N88" s="33">
        <f t="shared" si="36"/>
        <v>6.0354567307692251E-2</v>
      </c>
      <c r="O88" s="33">
        <f t="shared" si="37"/>
        <v>285.3125</v>
      </c>
      <c r="P88" s="33">
        <f t="shared" si="30"/>
        <v>189.0625</v>
      </c>
      <c r="Q88" s="33">
        <f t="shared" si="31"/>
        <v>189.0625</v>
      </c>
    </row>
    <row r="89" spans="1:17" ht="13.25" x14ac:dyDescent="0.25">
      <c r="A89" s="33">
        <f t="shared" si="24"/>
        <v>55</v>
      </c>
      <c r="B89" s="36">
        <f t="shared" si="25"/>
        <v>41.778846153846153</v>
      </c>
      <c r="C89" s="34">
        <f t="shared" si="26"/>
        <v>13.926282051282051</v>
      </c>
      <c r="D89" s="32"/>
      <c r="E89" s="34">
        <f>((('Device Parmaters'!$D$35)*COUTMAX)/(1000*'Design Calculator'!$F$70))+C89</f>
        <v>321.92628205128204</v>
      </c>
      <c r="F89" s="34">
        <f t="shared" si="27"/>
        <v>20.926282051282051</v>
      </c>
      <c r="G89" s="32">
        <f t="shared" si="32"/>
        <v>20.926282051282051</v>
      </c>
      <c r="H89" s="34">
        <f t="shared" si="28"/>
        <v>7</v>
      </c>
      <c r="I89" s="35">
        <f t="shared" si="33"/>
        <v>2.1153846153846133E-4</v>
      </c>
      <c r="J89" s="35">
        <f t="shared" si="38"/>
        <v>1.6711538461538448E-2</v>
      </c>
      <c r="K89" s="101">
        <f t="shared" si="34"/>
        <v>16.711538461538449</v>
      </c>
      <c r="L89" s="80">
        <f t="shared" si="35"/>
        <v>0.33450758155919741</v>
      </c>
      <c r="M89" s="33">
        <f t="shared" si="29"/>
        <v>52.51316391941392</v>
      </c>
      <c r="N89" s="33">
        <f t="shared" si="36"/>
        <v>5.8526260359770849E-2</v>
      </c>
      <c r="O89" s="33">
        <f t="shared" si="37"/>
        <v>276.66959442800788</v>
      </c>
      <c r="P89" s="33">
        <f t="shared" si="30"/>
        <v>184.12151750493098</v>
      </c>
      <c r="Q89" s="33">
        <f t="shared" si="31"/>
        <v>184.12151750493098</v>
      </c>
    </row>
    <row r="90" spans="1:17" ht="13.25" x14ac:dyDescent="0.25">
      <c r="A90" s="33">
        <f t="shared" si="24"/>
        <v>55</v>
      </c>
      <c r="B90" s="36">
        <f t="shared" si="25"/>
        <v>42.307692307692307</v>
      </c>
      <c r="C90" s="34">
        <f t="shared" si="26"/>
        <v>14.102564102564102</v>
      </c>
      <c r="D90" s="32"/>
      <c r="E90" s="34">
        <f>((('Device Parmaters'!$D$35)*COUTMAX)/(1000*'Design Calculator'!$F$70))+C90</f>
        <v>322.10256410256409</v>
      </c>
      <c r="F90" s="34">
        <f t="shared" si="27"/>
        <v>21.102564102564102</v>
      </c>
      <c r="G90" s="32">
        <f t="shared" si="32"/>
        <v>21.102564102564102</v>
      </c>
      <c r="H90" s="34">
        <f t="shared" si="28"/>
        <v>7</v>
      </c>
      <c r="I90" s="35">
        <f t="shared" si="33"/>
        <v>2.1153846153846133E-4</v>
      </c>
      <c r="J90" s="35">
        <f t="shared" si="38"/>
        <v>1.6923076923076909E-2</v>
      </c>
      <c r="K90" s="101">
        <f t="shared" si="34"/>
        <v>16.923076923076909</v>
      </c>
      <c r="L90" s="80">
        <f t="shared" si="35"/>
        <v>0.33171324422843257</v>
      </c>
      <c r="M90" s="33">
        <f t="shared" si="29"/>
        <v>52.481684981684985</v>
      </c>
      <c r="N90" s="33">
        <f t="shared" si="36"/>
        <v>5.6658511606736413E-2</v>
      </c>
      <c r="O90" s="33">
        <f t="shared" si="37"/>
        <v>267.84023668639054</v>
      </c>
      <c r="P90" s="33">
        <f t="shared" si="30"/>
        <v>178.9940828402367</v>
      </c>
      <c r="Q90" s="33">
        <f t="shared" si="31"/>
        <v>178.9940828402367</v>
      </c>
    </row>
    <row r="91" spans="1:17" ht="13.25" x14ac:dyDescent="0.25">
      <c r="A91" s="33">
        <f t="shared" si="24"/>
        <v>55</v>
      </c>
      <c r="B91" s="36">
        <f t="shared" si="25"/>
        <v>42.83653846153846</v>
      </c>
      <c r="C91" s="34">
        <f t="shared" si="26"/>
        <v>14.278846153846153</v>
      </c>
      <c r="D91" s="32"/>
      <c r="E91" s="34">
        <f>((('Device Parmaters'!$D$35)*COUTMAX)/(1000*'Design Calculator'!$F$70))+C91</f>
        <v>322.27884615384613</v>
      </c>
      <c r="F91" s="34">
        <f t="shared" si="27"/>
        <v>21.278846153846153</v>
      </c>
      <c r="G91" s="32">
        <f t="shared" si="32"/>
        <v>21.278846153846153</v>
      </c>
      <c r="H91" s="34">
        <f t="shared" si="28"/>
        <v>7</v>
      </c>
      <c r="I91" s="35">
        <f t="shared" si="33"/>
        <v>2.1153846153846133E-4</v>
      </c>
      <c r="J91" s="35">
        <f t="shared" si="38"/>
        <v>1.713461538461537E-2</v>
      </c>
      <c r="K91" s="101">
        <f t="shared" si="34"/>
        <v>17.134615384615369</v>
      </c>
      <c r="L91" s="80">
        <f t="shared" si="35"/>
        <v>0.32896520560325349</v>
      </c>
      <c r="M91" s="33">
        <f t="shared" si="29"/>
        <v>52.450206043956037</v>
      </c>
      <c r="N91" s="33">
        <f t="shared" si="36"/>
        <v>5.4751321048588944E-2</v>
      </c>
      <c r="O91" s="33">
        <f t="shared" si="37"/>
        <v>258.82442677514797</v>
      </c>
      <c r="P91" s="33">
        <f t="shared" si="30"/>
        <v>173.68019600591717</v>
      </c>
      <c r="Q91" s="33">
        <f t="shared" si="31"/>
        <v>173.68019600591717</v>
      </c>
    </row>
    <row r="92" spans="1:17" ht="13.25" x14ac:dyDescent="0.25">
      <c r="A92" s="33">
        <f t="shared" si="24"/>
        <v>55</v>
      </c>
      <c r="B92" s="36">
        <f t="shared" si="25"/>
        <v>43.365384615384613</v>
      </c>
      <c r="C92" s="34">
        <f t="shared" si="26"/>
        <v>14.455128205128204</v>
      </c>
      <c r="D92" s="32"/>
      <c r="E92" s="34">
        <f>((('Device Parmaters'!$D$35)*COUTMAX)/(1000*'Design Calculator'!$F$70))+C92</f>
        <v>322.45512820512818</v>
      </c>
      <c r="F92" s="34">
        <f t="shared" si="27"/>
        <v>21.455128205128204</v>
      </c>
      <c r="G92" s="32">
        <f t="shared" si="32"/>
        <v>21.455128205128204</v>
      </c>
      <c r="H92" s="34">
        <f t="shared" si="28"/>
        <v>7</v>
      </c>
      <c r="I92" s="35">
        <f t="shared" si="33"/>
        <v>2.1153846153846133E-4</v>
      </c>
      <c r="J92" s="35">
        <f t="shared" si="38"/>
        <v>1.7346153846153831E-2</v>
      </c>
      <c r="K92" s="101">
        <f t="shared" si="34"/>
        <v>17.346153846153829</v>
      </c>
      <c r="L92" s="80">
        <f t="shared" si="35"/>
        <v>0.32626232446967435</v>
      </c>
      <c r="M92" s="33">
        <f t="shared" si="29"/>
        <v>52.418727106227102</v>
      </c>
      <c r="N92" s="33">
        <f t="shared" si="36"/>
        <v>5.2804688685328435E-2</v>
      </c>
      <c r="O92" s="33">
        <f t="shared" si="37"/>
        <v>249.62216469428012</v>
      </c>
      <c r="P92" s="33">
        <f t="shared" si="30"/>
        <v>168.17985700197241</v>
      </c>
      <c r="Q92" s="33">
        <f t="shared" si="31"/>
        <v>168.17985700197241</v>
      </c>
    </row>
    <row r="93" spans="1:17" ht="13.25" x14ac:dyDescent="0.25">
      <c r="A93" s="33">
        <f t="shared" si="24"/>
        <v>55</v>
      </c>
      <c r="B93" s="36">
        <f t="shared" si="25"/>
        <v>43.894230769230774</v>
      </c>
      <c r="C93" s="34">
        <f t="shared" si="26"/>
        <v>14.631410256410257</v>
      </c>
      <c r="D93" s="32"/>
      <c r="E93" s="34">
        <f>((('Device Parmaters'!$D$35)*COUTMAX)/(1000*'Design Calculator'!$F$70))+C93</f>
        <v>322.63141025641028</v>
      </c>
      <c r="F93" s="34">
        <f t="shared" si="27"/>
        <v>21.631410256410255</v>
      </c>
      <c r="G93" s="32">
        <f t="shared" si="32"/>
        <v>21.631410256410255</v>
      </c>
      <c r="H93" s="34">
        <f t="shared" si="28"/>
        <v>6.9999999999999982</v>
      </c>
      <c r="I93" s="35">
        <f t="shared" si="33"/>
        <v>2.1153846153846421E-4</v>
      </c>
      <c r="J93" s="35">
        <f t="shared" si="38"/>
        <v>1.7557692307692295E-2</v>
      </c>
      <c r="K93" s="101">
        <f t="shared" si="34"/>
        <v>17.557692307692296</v>
      </c>
      <c r="L93" s="80">
        <f t="shared" si="35"/>
        <v>0.32360349681434281</v>
      </c>
      <c r="M93" s="33">
        <f t="shared" si="29"/>
        <v>52.387248168498175</v>
      </c>
      <c r="N93" s="33">
        <f t="shared" si="36"/>
        <v>5.0818614516955553E-2</v>
      </c>
      <c r="O93" s="33">
        <f t="shared" si="37"/>
        <v>240.23345044378686</v>
      </c>
      <c r="P93" s="33">
        <f t="shared" si="30"/>
        <v>162.49306582840231</v>
      </c>
      <c r="Q93" s="33">
        <f t="shared" si="31"/>
        <v>162.49306582840231</v>
      </c>
    </row>
    <row r="94" spans="1:17" ht="13.25" x14ac:dyDescent="0.25">
      <c r="A94" s="33">
        <f t="shared" si="24"/>
        <v>55</v>
      </c>
      <c r="B94" s="36">
        <f t="shared" si="25"/>
        <v>44.423076923076927</v>
      </c>
      <c r="C94" s="34">
        <f t="shared" si="26"/>
        <v>14.807692307692308</v>
      </c>
      <c r="D94" s="32"/>
      <c r="E94" s="34">
        <f>((('Device Parmaters'!$D$35)*COUTMAX)/(1000*'Design Calculator'!$F$70))+C94</f>
        <v>322.80769230769232</v>
      </c>
      <c r="F94" s="34">
        <f t="shared" si="27"/>
        <v>21.807692307692307</v>
      </c>
      <c r="G94" s="32">
        <f t="shared" si="32"/>
        <v>21.807692307692307</v>
      </c>
      <c r="H94" s="34">
        <f t="shared" si="28"/>
        <v>6.9999999999999982</v>
      </c>
      <c r="I94" s="35">
        <f t="shared" si="33"/>
        <v>2.1153846153846139E-4</v>
      </c>
      <c r="J94" s="35">
        <f t="shared" si="38"/>
        <v>1.7769230769230756E-2</v>
      </c>
      <c r="K94" s="101">
        <f t="shared" si="34"/>
        <v>17.769230769230756</v>
      </c>
      <c r="L94" s="80">
        <f t="shared" si="35"/>
        <v>0.32098765432098758</v>
      </c>
      <c r="M94" s="33">
        <f t="shared" si="29"/>
        <v>52.355769230769226</v>
      </c>
      <c r="N94" s="33">
        <f t="shared" si="36"/>
        <v>4.8793098543468312E-2</v>
      </c>
      <c r="O94" s="33">
        <f t="shared" si="37"/>
        <v>230.65828402366856</v>
      </c>
      <c r="P94" s="33">
        <f t="shared" si="30"/>
        <v>156.61982248520704</v>
      </c>
      <c r="Q94" s="33">
        <f t="shared" si="31"/>
        <v>156.61982248520704</v>
      </c>
    </row>
    <row r="95" spans="1:17" ht="13.25" x14ac:dyDescent="0.25">
      <c r="A95" s="33">
        <f t="shared" si="24"/>
        <v>55</v>
      </c>
      <c r="B95" s="36">
        <f t="shared" si="25"/>
        <v>44.951923076923073</v>
      </c>
      <c r="C95" s="34">
        <f t="shared" si="26"/>
        <v>14.983974358974358</v>
      </c>
      <c r="D95" s="32"/>
      <c r="E95" s="34">
        <f>((('Device Parmaters'!$D$35)*COUTMAX)/(1000*'Design Calculator'!$F$70))+C95</f>
        <v>322.98397435897436</v>
      </c>
      <c r="F95" s="34">
        <f t="shared" si="27"/>
        <v>21.983974358974358</v>
      </c>
      <c r="G95" s="32">
        <f t="shared" si="32"/>
        <v>21.983974358974358</v>
      </c>
      <c r="H95" s="34">
        <f t="shared" si="28"/>
        <v>7</v>
      </c>
      <c r="I95" s="35">
        <f t="shared" si="33"/>
        <v>2.1153846153845849E-4</v>
      </c>
      <c r="J95" s="35">
        <f t="shared" si="38"/>
        <v>1.7980769230769213E-2</v>
      </c>
      <c r="K95" s="101">
        <f t="shared" si="34"/>
        <v>17.980769230769212</v>
      </c>
      <c r="L95" s="80">
        <f t="shared" si="35"/>
        <v>0.31841376293920398</v>
      </c>
      <c r="M95" s="33">
        <f t="shared" si="29"/>
        <v>52.324290293040292</v>
      </c>
      <c r="N95" s="33">
        <f t="shared" si="36"/>
        <v>4.6728140764868101E-2</v>
      </c>
      <c r="O95" s="33">
        <f t="shared" si="37"/>
        <v>220.89666543392511</v>
      </c>
      <c r="P95" s="33">
        <f t="shared" si="30"/>
        <v>150.56012697238663</v>
      </c>
      <c r="Q95" s="33">
        <f t="shared" si="31"/>
        <v>150.56012697238663</v>
      </c>
    </row>
    <row r="96" spans="1:17" ht="13.25" x14ac:dyDescent="0.25">
      <c r="A96" s="33">
        <f t="shared" si="24"/>
        <v>55</v>
      </c>
      <c r="B96" s="36">
        <f t="shared" si="25"/>
        <v>45.480769230769226</v>
      </c>
      <c r="C96" s="34">
        <f t="shared" si="26"/>
        <v>15.160256410256409</v>
      </c>
      <c r="D96" s="32"/>
      <c r="E96" s="34">
        <f>((('Device Parmaters'!$D$35)*COUTMAX)/(1000*'Design Calculator'!$F$70))+C96</f>
        <v>323.16025641025641</v>
      </c>
      <c r="F96" s="34">
        <f t="shared" si="27"/>
        <v>22.160256410256409</v>
      </c>
      <c r="G96" s="32">
        <f t="shared" si="32"/>
        <v>22.160256410256409</v>
      </c>
      <c r="H96" s="34">
        <f t="shared" si="28"/>
        <v>7</v>
      </c>
      <c r="I96" s="35">
        <f t="shared" si="33"/>
        <v>2.1153846153846133E-4</v>
      </c>
      <c r="J96" s="35">
        <f t="shared" si="38"/>
        <v>1.8192307692307674E-2</v>
      </c>
      <c r="K96" s="101">
        <f t="shared" si="34"/>
        <v>18.192307692307676</v>
      </c>
      <c r="L96" s="80">
        <f t="shared" si="35"/>
        <v>0.3158808215215505</v>
      </c>
      <c r="M96" s="33">
        <f t="shared" si="29"/>
        <v>52.292811355311358</v>
      </c>
      <c r="N96" s="33">
        <f t="shared" si="36"/>
        <v>4.4623741181156099E-2</v>
      </c>
      <c r="O96" s="33">
        <f t="shared" si="37"/>
        <v>210.94859467455629</v>
      </c>
      <c r="P96" s="33">
        <f t="shared" si="30"/>
        <v>144.31397928994087</v>
      </c>
      <c r="Q96" s="33">
        <f t="shared" si="31"/>
        <v>144.31397928994087</v>
      </c>
    </row>
    <row r="97" spans="1:17" ht="13.25" x14ac:dyDescent="0.25">
      <c r="A97" s="33">
        <f t="shared" si="24"/>
        <v>55</v>
      </c>
      <c r="B97" s="36">
        <f t="shared" si="25"/>
        <v>46.009615384615387</v>
      </c>
      <c r="C97" s="34">
        <f t="shared" si="26"/>
        <v>15.336538461538462</v>
      </c>
      <c r="D97" s="32"/>
      <c r="E97" s="34">
        <f>((('Device Parmaters'!$D$35)*COUTMAX)/(1000*'Design Calculator'!$F$70))+C97</f>
        <v>323.33653846153845</v>
      </c>
      <c r="F97" s="34">
        <f t="shared" si="27"/>
        <v>22.33653846153846</v>
      </c>
      <c r="G97" s="32">
        <f t="shared" si="32"/>
        <v>22.33653846153846</v>
      </c>
      <c r="H97" s="34">
        <f t="shared" si="28"/>
        <v>6.9999999999999982</v>
      </c>
      <c r="I97" s="35">
        <f t="shared" si="33"/>
        <v>2.1153846153846421E-4</v>
      </c>
      <c r="J97" s="35">
        <f t="shared" si="38"/>
        <v>1.8403846153846139E-2</v>
      </c>
      <c r="K97" s="101">
        <f t="shared" si="34"/>
        <v>18.403846153846139</v>
      </c>
      <c r="L97" s="80">
        <f t="shared" si="35"/>
        <v>0.31338786052518292</v>
      </c>
      <c r="M97" s="33">
        <f t="shared" si="29"/>
        <v>52.261332417582423</v>
      </c>
      <c r="N97" s="33">
        <f t="shared" si="36"/>
        <v>4.2479899792330966E-2</v>
      </c>
      <c r="O97" s="33">
        <f t="shared" si="37"/>
        <v>200.81407174556207</v>
      </c>
      <c r="P97" s="33">
        <f t="shared" si="30"/>
        <v>137.88137943786978</v>
      </c>
      <c r="Q97" s="33">
        <f t="shared" si="31"/>
        <v>137.88137943786978</v>
      </c>
    </row>
    <row r="98" spans="1:17" ht="13.25" x14ac:dyDescent="0.25">
      <c r="A98" s="33">
        <f t="shared" si="24"/>
        <v>55</v>
      </c>
      <c r="B98" s="36">
        <f t="shared" si="25"/>
        <v>46.53846153846154</v>
      </c>
      <c r="C98" s="34">
        <f t="shared" si="26"/>
        <v>15.512820512820513</v>
      </c>
      <c r="D98" s="32"/>
      <c r="E98" s="34">
        <f>((('Device Parmaters'!$D$35)*COUTMAX)/(1000*'Design Calculator'!$F$70))+C98</f>
        <v>323.5128205128205</v>
      </c>
      <c r="F98" s="34">
        <f t="shared" si="27"/>
        <v>22.512820512820511</v>
      </c>
      <c r="G98" s="32">
        <f t="shared" si="32"/>
        <v>22.512820512820511</v>
      </c>
      <c r="H98" s="34">
        <f t="shared" si="28"/>
        <v>6.9999999999999982</v>
      </c>
      <c r="I98" s="35">
        <f t="shared" si="33"/>
        <v>2.1153846153846139E-4</v>
      </c>
      <c r="J98" s="35">
        <f t="shared" si="38"/>
        <v>1.86153846153846E-2</v>
      </c>
      <c r="K98" s="101">
        <f t="shared" si="34"/>
        <v>18.615384615384599</v>
      </c>
      <c r="L98" s="80">
        <f t="shared" si="35"/>
        <v>0.31093394077448744</v>
      </c>
      <c r="M98" s="33">
        <f t="shared" si="29"/>
        <v>52.229853479853467</v>
      </c>
      <c r="N98" s="33">
        <f t="shared" si="36"/>
        <v>4.0296616598391705E-2</v>
      </c>
      <c r="O98" s="33">
        <f t="shared" si="37"/>
        <v>190.49309664694275</v>
      </c>
      <c r="P98" s="33">
        <f t="shared" si="30"/>
        <v>131.26232741617355</v>
      </c>
      <c r="Q98" s="33">
        <f t="shared" si="31"/>
        <v>131.26232741617355</v>
      </c>
    </row>
    <row r="99" spans="1:17" ht="13.25" x14ac:dyDescent="0.25">
      <c r="A99" s="33">
        <f t="shared" si="24"/>
        <v>55</v>
      </c>
      <c r="B99" s="36">
        <f t="shared" si="25"/>
        <v>47.067307692307693</v>
      </c>
      <c r="C99" s="34">
        <f t="shared" si="26"/>
        <v>15.689102564102564</v>
      </c>
      <c r="D99" s="32"/>
      <c r="E99" s="34">
        <f>((('Device Parmaters'!$D$35)*COUTMAX)/(1000*'Design Calculator'!$F$70))+C99</f>
        <v>323.68910256410254</v>
      </c>
      <c r="F99" s="34">
        <f t="shared" si="27"/>
        <v>22.689102564102562</v>
      </c>
      <c r="G99" s="32">
        <f t="shared" si="32"/>
        <v>22.689102564102562</v>
      </c>
      <c r="H99" s="34">
        <f t="shared" si="28"/>
        <v>6.9999999999999982</v>
      </c>
      <c r="I99" s="35">
        <f t="shared" si="33"/>
        <v>2.1153846153846139E-4</v>
      </c>
      <c r="J99" s="35">
        <f t="shared" si="38"/>
        <v>1.8826923076923061E-2</v>
      </c>
      <c r="K99" s="101">
        <f t="shared" si="34"/>
        <v>18.826923076923059</v>
      </c>
      <c r="L99" s="80">
        <f t="shared" si="35"/>
        <v>0.30851815228139562</v>
      </c>
      <c r="M99" s="33">
        <f t="shared" si="29"/>
        <v>52.19837454212454</v>
      </c>
      <c r="N99" s="33">
        <f t="shared" si="36"/>
        <v>3.8073891599339972E-2</v>
      </c>
      <c r="O99" s="33">
        <f t="shared" si="37"/>
        <v>179.98566937869819</v>
      </c>
      <c r="P99" s="33">
        <f t="shared" si="30"/>
        <v>124.45682322485206</v>
      </c>
      <c r="Q99" s="33">
        <f t="shared" si="31"/>
        <v>124.45682322485206</v>
      </c>
    </row>
    <row r="100" spans="1:17" ht="13.25" x14ac:dyDescent="0.25">
      <c r="A100" s="33">
        <f t="shared" si="24"/>
        <v>55</v>
      </c>
      <c r="B100" s="36">
        <f t="shared" si="25"/>
        <v>47.596153846153847</v>
      </c>
      <c r="C100" s="34">
        <f t="shared" si="26"/>
        <v>15.865384615384615</v>
      </c>
      <c r="D100" s="32"/>
      <c r="E100" s="34">
        <f>((('Device Parmaters'!$D$35)*COUTMAX)/(1000*'Design Calculator'!$F$70))+C100</f>
        <v>323.86538461538464</v>
      </c>
      <c r="F100" s="34">
        <f t="shared" si="27"/>
        <v>22.865384615384613</v>
      </c>
      <c r="G100" s="32">
        <f t="shared" si="32"/>
        <v>22.865384615384613</v>
      </c>
      <c r="H100" s="34">
        <f t="shared" si="28"/>
        <v>6.9999999999999982</v>
      </c>
      <c r="I100" s="35">
        <f t="shared" si="33"/>
        <v>2.1153846153846139E-4</v>
      </c>
      <c r="J100" s="35">
        <f t="shared" si="38"/>
        <v>1.9038461538461521E-2</v>
      </c>
      <c r="K100" s="101">
        <f t="shared" si="34"/>
        <v>19.038461538461522</v>
      </c>
      <c r="L100" s="80">
        <f t="shared" si="35"/>
        <v>0.30613961312026911</v>
      </c>
      <c r="M100" s="33">
        <f t="shared" si="29"/>
        <v>52.166895604395606</v>
      </c>
      <c r="N100" s="33">
        <f t="shared" si="36"/>
        <v>3.5811724795175207E-2</v>
      </c>
      <c r="O100" s="33">
        <f t="shared" si="37"/>
        <v>169.29178994082838</v>
      </c>
      <c r="P100" s="33">
        <f t="shared" si="30"/>
        <v>117.46486686390531</v>
      </c>
      <c r="Q100" s="33">
        <f t="shared" si="31"/>
        <v>117.46486686390531</v>
      </c>
    </row>
    <row r="101" spans="1:17" ht="13.25" x14ac:dyDescent="0.25">
      <c r="A101" s="33">
        <f t="shared" si="24"/>
        <v>55</v>
      </c>
      <c r="B101" s="36">
        <f t="shared" si="25"/>
        <v>48.125</v>
      </c>
      <c r="C101" s="34">
        <f t="shared" si="26"/>
        <v>16.041666666666668</v>
      </c>
      <c r="D101" s="32"/>
      <c r="E101" s="34">
        <f>((('Device Parmaters'!$D$35)*COUTMAX)/(1000*'Design Calculator'!$F$70))+C101</f>
        <v>324.04166666666669</v>
      </c>
      <c r="F101" s="34">
        <f t="shared" si="27"/>
        <v>23.041666666666668</v>
      </c>
      <c r="G101" s="32">
        <f t="shared" si="32"/>
        <v>23.041666666666668</v>
      </c>
      <c r="H101" s="34">
        <f t="shared" si="28"/>
        <v>7</v>
      </c>
      <c r="I101" s="35">
        <f t="shared" si="33"/>
        <v>2.1153846153846133E-4</v>
      </c>
      <c r="J101" s="35">
        <f t="shared" si="38"/>
        <v>1.9249999999999982E-2</v>
      </c>
      <c r="K101" s="101">
        <f t="shared" si="34"/>
        <v>19.249999999999982</v>
      </c>
      <c r="L101" s="80">
        <f t="shared" si="35"/>
        <v>0.30379746835443039</v>
      </c>
      <c r="M101" s="33">
        <f t="shared" si="29"/>
        <v>52.135416666666671</v>
      </c>
      <c r="N101" s="33">
        <f t="shared" si="36"/>
        <v>3.3510116185897401E-2</v>
      </c>
      <c r="O101" s="33">
        <f t="shared" si="37"/>
        <v>158.41145833333334</v>
      </c>
      <c r="P101" s="33">
        <f t="shared" si="30"/>
        <v>110.28645833333334</v>
      </c>
      <c r="Q101" s="33">
        <f t="shared" si="31"/>
        <v>110.28645833333334</v>
      </c>
    </row>
    <row r="102" spans="1:17" ht="13.25" x14ac:dyDescent="0.25">
      <c r="A102" s="33">
        <f t="shared" si="24"/>
        <v>55</v>
      </c>
      <c r="B102" s="36">
        <f t="shared" si="25"/>
        <v>48.653846153846153</v>
      </c>
      <c r="C102" s="34">
        <f t="shared" si="26"/>
        <v>16.217948717948719</v>
      </c>
      <c r="D102" s="32"/>
      <c r="E102" s="34">
        <f>((('Device Parmaters'!$D$35)*COUTMAX)/(1000*'Design Calculator'!$F$70))+C102</f>
        <v>324.21794871794873</v>
      </c>
      <c r="F102" s="34">
        <f t="shared" si="27"/>
        <v>23.217948717948719</v>
      </c>
      <c r="G102" s="32">
        <f t="shared" si="32"/>
        <v>23.217948717948719</v>
      </c>
      <c r="H102" s="34">
        <f t="shared" si="28"/>
        <v>7</v>
      </c>
      <c r="I102" s="35">
        <f t="shared" si="33"/>
        <v>2.1153846153846133E-4</v>
      </c>
      <c r="J102" s="35">
        <f t="shared" si="38"/>
        <v>1.9461538461538443E-2</v>
      </c>
      <c r="K102" s="101">
        <f t="shared" si="34"/>
        <v>19.461538461538442</v>
      </c>
      <c r="L102" s="80">
        <f t="shared" si="35"/>
        <v>0.30149088901159576</v>
      </c>
      <c r="M102" s="33">
        <f t="shared" si="29"/>
        <v>52.103937728937723</v>
      </c>
      <c r="N102" s="33">
        <f t="shared" si="36"/>
        <v>3.1169065771506573E-2</v>
      </c>
      <c r="O102" s="33">
        <f t="shared" si="37"/>
        <v>147.34467455621305</v>
      </c>
      <c r="P102" s="33">
        <f t="shared" si="30"/>
        <v>102.92159763313612</v>
      </c>
      <c r="Q102" s="33">
        <f t="shared" si="31"/>
        <v>102.92159763313612</v>
      </c>
    </row>
    <row r="103" spans="1:17" ht="13.25" x14ac:dyDescent="0.25">
      <c r="A103" s="33">
        <f t="shared" si="24"/>
        <v>55</v>
      </c>
      <c r="B103" s="36">
        <f t="shared" si="25"/>
        <v>49.182692307692307</v>
      </c>
      <c r="C103" s="34">
        <f t="shared" si="26"/>
        <v>16.39423076923077</v>
      </c>
      <c r="D103" s="32"/>
      <c r="E103" s="34">
        <f>((('Device Parmaters'!$D$35)*COUTMAX)/(1000*'Design Calculator'!$F$70))+C103</f>
        <v>324.39423076923077</v>
      </c>
      <c r="F103" s="34">
        <f t="shared" si="27"/>
        <v>23.39423076923077</v>
      </c>
      <c r="G103" s="32">
        <f t="shared" si="32"/>
        <v>23.39423076923077</v>
      </c>
      <c r="H103" s="34">
        <f t="shared" si="28"/>
        <v>7</v>
      </c>
      <c r="I103" s="35">
        <f t="shared" si="33"/>
        <v>2.1153846153846133E-4</v>
      </c>
      <c r="J103" s="35">
        <f t="shared" si="38"/>
        <v>1.9673076923076904E-2</v>
      </c>
      <c r="K103" s="101">
        <f t="shared" si="34"/>
        <v>19.673076923076906</v>
      </c>
      <c r="L103" s="80">
        <f t="shared" si="35"/>
        <v>0.2992190711056309</v>
      </c>
      <c r="M103" s="33">
        <f t="shared" si="29"/>
        <v>52.072458791208788</v>
      </c>
      <c r="N103" s="33">
        <f t="shared" si="36"/>
        <v>2.8788573552002709E-2</v>
      </c>
      <c r="O103" s="33">
        <f t="shared" si="37"/>
        <v>136.09143860946747</v>
      </c>
      <c r="P103" s="33">
        <f t="shared" si="30"/>
        <v>95.370284763313634</v>
      </c>
      <c r="Q103" s="33">
        <f t="shared" si="31"/>
        <v>95.370284763313634</v>
      </c>
    </row>
    <row r="104" spans="1:17" ht="13.25" x14ac:dyDescent="0.25">
      <c r="A104" s="33">
        <f t="shared" si="24"/>
        <v>55</v>
      </c>
      <c r="B104" s="36">
        <f t="shared" si="25"/>
        <v>49.71153846153846</v>
      </c>
      <c r="C104" s="34">
        <f t="shared" si="26"/>
        <v>16.570512820512821</v>
      </c>
      <c r="D104" s="32"/>
      <c r="E104" s="34">
        <f>((('Device Parmaters'!$D$35)*COUTMAX)/(1000*'Design Calculator'!$F$70))+C104</f>
        <v>324.57051282051282</v>
      </c>
      <c r="F104" s="34">
        <f t="shared" si="27"/>
        <v>23.570512820512821</v>
      </c>
      <c r="G104" s="32">
        <f t="shared" si="32"/>
        <v>23.570512820512821</v>
      </c>
      <c r="H104" s="34">
        <f t="shared" si="28"/>
        <v>7</v>
      </c>
      <c r="I104" s="35">
        <f t="shared" si="33"/>
        <v>2.1153846153846133E-4</v>
      </c>
      <c r="J104" s="35">
        <f t="shared" si="38"/>
        <v>1.9884615384615365E-2</v>
      </c>
      <c r="K104" s="101">
        <f t="shared" si="34"/>
        <v>19.884615384615365</v>
      </c>
      <c r="L104" s="80">
        <f t="shared" si="35"/>
        <v>0.29698123470220289</v>
      </c>
      <c r="M104" s="33">
        <f t="shared" si="29"/>
        <v>52.040979853479854</v>
      </c>
      <c r="N104" s="33">
        <f t="shared" si="36"/>
        <v>2.6368639527385811E-2</v>
      </c>
      <c r="O104" s="33">
        <f t="shared" si="37"/>
        <v>124.65175049309669</v>
      </c>
      <c r="P104" s="33">
        <f t="shared" si="30"/>
        <v>87.632519723865911</v>
      </c>
      <c r="Q104" s="33">
        <f t="shared" si="31"/>
        <v>87.632519723865911</v>
      </c>
    </row>
    <row r="105" spans="1:17" ht="13.25" x14ac:dyDescent="0.25">
      <c r="A105" s="33">
        <f t="shared" si="24"/>
        <v>55</v>
      </c>
      <c r="B105" s="36">
        <f t="shared" si="25"/>
        <v>50.240384615384613</v>
      </c>
      <c r="C105" s="34">
        <f t="shared" si="26"/>
        <v>16.746794871794872</v>
      </c>
      <c r="D105" s="32"/>
      <c r="E105" s="34">
        <f>((('Device Parmaters'!$D$35)*COUTMAX)/(1000*'Design Calculator'!$F$70))+C105</f>
        <v>324.74679487179486</v>
      </c>
      <c r="F105" s="34">
        <f t="shared" si="27"/>
        <v>23.746794871794872</v>
      </c>
      <c r="G105" s="32">
        <f t="shared" si="32"/>
        <v>23.746794871794872</v>
      </c>
      <c r="H105" s="34">
        <f t="shared" si="28"/>
        <v>7</v>
      </c>
      <c r="I105" s="35">
        <f t="shared" si="33"/>
        <v>2.1153846153846133E-4</v>
      </c>
      <c r="J105" s="35">
        <f t="shared" si="38"/>
        <v>2.0096153846153826E-2</v>
      </c>
      <c r="K105" s="101">
        <f t="shared" si="34"/>
        <v>20.096153846153825</v>
      </c>
      <c r="L105" s="80">
        <f t="shared" si="35"/>
        <v>0.2947766230260494</v>
      </c>
      <c r="M105" s="33">
        <f t="shared" si="29"/>
        <v>52.00950091575092</v>
      </c>
      <c r="N105" s="33">
        <f t="shared" si="36"/>
        <v>2.3909263697655881E-2</v>
      </c>
      <c r="O105" s="33">
        <f t="shared" si="37"/>
        <v>113.02561020710064</v>
      </c>
      <c r="P105" s="33">
        <f t="shared" si="30"/>
        <v>79.708302514792933</v>
      </c>
      <c r="Q105" s="33">
        <f t="shared" si="31"/>
        <v>79.708302514792933</v>
      </c>
    </row>
    <row r="106" spans="1:17" ht="13.25" x14ac:dyDescent="0.25">
      <c r="A106" s="33">
        <f t="shared" ref="A106:A114" si="39">VINMAX</f>
        <v>55</v>
      </c>
      <c r="B106" s="36">
        <f t="shared" ref="B106:B114" si="40">VINMAX*((ROW()-10)/104)</f>
        <v>50.769230769230774</v>
      </c>
      <c r="C106" s="34">
        <f t="shared" ref="C106:C114" si="41">IF(B106&gt;=$H$2,IF($D$2="CC", $G$2, B106/$G$2), 0)</f>
        <v>16.923076923076923</v>
      </c>
      <c r="D106" s="32"/>
      <c r="E106" s="34">
        <f>((('Device Parmaters'!$D$35)*COUTMAX)/(1000*'Design Calculator'!$F$70))+C106</f>
        <v>324.92307692307691</v>
      </c>
      <c r="F106" s="34">
        <f t="shared" ref="F106:F114" si="42">I_Cout_ss+C106</f>
        <v>23.923076923076923</v>
      </c>
      <c r="G106" s="32">
        <f t="shared" si="32"/>
        <v>23.923076923076923</v>
      </c>
      <c r="H106" s="34">
        <f t="shared" ref="H106:H114" si="43">G106-C106</f>
        <v>7</v>
      </c>
      <c r="I106" s="35">
        <f t="shared" si="33"/>
        <v>2.1153846153846415E-4</v>
      </c>
      <c r="J106" s="35">
        <f t="shared" si="38"/>
        <v>2.0307692307692291E-2</v>
      </c>
      <c r="K106" s="101">
        <f t="shared" si="34"/>
        <v>20.307692307692289</v>
      </c>
      <c r="L106" s="80">
        <f t="shared" si="35"/>
        <v>0.29260450160771706</v>
      </c>
      <c r="M106" s="33">
        <f t="shared" ref="M106:M114" si="44">1/COUTMAX*(E106/2-C106)*1000</f>
        <v>51.978021978021971</v>
      </c>
      <c r="N106" s="33">
        <f t="shared" si="36"/>
        <v>2.1410446062813171E-2</v>
      </c>
      <c r="O106" s="33">
        <f t="shared" si="37"/>
        <v>101.21301775147919</v>
      </c>
      <c r="P106" s="33">
        <f t="shared" ref="P106:P114" si="45">(A106-B106)*(I_Cout_ss*$Q$2+C106)</f>
        <v>71.597633136094601</v>
      </c>
      <c r="Q106" s="33">
        <f t="shared" ref="Q106:Q114" si="46">(A106-B106)*(I_Cout_ss*$R$2+C106)</f>
        <v>71.597633136094601</v>
      </c>
    </row>
    <row r="107" spans="1:17" ht="13.25" x14ac:dyDescent="0.25">
      <c r="A107" s="33">
        <f t="shared" si="39"/>
        <v>55</v>
      </c>
      <c r="B107" s="36">
        <f t="shared" si="40"/>
        <v>51.298076923076927</v>
      </c>
      <c r="C107" s="34">
        <f t="shared" si="41"/>
        <v>17.099358974358974</v>
      </c>
      <c r="D107" s="32"/>
      <c r="E107" s="34">
        <f>((('Device Parmaters'!$D$35)*COUTMAX)/(1000*'Design Calculator'!$F$70))+C107</f>
        <v>325.09935897435895</v>
      </c>
      <c r="F107" s="34">
        <f t="shared" si="42"/>
        <v>24.099358974358974</v>
      </c>
      <c r="G107" s="32">
        <f t="shared" si="32"/>
        <v>24.099358974358974</v>
      </c>
      <c r="H107" s="34">
        <f t="shared" si="43"/>
        <v>7</v>
      </c>
      <c r="I107" s="35">
        <f t="shared" ref="I107:I114" si="47">(COUTMAX/1000000)*(B107-B106)/H107</f>
        <v>2.1153846153846133E-4</v>
      </c>
      <c r="J107" s="35">
        <f t="shared" si="38"/>
        <v>2.0519230769230751E-2</v>
      </c>
      <c r="K107" s="101">
        <f t="shared" si="34"/>
        <v>20.519230769230752</v>
      </c>
      <c r="L107" s="80">
        <f t="shared" si="35"/>
        <v>0.2904641574677484</v>
      </c>
      <c r="M107" s="33">
        <f t="shared" si="44"/>
        <v>51.946543040293037</v>
      </c>
      <c r="N107" s="33">
        <f t="shared" si="36"/>
        <v>1.8872186622856887E-2</v>
      </c>
      <c r="O107" s="33">
        <f t="shared" si="37"/>
        <v>89.213973126232645</v>
      </c>
      <c r="P107" s="33">
        <f t="shared" si="45"/>
        <v>63.30051158777114</v>
      </c>
      <c r="Q107" s="33">
        <f t="shared" si="46"/>
        <v>63.30051158777114</v>
      </c>
    </row>
    <row r="108" spans="1:17" ht="13.25" x14ac:dyDescent="0.25">
      <c r="A108" s="33">
        <f t="shared" si="39"/>
        <v>55</v>
      </c>
      <c r="B108" s="36">
        <f t="shared" si="40"/>
        <v>51.826923076923073</v>
      </c>
      <c r="C108" s="34">
        <f t="shared" si="41"/>
        <v>17.275641025641026</v>
      </c>
      <c r="D108" s="32"/>
      <c r="E108" s="34">
        <f>((('Device Parmaters'!$D$35)*COUTMAX)/(1000*'Design Calculator'!$F$70))+C108</f>
        <v>325.27564102564105</v>
      </c>
      <c r="F108" s="34">
        <f t="shared" si="42"/>
        <v>24.275641025641026</v>
      </c>
      <c r="G108" s="32">
        <f t="shared" si="32"/>
        <v>24.275641025641026</v>
      </c>
      <c r="H108" s="34">
        <f t="shared" si="43"/>
        <v>7</v>
      </c>
      <c r="I108" s="35">
        <f t="shared" si="47"/>
        <v>2.1153846153845849E-4</v>
      </c>
      <c r="J108" s="35">
        <f t="shared" si="38"/>
        <v>2.0730769230769209E-2</v>
      </c>
      <c r="K108" s="101">
        <f t="shared" si="34"/>
        <v>20.730769230769209</v>
      </c>
      <c r="L108" s="80">
        <f t="shared" si="35"/>
        <v>0.28835489833641403</v>
      </c>
      <c r="M108" s="33">
        <f t="shared" si="44"/>
        <v>51.915064102564109</v>
      </c>
      <c r="N108" s="33">
        <f t="shared" si="36"/>
        <v>1.6294485377787677E-2</v>
      </c>
      <c r="O108" s="33">
        <f t="shared" si="37"/>
        <v>77.028476331361034</v>
      </c>
      <c r="P108" s="33">
        <f t="shared" si="45"/>
        <v>54.816937869822553</v>
      </c>
      <c r="Q108" s="33">
        <f t="shared" si="46"/>
        <v>54.816937869822553</v>
      </c>
    </row>
    <row r="109" spans="1:17" ht="13.25" x14ac:dyDescent="0.25">
      <c r="A109" s="33">
        <f t="shared" si="39"/>
        <v>55</v>
      </c>
      <c r="B109" s="36">
        <f t="shared" si="40"/>
        <v>52.355769230769226</v>
      </c>
      <c r="C109" s="34">
        <f t="shared" si="41"/>
        <v>17.451923076923077</v>
      </c>
      <c r="D109" s="32"/>
      <c r="E109" s="34">
        <f>((('Device Parmaters'!$D$35)*COUTMAX)/(1000*'Design Calculator'!$F$70))+C109</f>
        <v>325.45192307692309</v>
      </c>
      <c r="F109" s="34">
        <f t="shared" si="42"/>
        <v>24.451923076923077</v>
      </c>
      <c r="G109" s="32">
        <f t="shared" si="32"/>
        <v>24.451923076923077</v>
      </c>
      <c r="H109" s="34">
        <f t="shared" si="43"/>
        <v>7</v>
      </c>
      <c r="I109" s="35">
        <f t="shared" si="47"/>
        <v>2.1153846153846133E-4</v>
      </c>
      <c r="J109" s="35">
        <f t="shared" si="38"/>
        <v>2.094230769230767E-2</v>
      </c>
      <c r="K109" s="101">
        <f t="shared" si="34"/>
        <v>20.942307692307669</v>
      </c>
      <c r="L109" s="80">
        <f t="shared" si="35"/>
        <v>0.28627605190719624</v>
      </c>
      <c r="M109" s="33">
        <f t="shared" si="44"/>
        <v>51.883585164835168</v>
      </c>
      <c r="N109" s="33">
        <f t="shared" si="36"/>
        <v>1.3677342327605835E-2</v>
      </c>
      <c r="O109" s="33">
        <f t="shared" si="37"/>
        <v>64.656527366864012</v>
      </c>
      <c r="P109" s="33">
        <f t="shared" si="45"/>
        <v>46.146911982248596</v>
      </c>
      <c r="Q109" s="33">
        <f t="shared" si="46"/>
        <v>46.146911982248596</v>
      </c>
    </row>
    <row r="110" spans="1:17" ht="13.25" x14ac:dyDescent="0.25">
      <c r="A110" s="33">
        <f t="shared" si="39"/>
        <v>55</v>
      </c>
      <c r="B110" s="36">
        <f t="shared" si="40"/>
        <v>52.884615384615387</v>
      </c>
      <c r="C110" s="34">
        <f t="shared" si="41"/>
        <v>17.628205128205128</v>
      </c>
      <c r="D110" s="32"/>
      <c r="E110" s="34">
        <f>((('Device Parmaters'!$D$35)*COUTMAX)/(1000*'Design Calculator'!$F$70))+C110</f>
        <v>325.62820512820514</v>
      </c>
      <c r="F110" s="34">
        <f t="shared" si="42"/>
        <v>24.628205128205128</v>
      </c>
      <c r="G110" s="32">
        <f t="shared" si="32"/>
        <v>24.628205128205128</v>
      </c>
      <c r="H110" s="34">
        <f t="shared" si="43"/>
        <v>7</v>
      </c>
      <c r="I110" s="35">
        <f t="shared" si="47"/>
        <v>2.1153846153846415E-4</v>
      </c>
      <c r="J110" s="35">
        <f t="shared" si="38"/>
        <v>2.1153846153846134E-2</v>
      </c>
      <c r="K110" s="101">
        <f t="shared" si="34"/>
        <v>21.153846153846136</v>
      </c>
      <c r="L110" s="80">
        <f t="shared" si="35"/>
        <v>0.28422696512233214</v>
      </c>
      <c r="M110" s="33">
        <f t="shared" si="44"/>
        <v>51.852106227106226</v>
      </c>
      <c r="N110" s="33">
        <f t="shared" si="36"/>
        <v>1.1020757472310851E-2</v>
      </c>
      <c r="O110" s="33">
        <f t="shared" si="37"/>
        <v>52.098126232741564</v>
      </c>
      <c r="P110" s="33">
        <f t="shared" si="45"/>
        <v>37.290433925049271</v>
      </c>
      <c r="Q110" s="33">
        <f t="shared" si="46"/>
        <v>37.290433925049271</v>
      </c>
    </row>
    <row r="111" spans="1:17" ht="13.25" x14ac:dyDescent="0.25">
      <c r="A111" s="33">
        <f t="shared" si="39"/>
        <v>55</v>
      </c>
      <c r="B111" s="36">
        <f t="shared" si="40"/>
        <v>53.41346153846154</v>
      </c>
      <c r="C111" s="34">
        <f t="shared" si="41"/>
        <v>17.804487179487179</v>
      </c>
      <c r="D111" s="32"/>
      <c r="E111" s="34">
        <f>((('Device Parmaters'!$D$35)*COUTMAX)/(1000*'Design Calculator'!$F$70))+C111</f>
        <v>325.80448717948718</v>
      </c>
      <c r="F111" s="34">
        <f t="shared" si="42"/>
        <v>24.804487179487179</v>
      </c>
      <c r="G111" s="32">
        <f>IF($F$2="YES", F111, E111)</f>
        <v>24.804487179487179</v>
      </c>
      <c r="H111" s="34">
        <f t="shared" si="43"/>
        <v>7</v>
      </c>
      <c r="I111" s="35">
        <f t="shared" si="47"/>
        <v>2.1153846153846133E-4</v>
      </c>
      <c r="J111" s="35">
        <f>J110+I111</f>
        <v>2.1365384615384595E-2</v>
      </c>
      <c r="K111" s="101">
        <f t="shared" si="34"/>
        <v>21.365384615384595</v>
      </c>
      <c r="L111" s="80">
        <f>H111/G111</f>
        <v>0.28220700348882283</v>
      </c>
      <c r="M111" s="33">
        <f t="shared" si="44"/>
        <v>51.820627289377285</v>
      </c>
      <c r="N111" s="33">
        <f>I111*G111*(A111-B111)</f>
        <v>8.3247308119025771E-3</v>
      </c>
      <c r="O111" s="33">
        <f t="shared" si="37"/>
        <v>39.353272928994038</v>
      </c>
      <c r="P111" s="33">
        <f t="shared" si="45"/>
        <v>28.247503698224822</v>
      </c>
      <c r="Q111" s="33">
        <f t="shared" si="46"/>
        <v>28.247503698224822</v>
      </c>
    </row>
    <row r="112" spans="1:17" ht="13.25" x14ac:dyDescent="0.25">
      <c r="A112" s="33">
        <f t="shared" si="39"/>
        <v>55</v>
      </c>
      <c r="B112" s="36">
        <f t="shared" si="40"/>
        <v>53.942307692307693</v>
      </c>
      <c r="C112" s="34">
        <f t="shared" si="41"/>
        <v>17.98076923076923</v>
      </c>
      <c r="D112" s="32"/>
      <c r="E112" s="34">
        <f>((('Device Parmaters'!$D$35)*COUTMAX)/(1000*'Design Calculator'!$F$70))+C112</f>
        <v>325.98076923076923</v>
      </c>
      <c r="F112" s="34">
        <f t="shared" si="42"/>
        <v>24.98076923076923</v>
      </c>
      <c r="G112" s="32">
        <f>IF($F$2="YES", F112, E112)</f>
        <v>24.98076923076923</v>
      </c>
      <c r="H112" s="34">
        <f t="shared" si="43"/>
        <v>7</v>
      </c>
      <c r="I112" s="35">
        <f t="shared" si="47"/>
        <v>2.1153846153846133E-4</v>
      </c>
      <c r="J112" s="35">
        <f>J111+I112</f>
        <v>2.1576923076923056E-2</v>
      </c>
      <c r="K112" s="101">
        <f t="shared" si="34"/>
        <v>21.576923076923055</v>
      </c>
      <c r="L112" s="80">
        <f>H112/G112</f>
        <v>0.28021555042340263</v>
      </c>
      <c r="M112" s="33">
        <f t="shared" si="44"/>
        <v>51.78914835164835</v>
      </c>
      <c r="N112" s="33">
        <f>I112*G112*(A112-B112)</f>
        <v>5.5892623463814177E-3</v>
      </c>
      <c r="O112" s="33">
        <f t="shared" si="37"/>
        <v>26.421967455621274</v>
      </c>
      <c r="P112" s="33">
        <f t="shared" si="45"/>
        <v>19.018121301775128</v>
      </c>
      <c r="Q112" s="33">
        <f t="shared" si="46"/>
        <v>19.018121301775128</v>
      </c>
    </row>
    <row r="113" spans="1:17" ht="13.25" x14ac:dyDescent="0.25">
      <c r="A113" s="33">
        <f t="shared" si="39"/>
        <v>55</v>
      </c>
      <c r="B113" s="36">
        <f t="shared" si="40"/>
        <v>54.471153846153847</v>
      </c>
      <c r="C113" s="34">
        <f t="shared" si="41"/>
        <v>18.157051282051281</v>
      </c>
      <c r="D113" s="32"/>
      <c r="E113" s="34">
        <f>((('Device Parmaters'!$D$35)*COUTMAX)/(1000*'Design Calculator'!$F$70))+C113</f>
        <v>326.15705128205127</v>
      </c>
      <c r="F113" s="34">
        <f t="shared" si="42"/>
        <v>25.157051282051281</v>
      </c>
      <c r="G113" s="32">
        <f>IF($F$2="YES", F113, E113)</f>
        <v>25.157051282051281</v>
      </c>
      <c r="H113" s="34">
        <f t="shared" si="43"/>
        <v>7</v>
      </c>
      <c r="I113" s="35">
        <f t="shared" si="47"/>
        <v>2.1153846153846133E-4</v>
      </c>
      <c r="J113" s="35">
        <f>J112+I113</f>
        <v>2.1788461538461517E-2</v>
      </c>
      <c r="K113" s="101">
        <f t="shared" si="34"/>
        <v>21.788461538461515</v>
      </c>
      <c r="L113" s="80">
        <f>H113/G113</f>
        <v>0.27825200662504779</v>
      </c>
      <c r="M113" s="33">
        <f t="shared" si="44"/>
        <v>51.757669413919416</v>
      </c>
      <c r="N113" s="33">
        <f>I113*G113*(A113-B113)</f>
        <v>2.8143520757472253E-3</v>
      </c>
      <c r="O113" s="33">
        <f t="shared" si="37"/>
        <v>13.30420981262326</v>
      </c>
      <c r="P113" s="33">
        <f t="shared" si="45"/>
        <v>9.6022867357001864</v>
      </c>
      <c r="Q113" s="33">
        <f t="shared" si="46"/>
        <v>9.6022867357001864</v>
      </c>
    </row>
    <row r="114" spans="1:17" ht="13.25" x14ac:dyDescent="0.25">
      <c r="A114" s="33">
        <f t="shared" si="39"/>
        <v>55</v>
      </c>
      <c r="B114" s="36">
        <f t="shared" si="40"/>
        <v>55</v>
      </c>
      <c r="C114" s="34">
        <f t="shared" si="41"/>
        <v>18.333333333333332</v>
      </c>
      <c r="D114" s="32"/>
      <c r="E114" s="34">
        <f>((('Device Parmaters'!$D$35)*COUTMAX)/(1000*'Design Calculator'!$F$70))+C114</f>
        <v>326.33333333333331</v>
      </c>
      <c r="F114" s="34">
        <f t="shared" si="42"/>
        <v>25.333333333333332</v>
      </c>
      <c r="G114" s="32">
        <f>IF($F$2="YES", F114, E114)</f>
        <v>25.333333333333332</v>
      </c>
      <c r="H114" s="34">
        <f t="shared" si="43"/>
        <v>7</v>
      </c>
      <c r="I114" s="35">
        <f t="shared" si="47"/>
        <v>2.1153846153846133E-4</v>
      </c>
      <c r="J114" s="35">
        <f>J113+I114</f>
        <v>2.1999999999999978E-2</v>
      </c>
      <c r="K114" s="101">
        <f t="shared" si="34"/>
        <v>21.999999999999979</v>
      </c>
      <c r="L114" s="80">
        <f>H114/G114</f>
        <v>0.27631578947368424</v>
      </c>
      <c r="M114" s="33">
        <f t="shared" si="44"/>
        <v>51.726190476190467</v>
      </c>
      <c r="N114" s="33">
        <f>I114*G114*(A114-B114)</f>
        <v>0</v>
      </c>
      <c r="O114" s="33">
        <f t="shared" si="37"/>
        <v>0</v>
      </c>
      <c r="P114" s="33">
        <f t="shared" si="45"/>
        <v>0</v>
      </c>
      <c r="Q114" s="33">
        <f t="shared" si="46"/>
        <v>0</v>
      </c>
    </row>
    <row r="115" spans="1:17" ht="13.25" x14ac:dyDescent="0.25">
      <c r="K115" s="102">
        <f>K114+0.5</f>
        <v>22.499999999999979</v>
      </c>
      <c r="N115" s="33">
        <v>0</v>
      </c>
      <c r="O115" s="33">
        <v>0</v>
      </c>
    </row>
  </sheetData>
  <mergeCells count="1">
    <mergeCell ref="X12:Y12"/>
  </mergeCells>
  <phoneticPr fontId="59" type="noConversion"/>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0"/>
  <sheetViews>
    <sheetView topLeftCell="A10" zoomScale="85" zoomScaleNormal="85" workbookViewId="0">
      <selection activeCell="H28" sqref="H28"/>
    </sheetView>
  </sheetViews>
  <sheetFormatPr defaultRowHeight="12.5" x14ac:dyDescent="0.25"/>
  <cols>
    <col min="1" max="1" width="19.6328125" customWidth="1"/>
    <col min="2" max="2" width="17.36328125" customWidth="1"/>
    <col min="3" max="3" width="13.36328125" customWidth="1"/>
    <col min="4" max="4" width="16" customWidth="1"/>
    <col min="5" max="6" width="17.6328125" customWidth="1"/>
    <col min="7" max="7" width="31.54296875" customWidth="1"/>
    <col min="8" max="8" width="20" customWidth="1"/>
    <col min="13" max="13" width="12.6328125" customWidth="1"/>
    <col min="15" max="15" width="17.36328125" customWidth="1"/>
    <col min="17" max="17" width="13.36328125" customWidth="1"/>
    <col min="18" max="18" width="16.6328125" customWidth="1"/>
    <col min="20" max="20" width="13" customWidth="1"/>
    <col min="21" max="21" width="10.36328125" customWidth="1"/>
  </cols>
  <sheetData>
    <row r="1" spans="1:22" x14ac:dyDescent="0.25">
      <c r="A1" s="33"/>
      <c r="B1" s="33"/>
      <c r="C1" s="33"/>
      <c r="D1" s="33"/>
      <c r="E1" s="33"/>
      <c r="F1" s="33"/>
      <c r="G1" s="33"/>
      <c r="H1" s="33"/>
      <c r="I1" s="33"/>
      <c r="J1" s="33"/>
      <c r="K1" s="33"/>
      <c r="L1" s="33"/>
      <c r="M1" s="33"/>
      <c r="N1" s="33"/>
      <c r="O1" s="33"/>
      <c r="P1" s="33"/>
      <c r="Q1" s="33"/>
      <c r="R1" s="33"/>
      <c r="S1" s="33"/>
      <c r="T1" s="33"/>
      <c r="U1" s="33"/>
      <c r="V1" s="33"/>
    </row>
    <row r="2" spans="1:22" x14ac:dyDescent="0.25">
      <c r="A2" s="37"/>
      <c r="B2" s="130"/>
      <c r="C2" s="308" t="s">
        <v>134</v>
      </c>
      <c r="D2" s="308"/>
      <c r="E2" s="308"/>
      <c r="F2" s="32"/>
      <c r="G2" s="32"/>
      <c r="H2" s="33" t="s">
        <v>155</v>
      </c>
      <c r="I2" s="33"/>
      <c r="J2" s="33"/>
      <c r="K2" s="33"/>
      <c r="L2" s="33"/>
      <c r="M2" s="33"/>
      <c r="N2" s="33"/>
      <c r="O2" s="32"/>
      <c r="P2" s="32"/>
      <c r="Q2" s="32"/>
      <c r="R2" s="32"/>
      <c r="S2" s="32"/>
      <c r="T2" s="32"/>
      <c r="U2" s="33"/>
      <c r="V2" s="33"/>
    </row>
    <row r="3" spans="1:22" x14ac:dyDescent="0.25">
      <c r="A3" s="37"/>
      <c r="B3" s="37" t="s">
        <v>171</v>
      </c>
      <c r="C3" s="37" t="s">
        <v>135</v>
      </c>
      <c r="D3" s="37" t="s">
        <v>136</v>
      </c>
      <c r="E3" s="37" t="s">
        <v>137</v>
      </c>
      <c r="F3" s="37" t="s">
        <v>294</v>
      </c>
      <c r="G3" s="33"/>
      <c r="H3" s="33" t="s">
        <v>153</v>
      </c>
      <c r="I3" s="32"/>
      <c r="J3" s="32"/>
      <c r="K3" s="32"/>
      <c r="L3" s="32"/>
      <c r="M3" s="32"/>
      <c r="N3" s="33"/>
      <c r="O3" s="32"/>
      <c r="P3" s="32"/>
      <c r="Q3" s="39"/>
      <c r="R3" s="39"/>
      <c r="S3" s="39"/>
      <c r="T3" s="39"/>
      <c r="U3" s="33"/>
      <c r="V3" s="33"/>
    </row>
    <row r="4" spans="1:22" ht="21.65" customHeight="1" x14ac:dyDescent="0.25">
      <c r="A4" s="37" t="s">
        <v>138</v>
      </c>
      <c r="B4" s="37">
        <f>'Design Calculator'!AN53</f>
        <v>100</v>
      </c>
      <c r="C4" s="126">
        <f>'Design Calculator'!$AN$54</f>
        <v>8</v>
      </c>
      <c r="D4" s="126">
        <f>'Design Calculator'!$AN$55</f>
        <v>2</v>
      </c>
      <c r="E4" s="126">
        <f>IF('Design Calculator'!$AN$56 = "NA", F4, 'Design Calculator'!$AN$56)</f>
        <v>2</v>
      </c>
      <c r="F4" s="126">
        <f>'Design Calculator'!AN57</f>
        <v>2</v>
      </c>
      <c r="G4" s="77"/>
      <c r="H4" s="33" t="s">
        <v>154</v>
      </c>
      <c r="I4" s="32"/>
      <c r="J4" s="32"/>
      <c r="K4" s="32"/>
      <c r="L4" s="39"/>
      <c r="M4" s="39"/>
      <c r="N4" s="33"/>
      <c r="O4" s="32"/>
      <c r="P4" s="32"/>
      <c r="Q4" s="39"/>
      <c r="R4" s="39"/>
      <c r="S4" s="39"/>
      <c r="T4" s="39"/>
      <c r="U4" s="33"/>
      <c r="V4" s="33"/>
    </row>
    <row r="5" spans="1:22" x14ac:dyDescent="0.25">
      <c r="A5" s="33"/>
      <c r="B5" s="33"/>
      <c r="C5" s="32"/>
      <c r="D5" s="39"/>
      <c r="E5" s="39"/>
      <c r="F5" s="39"/>
      <c r="G5" s="39"/>
      <c r="H5" s="33"/>
      <c r="I5" s="32"/>
      <c r="J5" s="32"/>
      <c r="K5" s="32"/>
      <c r="L5" s="39"/>
      <c r="M5" s="39"/>
      <c r="N5" s="309"/>
      <c r="O5" s="309"/>
      <c r="P5" s="309"/>
      <c r="Q5" s="39"/>
      <c r="R5" s="310"/>
      <c r="S5" s="310"/>
      <c r="T5" s="310"/>
      <c r="U5" s="33"/>
      <c r="V5" s="33"/>
    </row>
    <row r="6" spans="1:22" x14ac:dyDescent="0.25">
      <c r="A6" s="33"/>
      <c r="B6" s="33"/>
      <c r="C6" s="32"/>
      <c r="D6" s="39"/>
      <c r="E6" s="39"/>
      <c r="F6" s="39"/>
      <c r="G6" s="39"/>
      <c r="H6" s="33"/>
      <c r="I6" s="32"/>
      <c r="J6" s="32"/>
      <c r="K6" s="32"/>
      <c r="L6" s="39"/>
      <c r="M6" s="39"/>
      <c r="N6" s="33"/>
      <c r="O6" s="33"/>
      <c r="P6" s="33"/>
      <c r="Q6" s="33"/>
      <c r="R6" s="33"/>
      <c r="S6" s="33"/>
      <c r="T6" s="33"/>
      <c r="U6" s="33"/>
      <c r="V6" s="33"/>
    </row>
    <row r="7" spans="1:22" ht="14.5" x14ac:dyDescent="0.3">
      <c r="A7" s="33"/>
      <c r="B7" s="82" t="s">
        <v>291</v>
      </c>
      <c r="C7" s="33"/>
      <c r="D7" s="33"/>
      <c r="E7" s="33"/>
      <c r="F7" s="33"/>
      <c r="G7" s="129" t="s">
        <v>280</v>
      </c>
      <c r="H7" s="33"/>
      <c r="I7" s="33"/>
      <c r="J7" s="122"/>
      <c r="K7" s="39"/>
      <c r="L7" s="33"/>
      <c r="M7" s="33"/>
      <c r="N7" s="33"/>
      <c r="O7" s="33"/>
      <c r="P7" s="33"/>
      <c r="Q7" s="33"/>
      <c r="R7" s="33"/>
      <c r="S7" s="33"/>
      <c r="T7" s="127"/>
      <c r="U7" s="32"/>
      <c r="V7" s="33"/>
    </row>
    <row r="8" spans="1:22" ht="14.5" x14ac:dyDescent="0.3">
      <c r="A8" s="33"/>
      <c r="B8" s="33" t="s">
        <v>139</v>
      </c>
      <c r="C8" s="33" t="e">
        <f>IF('Design Calculator'!F69="No", 'Design Calculator'!#REF!,'Design Calculator'!#REF!)</f>
        <v>#REF!</v>
      </c>
      <c r="D8" s="33" t="s">
        <v>8</v>
      </c>
      <c r="E8" s="33"/>
      <c r="F8" s="33"/>
      <c r="G8" s="33" t="s">
        <v>139</v>
      </c>
      <c r="H8" s="33">
        <f>Equations!F78</f>
        <v>16.133945076151587</v>
      </c>
      <c r="I8" s="33" t="s">
        <v>8</v>
      </c>
      <c r="J8" s="32"/>
      <c r="K8" s="39"/>
      <c r="L8" s="33"/>
      <c r="M8" s="33"/>
      <c r="N8" s="33"/>
      <c r="O8" s="33"/>
      <c r="P8" s="127"/>
      <c r="Q8" s="33"/>
      <c r="R8" s="33"/>
      <c r="S8" s="33"/>
      <c r="T8" s="127"/>
      <c r="U8" s="32"/>
      <c r="V8" s="33"/>
    </row>
    <row r="9" spans="1:22" ht="14.5" x14ac:dyDescent="0.3">
      <c r="A9" s="33"/>
      <c r="B9" s="33" t="s">
        <v>140</v>
      </c>
      <c r="C9" s="33">
        <f>VINMAX</f>
        <v>55</v>
      </c>
      <c r="D9" s="33" t="s">
        <v>68</v>
      </c>
      <c r="E9" s="33"/>
      <c r="F9" s="33"/>
      <c r="G9" s="33" t="s">
        <v>140</v>
      </c>
      <c r="H9" s="33">
        <f>VINMAX</f>
        <v>55</v>
      </c>
      <c r="I9" s="33" t="s">
        <v>68</v>
      </c>
      <c r="J9" s="33"/>
      <c r="K9" s="39"/>
      <c r="L9" s="33"/>
      <c r="M9" s="33"/>
      <c r="N9" s="33"/>
      <c r="O9" s="33"/>
      <c r="P9" s="127"/>
      <c r="Q9" s="33"/>
      <c r="R9" s="33"/>
      <c r="S9" s="33"/>
      <c r="T9" s="127"/>
      <c r="U9" s="33"/>
      <c r="V9" s="33"/>
    </row>
    <row r="10" spans="1:22" ht="14.5" x14ac:dyDescent="0.3">
      <c r="A10" s="33"/>
      <c r="B10" s="33" t="s">
        <v>141</v>
      </c>
      <c r="C10" s="33" t="e">
        <f>IF(C8&lt;10, IF(C8&lt;1, 0.1, 1), IF(C8&lt;100, 10, 100))</f>
        <v>#REF!</v>
      </c>
      <c r="D10" s="33" t="s">
        <v>8</v>
      </c>
      <c r="E10" s="33"/>
      <c r="F10" s="33"/>
      <c r="G10" s="33" t="s">
        <v>141</v>
      </c>
      <c r="H10" s="33">
        <f>IF(H8&lt;10, IF(H8&lt;1, 0.1, 1), IF(H8&lt;100, 10, 100))</f>
        <v>10</v>
      </c>
      <c r="I10" s="33" t="s">
        <v>8</v>
      </c>
      <c r="J10" s="33"/>
      <c r="K10" s="39"/>
      <c r="L10" s="33"/>
      <c r="M10" s="33"/>
      <c r="N10" s="33"/>
      <c r="O10" s="33"/>
      <c r="P10" s="127"/>
      <c r="Q10" s="33"/>
      <c r="R10" s="33"/>
      <c r="S10" s="33"/>
      <c r="T10" s="127"/>
      <c r="U10" s="33"/>
      <c r="V10" s="33"/>
    </row>
    <row r="11" spans="1:22" ht="14.5" x14ac:dyDescent="0.3">
      <c r="A11" s="33"/>
      <c r="B11" s="33" t="s">
        <v>363</v>
      </c>
      <c r="C11" s="33" t="e">
        <f>IF('Design Calculator'!F56="NA", MIN(SOA!C10,1),SOA!C10)</f>
        <v>#REF!</v>
      </c>
      <c r="D11" s="33"/>
      <c r="E11" s="33"/>
      <c r="F11" s="33"/>
      <c r="G11" s="33" t="s">
        <v>363</v>
      </c>
      <c r="H11" s="33">
        <f>IF('Design Calculator'!F56="NA", MIN(SOA!H10,1),SOA!H10)</f>
        <v>10</v>
      </c>
      <c r="I11" s="33"/>
      <c r="J11" s="33"/>
      <c r="K11" s="39"/>
      <c r="L11" s="33"/>
      <c r="M11" s="33"/>
      <c r="N11" s="33"/>
      <c r="O11" s="33"/>
      <c r="P11" s="127"/>
      <c r="Q11" s="33"/>
      <c r="R11" s="33"/>
      <c r="S11" s="33"/>
      <c r="T11" s="33"/>
      <c r="U11" s="33"/>
      <c r="V11" s="33"/>
    </row>
    <row r="12" spans="1:22" x14ac:dyDescent="0.25">
      <c r="A12" s="33"/>
      <c r="B12" s="33" t="s">
        <v>142</v>
      </c>
      <c r="C12" s="33" t="e">
        <f>C10*10</f>
        <v>#REF!</v>
      </c>
      <c r="D12" s="33" t="s">
        <v>8</v>
      </c>
      <c r="E12" s="33"/>
      <c r="F12" s="33"/>
      <c r="G12" s="33" t="s">
        <v>364</v>
      </c>
      <c r="H12" s="33">
        <f>H10*10</f>
        <v>100</v>
      </c>
      <c r="I12" s="33" t="s">
        <v>8</v>
      </c>
      <c r="J12" s="33"/>
      <c r="K12" s="39"/>
      <c r="L12" s="33"/>
      <c r="M12" s="33"/>
      <c r="N12" s="33"/>
      <c r="O12" s="33"/>
      <c r="P12" s="33"/>
      <c r="Q12" s="33"/>
      <c r="R12" s="33"/>
      <c r="S12" s="33"/>
      <c r="T12" s="33"/>
      <c r="U12" s="33"/>
      <c r="V12" s="33"/>
    </row>
    <row r="13" spans="1:22" x14ac:dyDescent="0.25">
      <c r="A13" s="33"/>
      <c r="B13" s="33" t="s">
        <v>365</v>
      </c>
      <c r="C13" s="33" t="e">
        <f>IF('Design Calculator'!F57="NA", MIN(SOA!C12,10),SOA!C12)</f>
        <v>#REF!</v>
      </c>
      <c r="D13" s="33"/>
      <c r="E13" s="33"/>
      <c r="F13" s="33"/>
      <c r="G13" s="33" t="s">
        <v>365</v>
      </c>
      <c r="H13" s="33">
        <f>IF('Design Calculator'!F57="NA", MIN(SOA!H12,10),SOA!H12)</f>
        <v>100</v>
      </c>
      <c r="I13" s="33"/>
      <c r="J13" s="33"/>
      <c r="K13" s="39"/>
      <c r="L13" s="33"/>
      <c r="M13" s="33"/>
      <c r="N13" s="33"/>
      <c r="O13" s="33"/>
      <c r="P13" s="33"/>
      <c r="Q13" s="33"/>
      <c r="R13" s="33"/>
      <c r="S13" s="33"/>
      <c r="T13" s="33"/>
      <c r="U13" s="33"/>
      <c r="V13" s="33"/>
    </row>
    <row r="14" spans="1:22" x14ac:dyDescent="0.25">
      <c r="A14" s="33"/>
      <c r="B14" s="33" t="s">
        <v>143</v>
      </c>
      <c r="C14" s="33" t="e">
        <f>IF(C11=0.1, B4, IF(C11=1, C4, IF(C11=10, D4, E4)))</f>
        <v>#REF!</v>
      </c>
      <c r="D14" s="33" t="s">
        <v>27</v>
      </c>
      <c r="E14" s="33"/>
      <c r="F14" s="33"/>
      <c r="G14" s="33" t="s">
        <v>143</v>
      </c>
      <c r="H14" s="33">
        <f>IF(H11=0.1, B4, IF(H11=1, C4, IF(H11=10, D4, E4)))</f>
        <v>2</v>
      </c>
      <c r="I14" s="33" t="s">
        <v>27</v>
      </c>
      <c r="J14" s="33"/>
      <c r="K14" s="39"/>
      <c r="L14" s="33"/>
      <c r="M14" s="33"/>
      <c r="N14" s="33"/>
      <c r="O14" s="33"/>
      <c r="P14" s="33"/>
      <c r="Q14" s="33"/>
      <c r="R14" s="33"/>
      <c r="S14" s="33"/>
      <c r="T14" s="33"/>
      <c r="U14" s="33"/>
      <c r="V14" s="33"/>
    </row>
    <row r="15" spans="1:22" x14ac:dyDescent="0.25">
      <c r="A15" s="33"/>
      <c r="B15" s="33" t="s">
        <v>144</v>
      </c>
      <c r="C15" s="33" t="e">
        <f>IF(C13=1000, F4, IF(C13=1, C4, IF(C13=10, D4, E4)))</f>
        <v>#REF!</v>
      </c>
      <c r="D15" s="33" t="s">
        <v>27</v>
      </c>
      <c r="E15" s="33"/>
      <c r="F15" s="33"/>
      <c r="G15" s="33" t="s">
        <v>144</v>
      </c>
      <c r="H15" s="33">
        <f>IF(H13=1000, F4, IF(H13=1, C4, IF(H13=10, D4, E4)))</f>
        <v>2</v>
      </c>
      <c r="I15" s="33" t="s">
        <v>27</v>
      </c>
      <c r="J15" s="33"/>
      <c r="K15" s="39"/>
      <c r="L15" s="33"/>
      <c r="M15" s="33"/>
      <c r="N15" s="33"/>
      <c r="O15" s="33"/>
      <c r="P15" s="33"/>
      <c r="Q15" s="33"/>
      <c r="R15" s="33"/>
      <c r="S15" s="33"/>
      <c r="T15" s="33"/>
      <c r="U15" s="33"/>
      <c r="V15" s="33"/>
    </row>
    <row r="16" spans="1:22" x14ac:dyDescent="0.25">
      <c r="A16" s="33"/>
      <c r="B16" s="33"/>
      <c r="C16" s="33"/>
      <c r="D16" s="33"/>
      <c r="E16" s="33"/>
      <c r="F16" s="33"/>
      <c r="G16" s="33"/>
      <c r="H16" s="33"/>
      <c r="I16" s="33"/>
      <c r="J16" s="33"/>
      <c r="K16" s="39"/>
      <c r="L16" s="33"/>
      <c r="M16" s="33"/>
      <c r="N16" s="33"/>
      <c r="O16" s="33"/>
      <c r="P16" s="33"/>
      <c r="Q16" s="33"/>
      <c r="R16" s="33"/>
      <c r="S16" s="33"/>
      <c r="T16" s="33"/>
      <c r="U16" s="33"/>
      <c r="V16" s="33"/>
    </row>
    <row r="17" spans="1:22" x14ac:dyDescent="0.25">
      <c r="A17" s="33"/>
      <c r="B17" s="33" t="s">
        <v>148</v>
      </c>
      <c r="C17" s="33"/>
      <c r="D17" s="33"/>
      <c r="E17" s="33"/>
      <c r="F17" s="33"/>
      <c r="G17" s="33" t="s">
        <v>148</v>
      </c>
      <c r="H17" s="33"/>
      <c r="I17" s="33"/>
      <c r="J17" s="33"/>
      <c r="K17" s="39"/>
      <c r="L17" s="33"/>
      <c r="M17" s="33"/>
      <c r="N17" s="33"/>
      <c r="O17" s="33"/>
      <c r="P17" s="33"/>
      <c r="Q17" s="33"/>
      <c r="R17" s="33"/>
      <c r="S17" s="33"/>
      <c r="T17" s="33"/>
      <c r="U17" s="33"/>
      <c r="V17" s="33"/>
    </row>
    <row r="18" spans="1:22" x14ac:dyDescent="0.25">
      <c r="A18" s="33"/>
      <c r="B18" s="33" t="s">
        <v>145</v>
      </c>
      <c r="C18" s="33" t="e">
        <f>C14/C11^C19</f>
        <v>#REF!</v>
      </c>
      <c r="D18" s="33"/>
      <c r="E18" s="33"/>
      <c r="F18" s="33"/>
      <c r="G18" s="33" t="s">
        <v>145</v>
      </c>
      <c r="H18" s="33">
        <f>H14/H11^H19</f>
        <v>1.9999999999953948</v>
      </c>
      <c r="I18" s="33"/>
      <c r="J18" s="33"/>
      <c r="K18" s="33"/>
      <c r="L18" s="33"/>
      <c r="M18" s="33"/>
      <c r="N18" s="33"/>
      <c r="O18" s="33"/>
      <c r="P18" s="33"/>
      <c r="Q18" s="33"/>
      <c r="R18" s="33"/>
      <c r="S18" s="33"/>
      <c r="T18" s="33"/>
      <c r="U18" s="33"/>
      <c r="V18" s="33"/>
    </row>
    <row r="19" spans="1:22" x14ac:dyDescent="0.25">
      <c r="A19" s="33"/>
      <c r="B19" s="33" t="s">
        <v>146</v>
      </c>
      <c r="C19" s="33" t="e">
        <f>LOG(C14/C15)/LOG(C11/C13)</f>
        <v>#REF!</v>
      </c>
      <c r="D19" s="33"/>
      <c r="E19" s="33"/>
      <c r="F19" s="33"/>
      <c r="G19" s="33" t="s">
        <v>146</v>
      </c>
      <c r="H19" s="33">
        <f>IF(H14=H15,0.000000000001,LOG(H14/H15)/LOG(H11/H13))</f>
        <v>9.9999999999999998E-13</v>
      </c>
      <c r="I19" s="33" t="s">
        <v>371</v>
      </c>
      <c r="J19" s="33"/>
      <c r="K19" s="39"/>
      <c r="L19" s="33"/>
      <c r="M19" s="33"/>
      <c r="N19" s="33"/>
      <c r="O19" s="33"/>
      <c r="P19" s="33"/>
      <c r="Q19" s="33"/>
      <c r="R19" s="33"/>
      <c r="S19" s="33"/>
      <c r="T19" s="33"/>
      <c r="U19" s="33"/>
      <c r="V19" s="33"/>
    </row>
    <row r="20" spans="1:22" x14ac:dyDescent="0.25">
      <c r="A20" s="33"/>
      <c r="B20" s="33" t="s">
        <v>147</v>
      </c>
      <c r="C20" s="33" t="e">
        <f>C18*C8^C19</f>
        <v>#REF!</v>
      </c>
      <c r="D20" s="33" t="s">
        <v>27</v>
      </c>
      <c r="E20" s="33"/>
      <c r="F20" s="33"/>
      <c r="G20" s="33" t="s">
        <v>147</v>
      </c>
      <c r="H20" s="33">
        <f>H18*H8^H19</f>
        <v>2.0000000000009566</v>
      </c>
      <c r="I20" s="33"/>
      <c r="J20" s="33"/>
      <c r="K20" s="39"/>
      <c r="L20" s="33"/>
      <c r="M20" s="33"/>
      <c r="N20" s="33"/>
      <c r="O20" s="33"/>
      <c r="P20" s="33"/>
      <c r="Q20" s="33"/>
      <c r="R20" s="33"/>
      <c r="S20" s="33"/>
      <c r="T20" s="33"/>
      <c r="U20" s="33"/>
      <c r="V20" s="33"/>
    </row>
    <row r="21" spans="1:22" x14ac:dyDescent="0.25">
      <c r="A21" s="33"/>
      <c r="B21" s="33"/>
      <c r="C21" s="33"/>
      <c r="D21" s="33"/>
      <c r="E21" s="33"/>
      <c r="F21" s="33"/>
      <c r="G21" s="33"/>
      <c r="H21" s="33"/>
      <c r="I21" s="33"/>
      <c r="J21" s="33"/>
      <c r="K21" s="39"/>
      <c r="L21" s="33"/>
      <c r="M21" s="33"/>
      <c r="N21" s="32"/>
      <c r="O21" s="33"/>
      <c r="P21" s="33"/>
      <c r="Q21" s="33"/>
      <c r="R21" s="33"/>
      <c r="S21" s="33"/>
      <c r="T21" s="33"/>
      <c r="U21" s="33"/>
      <c r="V21" s="33"/>
    </row>
    <row r="22" spans="1:22" x14ac:dyDescent="0.25">
      <c r="A22" s="33"/>
      <c r="B22" s="125" t="s">
        <v>150</v>
      </c>
      <c r="C22" s="33" t="e">
        <f xml:space="preserve"> C20*C9</f>
        <v>#REF!</v>
      </c>
      <c r="D22" s="33"/>
      <c r="E22" s="33"/>
      <c r="F22" s="33"/>
      <c r="G22" s="125" t="s">
        <v>150</v>
      </c>
      <c r="H22" s="33">
        <f xml:space="preserve"> H20*H9</f>
        <v>110.00000000005261</v>
      </c>
      <c r="I22" s="33"/>
      <c r="J22" s="33"/>
      <c r="K22" s="39"/>
      <c r="L22" s="33"/>
      <c r="M22" s="33"/>
      <c r="N22" s="33"/>
      <c r="O22" s="33"/>
      <c r="P22" s="33"/>
      <c r="Q22" s="33"/>
      <c r="R22" s="33"/>
      <c r="S22" s="33"/>
      <c r="T22" s="33"/>
      <c r="U22" s="33"/>
      <c r="V22" s="33"/>
    </row>
    <row r="23" spans="1:22" x14ac:dyDescent="0.25">
      <c r="A23" s="33"/>
      <c r="B23" s="33"/>
      <c r="C23" s="33"/>
      <c r="D23" s="33"/>
      <c r="E23" s="33"/>
      <c r="F23" s="33"/>
      <c r="G23" s="33"/>
      <c r="H23" s="33"/>
      <c r="I23" s="33"/>
      <c r="J23" s="33"/>
      <c r="K23" s="39"/>
      <c r="L23" s="33"/>
      <c r="M23" s="33"/>
      <c r="N23" s="33"/>
      <c r="O23" s="33"/>
      <c r="P23" s="33"/>
      <c r="Q23" s="33"/>
      <c r="R23" s="33"/>
      <c r="S23" s="33"/>
      <c r="T23" s="33"/>
      <c r="U23" s="33"/>
      <c r="V23" s="33"/>
    </row>
    <row r="24" spans="1:22" x14ac:dyDescent="0.25">
      <c r="A24" s="33"/>
      <c r="B24" s="33"/>
      <c r="C24" s="33"/>
      <c r="D24" s="33"/>
      <c r="E24" s="33"/>
      <c r="F24" s="33"/>
      <c r="G24" s="33" t="s">
        <v>296</v>
      </c>
      <c r="H24" s="33">
        <f>'Design Calculator'!F70</f>
        <v>0.5</v>
      </c>
      <c r="I24" s="33"/>
      <c r="J24" s="33"/>
      <c r="K24" s="39"/>
      <c r="L24" s="33"/>
      <c r="M24" s="33"/>
      <c r="N24" s="33"/>
      <c r="O24" s="32"/>
      <c r="P24" s="33"/>
      <c r="Q24" s="33"/>
      <c r="R24" s="33"/>
      <c r="S24" s="33"/>
      <c r="T24" s="33"/>
      <c r="U24" s="33"/>
      <c r="V24" s="33"/>
    </row>
    <row r="25" spans="1:22" x14ac:dyDescent="0.25">
      <c r="A25" s="33"/>
      <c r="B25" s="32" t="s">
        <v>156</v>
      </c>
      <c r="C25" s="33">
        <f>(TJMAX-TJ)/(TJMAX-25)</f>
        <v>0.48333333333333334</v>
      </c>
      <c r="D25" s="39"/>
      <c r="E25" s="39"/>
      <c r="F25" s="39"/>
      <c r="G25" s="33" t="s">
        <v>295</v>
      </c>
      <c r="H25" s="33">
        <f>IF(H24="Yes", TJ,TAMB)</f>
        <v>55</v>
      </c>
      <c r="I25" s="33"/>
      <c r="J25" s="33"/>
      <c r="K25" s="39"/>
      <c r="L25" s="33"/>
      <c r="M25" s="33"/>
      <c r="N25" s="33"/>
      <c r="O25" s="32"/>
      <c r="P25" s="33"/>
      <c r="Q25" s="33"/>
      <c r="R25" s="33"/>
      <c r="S25" s="33"/>
      <c r="T25" s="33"/>
      <c r="U25" s="33"/>
      <c r="V25" s="33"/>
    </row>
    <row r="26" spans="1:22" x14ac:dyDescent="0.25">
      <c r="A26" s="33"/>
      <c r="B26" s="125" t="s">
        <v>151</v>
      </c>
      <c r="C26" s="33" t="e">
        <f>IF((C22*C25)&lt;0,0.000000001,C22*C25)</f>
        <v>#REF!</v>
      </c>
      <c r="D26" s="128" t="s">
        <v>69</v>
      </c>
      <c r="E26" s="39"/>
      <c r="F26" s="39"/>
      <c r="G26" s="33"/>
      <c r="H26" s="33"/>
      <c r="I26" s="33"/>
      <c r="J26" s="33"/>
      <c r="K26" s="39"/>
      <c r="L26" s="33"/>
      <c r="M26" s="33"/>
      <c r="N26" s="33"/>
      <c r="O26" s="33"/>
      <c r="P26" s="33"/>
      <c r="Q26" s="33"/>
      <c r="R26" s="33"/>
      <c r="S26" s="33"/>
      <c r="T26" s="33"/>
      <c r="U26" s="33"/>
      <c r="V26" s="33"/>
    </row>
    <row r="27" spans="1:22" x14ac:dyDescent="0.25">
      <c r="A27" s="33"/>
      <c r="B27" s="32"/>
      <c r="C27" s="32"/>
      <c r="D27" s="39"/>
      <c r="E27" s="39"/>
      <c r="F27" s="39"/>
      <c r="G27" s="32" t="s">
        <v>156</v>
      </c>
      <c r="H27" s="33">
        <f>(TJMAX-H25)/(TJMAX-25)</f>
        <v>0.8</v>
      </c>
      <c r="I27" s="33"/>
      <c r="J27" s="33"/>
      <c r="K27" s="39"/>
      <c r="L27" s="33"/>
      <c r="M27" s="33"/>
      <c r="N27" s="33"/>
      <c r="O27" s="33"/>
      <c r="P27" s="33"/>
      <c r="Q27" s="33"/>
      <c r="R27" s="33"/>
      <c r="S27" s="33"/>
      <c r="T27" s="33"/>
      <c r="U27" s="33"/>
      <c r="V27" s="33"/>
    </row>
    <row r="28" spans="1:22" x14ac:dyDescent="0.25">
      <c r="A28" s="33"/>
      <c r="B28" s="32"/>
      <c r="C28" s="33"/>
      <c r="D28" s="39"/>
      <c r="E28" s="39"/>
      <c r="F28" s="39"/>
      <c r="G28" s="125" t="s">
        <v>151</v>
      </c>
      <c r="H28" s="33">
        <f>IF((H22*H27)&lt;0,0.000000001,H22*H27)</f>
        <v>88.000000000042093</v>
      </c>
      <c r="I28" s="33"/>
      <c r="J28" s="33"/>
      <c r="K28" s="39"/>
      <c r="L28" s="33"/>
      <c r="M28" s="33"/>
      <c r="N28" s="33"/>
      <c r="O28" s="33"/>
      <c r="P28" s="33"/>
      <c r="Q28" s="33"/>
      <c r="R28" s="33"/>
      <c r="S28" s="33"/>
      <c r="T28" s="33"/>
      <c r="U28" s="33"/>
      <c r="V28" s="33"/>
    </row>
    <row r="29" spans="1:22" x14ac:dyDescent="0.25">
      <c r="A29" s="33"/>
      <c r="B29" s="32" t="s">
        <v>325</v>
      </c>
      <c r="C29" s="33"/>
      <c r="D29" s="39"/>
      <c r="E29" s="39"/>
      <c r="F29" s="39"/>
      <c r="G29" s="33"/>
      <c r="H29" s="33"/>
      <c r="I29" s="77"/>
      <c r="J29" s="77"/>
      <c r="K29" s="77"/>
      <c r="L29" s="33"/>
      <c r="M29" s="33"/>
      <c r="N29" s="33"/>
      <c r="O29" s="33"/>
      <c r="P29" s="33"/>
      <c r="Q29" s="33"/>
      <c r="R29" s="33"/>
      <c r="S29" s="33"/>
      <c r="T29" s="33"/>
      <c r="U29" s="33"/>
      <c r="V29" s="33"/>
    </row>
    <row r="30" spans="1:22" x14ac:dyDescent="0.25">
      <c r="A30" s="33"/>
      <c r="B30" s="33"/>
      <c r="C30" s="82" t="s">
        <v>326</v>
      </c>
      <c r="D30" s="124" t="s">
        <v>327</v>
      </c>
      <c r="E30" s="124" t="s">
        <v>328</v>
      </c>
      <c r="F30" s="124" t="s">
        <v>329</v>
      </c>
      <c r="G30" s="39"/>
      <c r="H30" s="33"/>
      <c r="I30" s="77"/>
      <c r="J30" s="77"/>
      <c r="K30" s="77"/>
      <c r="L30" s="33"/>
      <c r="M30" s="33"/>
      <c r="N30" s="33"/>
      <c r="O30" s="33"/>
      <c r="P30" s="33"/>
      <c r="Q30" s="33"/>
      <c r="R30" s="33"/>
      <c r="S30" s="33"/>
      <c r="T30" s="33"/>
      <c r="U30" s="33"/>
      <c r="V30" s="33"/>
    </row>
    <row r="31" spans="1:22" x14ac:dyDescent="0.25">
      <c r="A31" s="33"/>
      <c r="B31" s="32" t="s">
        <v>330</v>
      </c>
      <c r="C31" s="32">
        <v>0.1</v>
      </c>
      <c r="D31" s="32">
        <v>1</v>
      </c>
      <c r="E31" s="39">
        <v>10</v>
      </c>
      <c r="F31" s="32">
        <v>100</v>
      </c>
      <c r="G31" s="129"/>
      <c r="H31" s="33"/>
      <c r="I31" s="33"/>
      <c r="J31" s="33"/>
      <c r="K31" s="33"/>
      <c r="L31" s="33"/>
      <c r="M31" s="33"/>
      <c r="N31" s="33"/>
      <c r="O31" s="33"/>
      <c r="P31" s="33"/>
      <c r="Q31" s="33"/>
      <c r="R31" s="33"/>
      <c r="S31" s="33"/>
      <c r="T31" s="33"/>
      <c r="U31" s="33"/>
      <c r="V31" s="33"/>
    </row>
    <row r="32" spans="1:22" x14ac:dyDescent="0.25">
      <c r="A32" s="33"/>
      <c r="B32" s="32" t="s">
        <v>331</v>
      </c>
      <c r="C32" s="32">
        <v>1</v>
      </c>
      <c r="D32" s="32">
        <v>10</v>
      </c>
      <c r="E32" s="39">
        <v>100</v>
      </c>
      <c r="F32" s="32">
        <v>1000</v>
      </c>
      <c r="G32" s="125"/>
      <c r="H32" s="33"/>
      <c r="I32" s="33"/>
      <c r="J32" s="33"/>
      <c r="K32" s="33"/>
      <c r="L32" s="33"/>
      <c r="M32" s="33"/>
      <c r="N32" s="33"/>
      <c r="O32" s="33"/>
      <c r="P32" s="33"/>
      <c r="Q32" s="33"/>
      <c r="R32" s="33"/>
      <c r="S32" s="33"/>
      <c r="T32" s="33"/>
      <c r="U32" s="33"/>
      <c r="V32" s="33"/>
    </row>
    <row r="33" spans="2:22" x14ac:dyDescent="0.25">
      <c r="B33" s="32" t="s">
        <v>145</v>
      </c>
      <c r="C33" s="32">
        <f>B4/(C31^C34)</f>
        <v>8.0000000000000018</v>
      </c>
      <c r="D33" s="32">
        <f>C4/(D31^D34)</f>
        <v>8</v>
      </c>
      <c r="E33" s="32">
        <f>IF('Design Calculator'!F57="NA",D33,D4/(E31^E34))</f>
        <v>2</v>
      </c>
      <c r="F33" s="32">
        <f>IF('Design Calculator'!F57="NA", E33, E4/(F31^F34))</f>
        <v>2</v>
      </c>
      <c r="G33" s="33"/>
      <c r="H33" s="33"/>
      <c r="I33" s="33"/>
      <c r="J33" s="33"/>
      <c r="K33" s="33"/>
      <c r="L33" s="33"/>
      <c r="M33" s="33"/>
      <c r="N33" s="33"/>
      <c r="O33" s="33"/>
      <c r="P33" s="33"/>
      <c r="Q33" s="33"/>
      <c r="R33" s="33"/>
      <c r="S33" s="33"/>
      <c r="T33" s="33"/>
      <c r="U33" s="33"/>
      <c r="V33" s="33"/>
    </row>
    <row r="34" spans="2:22" x14ac:dyDescent="0.25">
      <c r="B34" s="32" t="s">
        <v>146</v>
      </c>
      <c r="C34" s="39">
        <f>LOG(B4/C4)/LOG(C31/C32)</f>
        <v>-1.0969100130080565</v>
      </c>
      <c r="D34" s="39">
        <f>LOG(C4/D4)/LOG(D31/D32)</f>
        <v>-0.6020599913279624</v>
      </c>
      <c r="E34" s="39">
        <f>IF('Design Calculator'!F57="NA", D34, LOG(D4/E4)/LOG(E31/E32))</f>
        <v>0</v>
      </c>
      <c r="F34" s="39">
        <f>IF('Design Calculator'!F57="NA",E34,LOG(E4/F4)/LOG(F31/F32))</f>
        <v>0</v>
      </c>
      <c r="G34" s="33"/>
      <c r="H34" s="33"/>
      <c r="I34" s="33"/>
      <c r="J34" s="33"/>
      <c r="K34" s="33"/>
      <c r="L34" s="33"/>
      <c r="M34" s="33"/>
      <c r="N34" s="33"/>
      <c r="O34" s="33"/>
      <c r="P34" s="33"/>
      <c r="Q34" s="33"/>
      <c r="R34" s="33"/>
      <c r="S34" s="33"/>
      <c r="T34" s="33"/>
      <c r="U34" s="33"/>
      <c r="V34" s="33"/>
    </row>
    <row r="35" spans="2:22" x14ac:dyDescent="0.25">
      <c r="B35" s="33"/>
      <c r="C35" s="33"/>
      <c r="D35" s="33"/>
      <c r="E35" s="39"/>
      <c r="F35" s="33"/>
      <c r="G35" s="33"/>
      <c r="H35" s="33"/>
      <c r="I35" s="33"/>
      <c r="J35" s="33"/>
      <c r="K35" s="33"/>
      <c r="L35" s="33"/>
      <c r="M35" s="33"/>
      <c r="N35" s="33"/>
      <c r="O35" s="33"/>
      <c r="P35" s="33"/>
      <c r="Q35" s="33"/>
      <c r="R35" s="33"/>
      <c r="S35" s="33"/>
      <c r="T35" s="33"/>
      <c r="U35" s="33"/>
      <c r="V35" s="33"/>
    </row>
    <row r="36" spans="2:22" ht="13.5" thickBot="1" x14ac:dyDescent="0.35">
      <c r="B36" s="61" t="s">
        <v>372</v>
      </c>
      <c r="D36" s="33"/>
      <c r="E36" s="39"/>
      <c r="F36" s="33"/>
      <c r="G36" s="61" t="s">
        <v>372</v>
      </c>
      <c r="I36" s="33"/>
      <c r="J36" s="33"/>
      <c r="K36" s="33"/>
      <c r="L36" s="33"/>
      <c r="M36" s="33"/>
      <c r="N36" s="33"/>
      <c r="O36" s="33"/>
      <c r="P36" s="33"/>
      <c r="Q36" s="33"/>
      <c r="R36" s="33"/>
      <c r="S36" s="33"/>
      <c r="T36" s="33"/>
      <c r="U36" s="33"/>
      <c r="V36" s="33"/>
    </row>
    <row r="37" spans="2:22" ht="15" x14ac:dyDescent="0.4">
      <c r="B37" s="62" t="s">
        <v>37</v>
      </c>
      <c r="C37" s="63" t="s">
        <v>81</v>
      </c>
      <c r="D37" s="33"/>
      <c r="E37" s="39"/>
      <c r="F37" s="33"/>
      <c r="G37" s="62" t="s">
        <v>37</v>
      </c>
      <c r="H37" s="63" t="s">
        <v>81</v>
      </c>
      <c r="I37" s="33"/>
      <c r="J37" s="33"/>
      <c r="K37" s="33"/>
      <c r="L37" s="33"/>
      <c r="M37" s="33"/>
      <c r="N37" s="33"/>
      <c r="O37" s="33"/>
      <c r="P37" s="33"/>
      <c r="Q37" s="33"/>
      <c r="R37" s="33"/>
      <c r="S37" s="33"/>
      <c r="T37" s="33"/>
      <c r="U37" s="33"/>
      <c r="V37" s="33"/>
    </row>
    <row r="38" spans="2:22" ht="13" x14ac:dyDescent="0.3">
      <c r="B38" s="64" t="s">
        <v>9</v>
      </c>
      <c r="C38" s="65" t="s">
        <v>10</v>
      </c>
      <c r="D38" s="33"/>
      <c r="E38" s="39"/>
      <c r="F38" s="33"/>
      <c r="G38" s="64" t="s">
        <v>9</v>
      </c>
      <c r="H38" s="65" t="s">
        <v>10</v>
      </c>
      <c r="I38" s="33"/>
      <c r="J38" s="33"/>
      <c r="K38" s="33"/>
      <c r="L38" s="33"/>
      <c r="M38" s="33"/>
      <c r="N38" s="33"/>
      <c r="O38" s="33"/>
      <c r="P38" s="33"/>
      <c r="Q38" s="33"/>
      <c r="R38" s="33"/>
      <c r="S38" s="33"/>
      <c r="T38" s="33"/>
      <c r="U38" s="33"/>
      <c r="V38" s="33"/>
    </row>
    <row r="39" spans="2:22" x14ac:dyDescent="0.25">
      <c r="B39" s="66">
        <v>1</v>
      </c>
      <c r="C39" s="67" t="e">
        <f>SOA!$C$26/B39</f>
        <v>#REF!</v>
      </c>
      <c r="D39" s="33"/>
      <c r="E39" s="39"/>
      <c r="F39" s="33"/>
      <c r="G39" s="66">
        <v>1</v>
      </c>
      <c r="H39" s="67">
        <f>H28/G39</f>
        <v>88.000000000042093</v>
      </c>
      <c r="I39" s="33"/>
      <c r="J39" s="33"/>
      <c r="K39" s="33"/>
      <c r="L39" s="33"/>
      <c r="M39" s="33"/>
      <c r="N39" s="33"/>
      <c r="O39" s="33"/>
      <c r="P39" s="33"/>
      <c r="Q39" s="33"/>
      <c r="R39" s="33"/>
      <c r="S39" s="33"/>
      <c r="T39" s="33"/>
      <c r="U39" s="33"/>
      <c r="V39" s="33"/>
    </row>
    <row r="40" spans="2:22" x14ac:dyDescent="0.25">
      <c r="B40" s="66">
        <v>1.2</v>
      </c>
      <c r="C40" s="67" t="e">
        <f>SOA!$C$26/B40</f>
        <v>#REF!</v>
      </c>
      <c r="D40" s="33"/>
      <c r="E40" s="39"/>
      <c r="F40" s="33"/>
      <c r="G40" s="66">
        <v>1.2</v>
      </c>
      <c r="H40" s="67">
        <f>H28/G40</f>
        <v>73.333333333368415</v>
      </c>
      <c r="I40" s="33"/>
      <c r="J40" s="33"/>
      <c r="K40" s="33"/>
      <c r="L40" s="33"/>
      <c r="M40" s="33"/>
      <c r="N40" s="33"/>
      <c r="O40" s="33"/>
      <c r="P40" s="33"/>
      <c r="Q40" s="33"/>
      <c r="R40" s="33"/>
      <c r="S40" s="33"/>
      <c r="T40" s="33"/>
      <c r="U40" s="33"/>
      <c r="V40" s="33"/>
    </row>
    <row r="41" spans="2:22" x14ac:dyDescent="0.25">
      <c r="B41" s="66">
        <v>30</v>
      </c>
      <c r="C41" s="67" t="e">
        <f>SOA!$C$26/B41</f>
        <v>#REF!</v>
      </c>
      <c r="D41" s="33"/>
      <c r="E41" s="39"/>
      <c r="F41" s="33"/>
      <c r="G41" s="66">
        <v>30</v>
      </c>
      <c r="H41" s="67">
        <f>H28/G41</f>
        <v>2.9333333333347364</v>
      </c>
      <c r="I41" s="33"/>
      <c r="J41" s="33"/>
      <c r="K41" s="33"/>
      <c r="L41" s="33"/>
      <c r="M41" s="33"/>
      <c r="N41" s="33"/>
      <c r="O41" s="33"/>
      <c r="P41" s="33"/>
      <c r="Q41" s="33"/>
      <c r="R41" s="33"/>
      <c r="S41" s="33"/>
      <c r="T41" s="33"/>
      <c r="U41" s="33"/>
      <c r="V41" s="33"/>
    </row>
    <row r="42" spans="2:22" x14ac:dyDescent="0.25">
      <c r="B42" s="66"/>
      <c r="C42" s="67"/>
      <c r="D42" s="33"/>
      <c r="E42" s="39"/>
      <c r="F42" s="33"/>
      <c r="G42" s="66"/>
      <c r="H42" s="67"/>
      <c r="I42" s="33"/>
      <c r="J42" s="33"/>
      <c r="K42" s="33"/>
      <c r="L42" s="33"/>
      <c r="M42" s="33"/>
      <c r="N42" s="33"/>
      <c r="O42" s="33"/>
      <c r="P42" s="33"/>
      <c r="Q42" s="33"/>
      <c r="R42" s="33"/>
      <c r="S42" s="33"/>
      <c r="T42" s="33"/>
      <c r="U42" s="33"/>
      <c r="V42" s="33"/>
    </row>
    <row r="43" spans="2:22" ht="13" thickBot="1" x14ac:dyDescent="0.3">
      <c r="B43" s="68"/>
      <c r="C43" s="69"/>
      <c r="D43" s="33"/>
      <c r="E43" s="39"/>
      <c r="F43" s="33"/>
      <c r="G43" s="68"/>
      <c r="H43" s="69"/>
      <c r="I43" s="33"/>
      <c r="J43" s="33"/>
      <c r="K43" s="33"/>
      <c r="L43" s="33"/>
      <c r="M43" s="33"/>
      <c r="N43" s="33"/>
      <c r="O43" s="33"/>
      <c r="P43" s="33"/>
      <c r="Q43" s="33"/>
      <c r="R43" s="33"/>
      <c r="S43" s="33"/>
      <c r="T43" s="33"/>
      <c r="U43" s="33"/>
      <c r="V43" s="33"/>
    </row>
    <row r="44" spans="2:22" x14ac:dyDescent="0.25">
      <c r="B44" s="33"/>
      <c r="C44" s="33"/>
      <c r="D44" s="33"/>
      <c r="E44" s="39"/>
      <c r="F44" s="33"/>
      <c r="G44" s="33"/>
      <c r="H44" s="33"/>
      <c r="I44" s="33"/>
      <c r="J44" s="33"/>
      <c r="K44" s="33"/>
      <c r="L44" s="33"/>
      <c r="M44" s="33"/>
      <c r="N44" s="33"/>
      <c r="O44" s="33"/>
      <c r="P44" s="33"/>
      <c r="Q44" s="33"/>
      <c r="R44" s="33"/>
      <c r="S44" s="33"/>
      <c r="T44" s="33"/>
      <c r="U44" s="33"/>
      <c r="V44" s="33"/>
    </row>
    <row r="45" spans="2:22" x14ac:dyDescent="0.25">
      <c r="B45" s="33"/>
      <c r="C45" s="33"/>
      <c r="D45" s="33"/>
      <c r="E45" s="39"/>
      <c r="F45" s="33"/>
      <c r="G45" s="33"/>
      <c r="H45" s="33"/>
      <c r="I45" s="33"/>
      <c r="J45" s="33"/>
      <c r="K45" s="33"/>
      <c r="L45" s="33"/>
      <c r="M45" s="33"/>
      <c r="N45" s="33"/>
      <c r="O45" s="33"/>
      <c r="P45" s="33"/>
      <c r="Q45" s="33"/>
      <c r="R45" s="33"/>
      <c r="S45" s="33"/>
      <c r="T45" s="33"/>
      <c r="U45" s="33"/>
      <c r="V45" s="33"/>
    </row>
    <row r="46" spans="2:22" x14ac:dyDescent="0.25">
      <c r="B46" s="33"/>
      <c r="C46" s="33"/>
      <c r="D46" s="33"/>
      <c r="E46" s="39"/>
      <c r="F46" s="33"/>
      <c r="G46" s="125"/>
      <c r="H46" s="33"/>
      <c r="I46" s="33"/>
      <c r="J46" s="33"/>
      <c r="K46" s="33"/>
      <c r="L46" s="33"/>
      <c r="M46" s="33"/>
      <c r="N46" s="33"/>
      <c r="O46" s="33"/>
      <c r="P46" s="33"/>
      <c r="Q46" s="33"/>
      <c r="R46" s="33"/>
      <c r="S46" s="33"/>
      <c r="T46" s="33"/>
      <c r="U46" s="33"/>
      <c r="V46" s="33"/>
    </row>
    <row r="47" spans="2:22" x14ac:dyDescent="0.25">
      <c r="B47" s="33"/>
      <c r="C47" s="33"/>
      <c r="D47" s="33"/>
      <c r="E47" s="39"/>
      <c r="F47" s="33"/>
      <c r="G47" s="33"/>
      <c r="H47" s="33"/>
      <c r="I47" s="33"/>
      <c r="J47" s="33"/>
      <c r="K47" s="33"/>
      <c r="L47" s="33"/>
      <c r="M47" s="33"/>
      <c r="N47" s="33"/>
      <c r="O47" s="33"/>
      <c r="P47" s="33"/>
      <c r="Q47" s="33"/>
      <c r="R47" s="33"/>
      <c r="S47" s="33"/>
      <c r="T47" s="33"/>
      <c r="U47" s="33"/>
      <c r="V47" s="33"/>
    </row>
    <row r="48" spans="2:22" x14ac:dyDescent="0.25">
      <c r="B48" s="33"/>
      <c r="C48" s="33"/>
      <c r="D48" s="33"/>
      <c r="E48" s="39"/>
      <c r="F48" s="33"/>
      <c r="G48" s="33"/>
      <c r="H48" s="33"/>
      <c r="I48" s="33"/>
      <c r="J48" s="33"/>
      <c r="K48" s="33"/>
      <c r="L48" s="33"/>
      <c r="M48" s="33"/>
      <c r="N48" s="33"/>
      <c r="O48" s="33"/>
      <c r="P48" s="33"/>
      <c r="Q48" s="33"/>
      <c r="R48" s="33"/>
      <c r="S48" s="33"/>
      <c r="T48" s="33"/>
      <c r="U48" s="33"/>
      <c r="V48" s="33"/>
    </row>
    <row r="49" spans="1:22" x14ac:dyDescent="0.25">
      <c r="A49" s="33"/>
      <c r="B49" s="33"/>
      <c r="C49" s="33"/>
      <c r="D49" s="33"/>
      <c r="E49" s="39"/>
      <c r="F49" s="33"/>
      <c r="G49" s="32"/>
      <c r="H49" s="33"/>
      <c r="I49" s="33"/>
      <c r="J49" s="33"/>
      <c r="K49" s="33"/>
      <c r="L49" s="33"/>
      <c r="M49" s="33"/>
      <c r="N49" s="33"/>
      <c r="O49" s="33"/>
      <c r="P49" s="33"/>
      <c r="Q49" s="33"/>
      <c r="R49" s="33"/>
      <c r="S49" s="33"/>
      <c r="T49" s="33"/>
      <c r="U49" s="33"/>
      <c r="V49" s="33"/>
    </row>
    <row r="50" spans="1:22" x14ac:dyDescent="0.25">
      <c r="A50" s="33"/>
      <c r="B50" s="33"/>
      <c r="C50" s="33"/>
      <c r="D50" s="33"/>
      <c r="E50" s="39"/>
      <c r="F50" s="33"/>
      <c r="G50" s="125"/>
      <c r="H50" s="33"/>
      <c r="I50" s="33"/>
      <c r="J50" s="33"/>
      <c r="K50" s="33"/>
      <c r="L50" s="33"/>
      <c r="M50" s="33"/>
      <c r="N50" s="33"/>
      <c r="O50" s="33"/>
      <c r="P50" s="33"/>
      <c r="Q50" s="33"/>
      <c r="R50" s="33"/>
      <c r="S50" s="33"/>
      <c r="T50" s="33"/>
      <c r="U50" s="33"/>
      <c r="V50" s="33"/>
    </row>
    <row r="51" spans="1:22" x14ac:dyDescent="0.25">
      <c r="A51" s="33"/>
      <c r="B51" s="33"/>
      <c r="C51" s="33"/>
      <c r="D51" s="33"/>
      <c r="E51" s="39"/>
      <c r="F51" s="39"/>
      <c r="G51" s="39"/>
      <c r="H51" s="33"/>
      <c r="I51" s="33"/>
      <c r="J51" s="33"/>
      <c r="K51" s="33"/>
      <c r="L51" s="33"/>
      <c r="M51" s="33"/>
      <c r="N51" s="33"/>
      <c r="O51" s="33"/>
      <c r="P51" s="33"/>
      <c r="Q51" s="33"/>
      <c r="R51" s="33"/>
      <c r="S51" s="33"/>
      <c r="T51" s="33"/>
      <c r="U51" s="33"/>
      <c r="V51" s="33"/>
    </row>
    <row r="52" spans="1:22" x14ac:dyDescent="0.25">
      <c r="A52" s="33"/>
      <c r="B52" s="33"/>
      <c r="C52" s="33"/>
      <c r="D52" s="33"/>
      <c r="E52" s="39"/>
      <c r="F52" s="39"/>
      <c r="G52" s="39"/>
      <c r="H52" s="33"/>
      <c r="I52" s="33"/>
      <c r="J52" s="33"/>
      <c r="K52" s="33"/>
      <c r="L52" s="33"/>
      <c r="M52" s="33"/>
      <c r="N52" s="33"/>
      <c r="O52" s="33"/>
      <c r="P52" s="33"/>
      <c r="Q52" s="33"/>
      <c r="R52" s="33"/>
      <c r="S52" s="33"/>
      <c r="T52" s="33"/>
      <c r="U52" s="33"/>
      <c r="V52" s="33"/>
    </row>
    <row r="53" spans="1:22" x14ac:dyDescent="0.25">
      <c r="A53" s="33"/>
      <c r="B53" s="33"/>
      <c r="C53" s="32"/>
      <c r="D53" s="39"/>
      <c r="E53" s="39"/>
      <c r="F53" s="39"/>
      <c r="G53" s="39"/>
      <c r="H53" s="33"/>
      <c r="I53" s="33"/>
      <c r="J53" s="33"/>
      <c r="K53" s="33"/>
      <c r="L53" s="33"/>
      <c r="M53" s="33"/>
      <c r="N53" s="33"/>
      <c r="O53" s="33"/>
      <c r="P53" s="33"/>
      <c r="Q53" s="33"/>
      <c r="R53" s="33"/>
      <c r="S53" s="33"/>
      <c r="T53" s="33"/>
      <c r="U53" s="33"/>
      <c r="V53" s="33"/>
    </row>
    <row r="54" spans="1:22" x14ac:dyDescent="0.25">
      <c r="A54" s="33"/>
      <c r="B54" s="33"/>
      <c r="C54" s="32"/>
      <c r="D54" s="39"/>
      <c r="E54" s="39"/>
      <c r="F54" s="39"/>
      <c r="G54" s="39"/>
      <c r="H54" s="33"/>
      <c r="I54" s="33"/>
      <c r="J54" s="33"/>
      <c r="K54" s="33"/>
      <c r="L54" s="33"/>
      <c r="M54" s="33"/>
      <c r="N54" s="33"/>
      <c r="O54" s="33"/>
      <c r="P54" s="33"/>
      <c r="Q54" s="33"/>
      <c r="R54" s="33"/>
      <c r="S54" s="33"/>
      <c r="T54" s="33"/>
      <c r="U54" s="33"/>
      <c r="V54" s="33"/>
    </row>
    <row r="55" spans="1:22" x14ac:dyDescent="0.25">
      <c r="A55" s="33"/>
      <c r="B55" s="33"/>
      <c r="C55" s="32"/>
      <c r="D55" s="39"/>
      <c r="E55" s="39"/>
      <c r="F55" s="39"/>
      <c r="G55" s="39"/>
      <c r="H55" s="33"/>
      <c r="I55" s="33"/>
      <c r="J55" s="33"/>
      <c r="K55" s="33"/>
      <c r="L55" s="33"/>
      <c r="M55" s="33"/>
      <c r="N55" s="33"/>
      <c r="O55" s="33"/>
      <c r="P55" s="33"/>
      <c r="Q55" s="33"/>
      <c r="R55" s="33"/>
      <c r="S55" s="33"/>
      <c r="T55" s="33"/>
      <c r="U55" s="33"/>
      <c r="V55" s="33"/>
    </row>
    <row r="56" spans="1:22" x14ac:dyDescent="0.25">
      <c r="A56" s="33"/>
      <c r="B56" s="33"/>
      <c r="C56" s="32"/>
      <c r="D56" s="39"/>
      <c r="E56" s="39"/>
      <c r="F56" s="39"/>
      <c r="G56" s="39"/>
      <c r="H56" s="33"/>
      <c r="I56" s="33"/>
      <c r="J56" s="33"/>
      <c r="K56" s="33"/>
      <c r="L56" s="33"/>
      <c r="M56" s="33"/>
      <c r="N56" s="33"/>
      <c r="O56" s="33"/>
      <c r="P56" s="33"/>
      <c r="Q56" s="33"/>
      <c r="R56" s="33"/>
      <c r="S56" s="33"/>
      <c r="T56" s="33"/>
      <c r="U56" s="33"/>
      <c r="V56" s="33"/>
    </row>
    <row r="57" spans="1:22" x14ac:dyDescent="0.25">
      <c r="A57" s="33"/>
      <c r="B57" s="33"/>
      <c r="C57" s="32"/>
      <c r="D57" s="39"/>
      <c r="E57" s="39"/>
      <c r="F57" s="39"/>
      <c r="G57" s="39"/>
      <c r="H57" s="33"/>
      <c r="I57" s="33"/>
      <c r="J57" s="33"/>
      <c r="K57" s="33"/>
      <c r="L57" s="33"/>
      <c r="M57" s="33"/>
      <c r="N57" s="33"/>
      <c r="O57" s="33"/>
      <c r="P57" s="33"/>
      <c r="Q57" s="33"/>
      <c r="R57" s="33"/>
      <c r="S57" s="33"/>
      <c r="T57" s="33"/>
      <c r="U57" s="33"/>
      <c r="V57" s="33"/>
    </row>
    <row r="58" spans="1:22" x14ac:dyDescent="0.25">
      <c r="A58" s="33"/>
      <c r="B58" s="33"/>
      <c r="C58" s="32"/>
      <c r="D58" s="39"/>
      <c r="E58" s="39"/>
      <c r="F58" s="39"/>
      <c r="G58" s="39"/>
      <c r="H58" s="33"/>
      <c r="I58" s="33"/>
      <c r="J58" s="33"/>
      <c r="K58" s="33"/>
      <c r="L58" s="33"/>
      <c r="M58" s="33"/>
      <c r="N58" s="33"/>
      <c r="O58" s="33"/>
      <c r="P58" s="33"/>
      <c r="Q58" s="33"/>
      <c r="R58" s="33"/>
      <c r="S58" s="33"/>
      <c r="T58" s="33"/>
      <c r="U58" s="33"/>
      <c r="V58" s="33"/>
    </row>
    <row r="59" spans="1:22" x14ac:dyDescent="0.25">
      <c r="A59" s="33"/>
      <c r="B59" s="33"/>
      <c r="C59" s="32"/>
      <c r="D59" s="39"/>
      <c r="E59" s="39"/>
      <c r="F59" s="39"/>
      <c r="G59" s="39"/>
      <c r="H59" s="33"/>
      <c r="I59" s="33"/>
      <c r="J59" s="33"/>
      <c r="K59" s="33"/>
      <c r="L59" s="33"/>
      <c r="M59" s="33"/>
      <c r="N59" s="33"/>
      <c r="O59" s="33"/>
      <c r="P59" s="33"/>
      <c r="Q59" s="33"/>
      <c r="R59" s="33"/>
      <c r="S59" s="33"/>
      <c r="T59" s="33"/>
      <c r="U59" s="33"/>
      <c r="V59" s="33"/>
    </row>
    <row r="60" spans="1:22" x14ac:dyDescent="0.25">
      <c r="A60" s="33"/>
      <c r="B60" s="33"/>
      <c r="C60" s="32"/>
      <c r="D60" s="39"/>
      <c r="E60" s="39"/>
      <c r="F60" s="39"/>
      <c r="G60" s="39"/>
      <c r="H60" s="33"/>
      <c r="I60" s="33"/>
      <c r="J60" s="33"/>
      <c r="K60" s="33"/>
      <c r="L60" s="33"/>
      <c r="M60" s="33"/>
      <c r="N60" s="33"/>
      <c r="O60" s="33"/>
      <c r="P60" s="33"/>
      <c r="Q60" s="33"/>
      <c r="R60" s="33"/>
      <c r="S60" s="33"/>
      <c r="T60" s="33"/>
      <c r="U60" s="33"/>
      <c r="V60" s="33"/>
    </row>
    <row r="61" spans="1:22" x14ac:dyDescent="0.25">
      <c r="A61" s="33"/>
      <c r="B61" s="33"/>
      <c r="C61" s="32"/>
      <c r="D61" s="39"/>
      <c r="E61" s="39"/>
      <c r="F61" s="39"/>
      <c r="G61" s="39"/>
      <c r="H61" s="33"/>
      <c r="I61" s="33"/>
      <c r="J61" s="33"/>
      <c r="K61" s="33"/>
      <c r="L61" s="33"/>
      <c r="M61" s="33"/>
      <c r="N61" s="33"/>
      <c r="O61" s="33"/>
      <c r="P61" s="33"/>
      <c r="Q61" s="33"/>
      <c r="R61" s="33"/>
      <c r="S61" s="33"/>
      <c r="T61" s="33"/>
      <c r="U61" s="33"/>
      <c r="V61" s="33"/>
    </row>
    <row r="62" spans="1:22" x14ac:dyDescent="0.25">
      <c r="A62" s="33"/>
      <c r="B62" s="33"/>
      <c r="C62" s="32"/>
      <c r="D62" s="39"/>
      <c r="E62" s="39"/>
      <c r="F62" s="39"/>
      <c r="G62" s="39"/>
      <c r="H62" s="33"/>
      <c r="I62" s="33"/>
      <c r="J62" s="33"/>
      <c r="K62" s="33"/>
      <c r="L62" s="33"/>
      <c r="M62" s="33"/>
      <c r="N62" s="33"/>
      <c r="O62" s="33"/>
      <c r="P62" s="33"/>
      <c r="Q62" s="33"/>
      <c r="R62" s="33"/>
      <c r="S62" s="33"/>
      <c r="T62" s="33"/>
      <c r="U62" s="33"/>
      <c r="V62" s="33"/>
    </row>
    <row r="63" spans="1:22" x14ac:dyDescent="0.25">
      <c r="A63" s="33"/>
      <c r="B63" s="33"/>
      <c r="C63" s="32"/>
      <c r="D63" s="39"/>
      <c r="E63" s="39"/>
      <c r="F63" s="39"/>
      <c r="G63" s="39"/>
      <c r="H63" s="33"/>
      <c r="I63" s="33"/>
      <c r="J63" s="33"/>
      <c r="K63" s="33"/>
      <c r="L63" s="33"/>
      <c r="M63" s="33"/>
      <c r="N63" s="33"/>
      <c r="O63" s="33"/>
      <c r="P63" s="33"/>
      <c r="Q63" s="33"/>
      <c r="R63" s="33"/>
      <c r="S63" s="33"/>
      <c r="T63" s="33"/>
      <c r="U63" s="33"/>
      <c r="V63" s="33"/>
    </row>
    <row r="64" spans="1:22" x14ac:dyDescent="0.25">
      <c r="A64" s="33"/>
      <c r="B64" s="33"/>
      <c r="C64" s="32"/>
      <c r="D64" s="39"/>
      <c r="E64" s="39"/>
      <c r="F64" s="39"/>
      <c r="G64" s="39"/>
      <c r="H64" s="33"/>
      <c r="I64" s="33"/>
      <c r="J64" s="33"/>
      <c r="K64" s="33"/>
      <c r="L64" s="33"/>
      <c r="M64" s="33"/>
      <c r="N64" s="33"/>
      <c r="O64" s="33"/>
      <c r="P64" s="33"/>
      <c r="Q64" s="33"/>
      <c r="R64" s="33"/>
      <c r="S64" s="33"/>
      <c r="T64" s="33"/>
      <c r="U64" s="33"/>
      <c r="V64" s="33"/>
    </row>
    <row r="65" spans="1:7" x14ac:dyDescent="0.25">
      <c r="A65" s="33"/>
      <c r="B65" s="33"/>
      <c r="C65" s="32"/>
      <c r="D65" s="39"/>
      <c r="E65" s="39"/>
      <c r="F65" s="39"/>
      <c r="G65" s="39"/>
    </row>
    <row r="66" spans="1:7" x14ac:dyDescent="0.25">
      <c r="A66" s="33"/>
      <c r="B66" s="33"/>
      <c r="C66" s="32"/>
      <c r="D66" s="39"/>
      <c r="E66" s="39"/>
      <c r="F66" s="39"/>
      <c r="G66" s="39"/>
    </row>
    <row r="67" spans="1:7" x14ac:dyDescent="0.25">
      <c r="A67" s="33"/>
      <c r="B67" s="33"/>
      <c r="C67" s="32"/>
      <c r="D67" s="39"/>
      <c r="E67" s="39"/>
      <c r="F67" s="39"/>
      <c r="G67" s="39"/>
    </row>
    <row r="68" spans="1:7" x14ac:dyDescent="0.25">
      <c r="A68" s="33"/>
      <c r="B68" s="33"/>
      <c r="C68" s="32"/>
      <c r="D68" s="39"/>
      <c r="E68" s="39"/>
      <c r="F68" s="39"/>
      <c r="G68" s="39"/>
    </row>
    <row r="69" spans="1:7" x14ac:dyDescent="0.25">
      <c r="A69" s="33"/>
      <c r="B69" s="33"/>
      <c r="C69" s="32"/>
      <c r="D69" s="39"/>
      <c r="E69" s="39"/>
      <c r="F69" s="39"/>
      <c r="G69" s="39"/>
    </row>
    <row r="70" spans="1:7" x14ac:dyDescent="0.25">
      <c r="A70" s="33"/>
      <c r="B70" s="33"/>
      <c r="C70" s="33"/>
      <c r="D70" s="33"/>
      <c r="E70" s="33"/>
      <c r="F70" s="33"/>
      <c r="G70" s="33"/>
    </row>
  </sheetData>
  <mergeCells count="3">
    <mergeCell ref="C2:E2"/>
    <mergeCell ref="N5:P5"/>
    <mergeCell ref="R5:T5"/>
  </mergeCells>
  <phoneticPr fontId="59" type="noConversion"/>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5:Y59"/>
  <sheetViews>
    <sheetView topLeftCell="C16" zoomScale="85" zoomScaleNormal="85" workbookViewId="0">
      <selection activeCell="E21" sqref="E21"/>
    </sheetView>
  </sheetViews>
  <sheetFormatPr defaultRowHeight="12.5" x14ac:dyDescent="0.25"/>
  <cols>
    <col min="4" max="4" width="37.453125" customWidth="1"/>
    <col min="5" max="5" width="15.6328125" customWidth="1"/>
    <col min="9" max="9" width="13.36328125" customWidth="1"/>
    <col min="10" max="10" width="11.6328125" customWidth="1"/>
    <col min="11" max="11" width="11.453125" customWidth="1"/>
    <col min="12" max="12" width="15" customWidth="1"/>
    <col min="13" max="13" width="13.6328125" customWidth="1"/>
  </cols>
  <sheetData>
    <row r="5" spans="3:4" x14ac:dyDescent="0.25">
      <c r="C5" s="33" t="s">
        <v>304</v>
      </c>
      <c r="D5" s="33"/>
    </row>
    <row r="7" spans="3:4" x14ac:dyDescent="0.25">
      <c r="C7" s="33" t="s">
        <v>305</v>
      </c>
      <c r="D7" s="33"/>
    </row>
    <row r="8" spans="3:4" x14ac:dyDescent="0.25">
      <c r="C8" s="33" t="s">
        <v>306</v>
      </c>
      <c r="D8" s="33"/>
    </row>
    <row r="10" spans="3:4" x14ac:dyDescent="0.25">
      <c r="C10" s="33" t="s">
        <v>307</v>
      </c>
      <c r="D10" s="33"/>
    </row>
    <row r="11" spans="3:4" x14ac:dyDescent="0.25">
      <c r="C11" s="33" t="s">
        <v>368</v>
      </c>
      <c r="D11" s="33"/>
    </row>
    <row r="12" spans="3:4" x14ac:dyDescent="0.25">
      <c r="C12" s="33" t="s">
        <v>369</v>
      </c>
      <c r="D12" s="33"/>
    </row>
    <row r="13" spans="3:4" x14ac:dyDescent="0.25">
      <c r="C13" s="33" t="s">
        <v>370</v>
      </c>
      <c r="D13" s="33"/>
    </row>
    <row r="14" spans="3:4" x14ac:dyDescent="0.25">
      <c r="C14" s="33" t="s">
        <v>318</v>
      </c>
      <c r="D14" s="33" t="s">
        <v>319</v>
      </c>
    </row>
    <row r="15" spans="3:4" ht="12" customHeight="1" x14ac:dyDescent="0.25">
      <c r="C15" s="33"/>
      <c r="D15" s="33" t="s">
        <v>321</v>
      </c>
    </row>
    <row r="16" spans="3:4" ht="12" customHeight="1" x14ac:dyDescent="0.25">
      <c r="C16" s="33"/>
      <c r="D16" s="33"/>
    </row>
    <row r="17" spans="3:13" ht="12" customHeight="1" x14ac:dyDescent="0.25">
      <c r="C17" s="33"/>
      <c r="D17" s="33"/>
      <c r="E17" s="33"/>
      <c r="F17" s="33"/>
      <c r="G17" s="33"/>
      <c r="H17" s="33"/>
      <c r="I17" s="33"/>
      <c r="J17" s="33"/>
      <c r="K17" s="33"/>
      <c r="L17" s="33"/>
      <c r="M17" s="33"/>
    </row>
    <row r="18" spans="3:13" ht="12" customHeight="1" x14ac:dyDescent="0.25">
      <c r="C18" s="33"/>
      <c r="D18" s="82" t="s">
        <v>336</v>
      </c>
      <c r="E18" s="33"/>
      <c r="F18" s="33"/>
      <c r="G18" s="33"/>
      <c r="H18" s="33"/>
      <c r="I18" s="33"/>
      <c r="J18" s="33"/>
      <c r="K18" s="33"/>
      <c r="L18" s="33"/>
      <c r="M18" s="33"/>
    </row>
    <row r="19" spans="3:13" x14ac:dyDescent="0.25">
      <c r="C19" s="33"/>
      <c r="D19" s="33" t="s">
        <v>334</v>
      </c>
      <c r="E19" s="33">
        <f>SOA!H25</f>
        <v>55</v>
      </c>
      <c r="F19" s="33"/>
      <c r="G19" s="33"/>
      <c r="H19" s="33"/>
      <c r="I19" s="33"/>
      <c r="J19" s="33"/>
      <c r="K19" s="33"/>
      <c r="L19" s="33"/>
      <c r="M19" s="33"/>
    </row>
    <row r="20" spans="3:13" x14ac:dyDescent="0.25">
      <c r="C20" s="33"/>
      <c r="D20" s="33" t="s">
        <v>316</v>
      </c>
      <c r="E20" s="33">
        <v>1.3</v>
      </c>
      <c r="F20" s="33"/>
      <c r="G20" s="33"/>
      <c r="H20" s="33"/>
      <c r="I20" s="32" t="s">
        <v>325</v>
      </c>
      <c r="J20" s="33"/>
      <c r="K20" s="39"/>
      <c r="L20" s="39"/>
      <c r="M20" s="39"/>
    </row>
    <row r="21" spans="3:13" x14ac:dyDescent="0.25">
      <c r="C21" s="33"/>
      <c r="D21" s="33" t="s">
        <v>308</v>
      </c>
      <c r="E21" s="33">
        <f>1/2*COUTMAX*VINMAX^2*0.000001</f>
        <v>4.2349999999999994</v>
      </c>
      <c r="F21" s="33"/>
      <c r="G21" s="33"/>
      <c r="H21" s="33"/>
      <c r="I21" s="33"/>
      <c r="J21" s="82" t="s">
        <v>326</v>
      </c>
      <c r="K21" s="124" t="s">
        <v>327</v>
      </c>
      <c r="L21" s="124" t="s">
        <v>328</v>
      </c>
      <c r="M21" s="124" t="s">
        <v>329</v>
      </c>
    </row>
    <row r="22" spans="3:13" x14ac:dyDescent="0.25">
      <c r="C22" s="33"/>
      <c r="D22" s="33" t="s">
        <v>310</v>
      </c>
      <c r="E22" s="33">
        <f>MAX(Equations!F76-E21,0)</f>
        <v>3.5307737409440882</v>
      </c>
      <c r="F22" s="33"/>
      <c r="G22" s="33"/>
      <c r="H22" s="33"/>
      <c r="I22" s="32" t="s">
        <v>330</v>
      </c>
      <c r="J22" s="32">
        <v>0.1</v>
      </c>
      <c r="K22" s="32">
        <v>1</v>
      </c>
      <c r="L22" s="39">
        <v>10</v>
      </c>
      <c r="M22" s="32">
        <v>100</v>
      </c>
    </row>
    <row r="23" spans="3:13" x14ac:dyDescent="0.25">
      <c r="C23" s="33"/>
      <c r="D23" s="33" t="s">
        <v>311</v>
      </c>
      <c r="E23" s="33">
        <f>Equations!F75</f>
        <v>22</v>
      </c>
      <c r="F23" s="33"/>
      <c r="G23" s="33"/>
      <c r="H23" s="33"/>
      <c r="I23" s="32" t="s">
        <v>331</v>
      </c>
      <c r="J23" s="32">
        <v>1</v>
      </c>
      <c r="K23" s="32">
        <v>10</v>
      </c>
      <c r="L23" s="39">
        <v>100</v>
      </c>
      <c r="M23" s="32">
        <v>1000</v>
      </c>
    </row>
    <row r="24" spans="3:13" x14ac:dyDescent="0.25">
      <c r="C24" s="33"/>
      <c r="D24" s="33"/>
      <c r="E24" s="33"/>
      <c r="F24" s="33"/>
      <c r="G24" s="33"/>
      <c r="H24" s="33"/>
      <c r="I24" s="32" t="s">
        <v>145</v>
      </c>
      <c r="J24" s="32">
        <f>SOA!C33</f>
        <v>8.0000000000000018</v>
      </c>
      <c r="K24" s="32">
        <f>SOA!D33</f>
        <v>8</v>
      </c>
      <c r="L24" s="32">
        <f>SOA!E33</f>
        <v>2</v>
      </c>
      <c r="M24" s="32">
        <f>SOA!F33</f>
        <v>2</v>
      </c>
    </row>
    <row r="25" spans="3:13" x14ac:dyDescent="0.25">
      <c r="C25" s="33"/>
      <c r="D25" s="33" t="s">
        <v>152</v>
      </c>
      <c r="E25" s="33">
        <f>'Design Calculator'!F66</f>
        <v>6</v>
      </c>
      <c r="F25" s="33"/>
      <c r="G25" s="33"/>
      <c r="H25" s="33"/>
      <c r="I25" s="32" t="s">
        <v>146</v>
      </c>
      <c r="J25" s="39">
        <f>SOA!C34</f>
        <v>-1.0969100130080565</v>
      </c>
      <c r="K25" s="39">
        <f>SOA!D34</f>
        <v>-0.6020599913279624</v>
      </c>
      <c r="L25" s="39">
        <f>SOA!E34</f>
        <v>0</v>
      </c>
      <c r="M25" s="39">
        <f>SOA!F34</f>
        <v>0</v>
      </c>
    </row>
    <row r="26" spans="3:13" x14ac:dyDescent="0.25">
      <c r="C26" s="33"/>
      <c r="D26" s="33" t="s">
        <v>97</v>
      </c>
      <c r="E26" s="33" t="str">
        <f>'Design Calculator'!F67</f>
        <v>Resistive</v>
      </c>
      <c r="F26" s="33"/>
      <c r="G26" s="33"/>
      <c r="H26" s="33"/>
      <c r="I26" s="33"/>
      <c r="J26" s="33"/>
      <c r="K26" s="33"/>
      <c r="L26" s="33"/>
      <c r="M26" s="33"/>
    </row>
    <row r="27" spans="3:13" x14ac:dyDescent="0.25">
      <c r="C27" s="33"/>
      <c r="D27" s="33" t="s">
        <v>98</v>
      </c>
      <c r="E27" s="33">
        <f>'Design Calculator'!F68</f>
        <v>3</v>
      </c>
      <c r="F27" s="33"/>
      <c r="G27" s="33"/>
      <c r="H27" s="33"/>
      <c r="I27" s="122" t="s">
        <v>347</v>
      </c>
      <c r="J27" s="82" t="s">
        <v>111</v>
      </c>
      <c r="K27" s="33"/>
      <c r="L27" s="33"/>
      <c r="M27" s="33"/>
    </row>
    <row r="28" spans="3:13" x14ac:dyDescent="0.25">
      <c r="C28" s="33"/>
      <c r="D28" s="33"/>
      <c r="E28" s="33"/>
      <c r="F28" s="33"/>
      <c r="G28" s="33" t="s">
        <v>345</v>
      </c>
      <c r="H28" s="33"/>
      <c r="I28" s="77">
        <f>SUM(E58:X58)</f>
        <v>0</v>
      </c>
      <c r="J28" s="77" t="str">
        <f>IF(I28=0, "NA", I28/AVERAGE(1, E32))</f>
        <v>NA</v>
      </c>
      <c r="K28" s="33"/>
      <c r="L28" s="33"/>
      <c r="M28" s="33"/>
    </row>
    <row r="29" spans="3:13" x14ac:dyDescent="0.25">
      <c r="C29" s="33"/>
      <c r="D29" s="33" t="s">
        <v>366</v>
      </c>
      <c r="E29" s="33">
        <f>12/1</f>
        <v>12</v>
      </c>
      <c r="F29" s="33"/>
      <c r="G29" s="33" t="s">
        <v>346</v>
      </c>
      <c r="H29" s="33"/>
      <c r="I29" s="77">
        <f>SUM(E59:X59)</f>
        <v>0</v>
      </c>
      <c r="J29" s="77" t="str">
        <f>IF(I29=0, "NA", I29*AVERAGE(1,E32))</f>
        <v>NA</v>
      </c>
      <c r="K29" s="33"/>
      <c r="L29" s="33"/>
      <c r="M29" s="33"/>
    </row>
    <row r="30" spans="3:13" x14ac:dyDescent="0.25">
      <c r="C30" s="33"/>
      <c r="D30" s="33" t="s">
        <v>367</v>
      </c>
      <c r="E30" s="33">
        <v>0.06</v>
      </c>
      <c r="F30" s="33"/>
      <c r="G30" s="33"/>
      <c r="H30" s="33"/>
      <c r="I30" s="33"/>
      <c r="J30" s="33"/>
      <c r="K30" s="33"/>
      <c r="L30" s="33"/>
      <c r="M30" s="33"/>
    </row>
    <row r="31" spans="3:13" x14ac:dyDescent="0.25">
      <c r="C31" s="33"/>
      <c r="D31" s="33" t="s">
        <v>337</v>
      </c>
      <c r="E31" s="33">
        <v>20</v>
      </c>
      <c r="F31" s="33"/>
      <c r="G31" s="33"/>
      <c r="H31" s="33"/>
      <c r="I31" s="33"/>
      <c r="J31" s="33"/>
      <c r="K31" s="33"/>
      <c r="L31" s="33"/>
      <c r="M31" s="33"/>
    </row>
    <row r="32" spans="3:13" x14ac:dyDescent="0.25">
      <c r="C32" s="33"/>
      <c r="D32" s="33" t="s">
        <v>338</v>
      </c>
      <c r="E32" s="33">
        <f>(E30/E29)^(1/(E31-1))</f>
        <v>0.75664672755894302</v>
      </c>
      <c r="F32" s="33"/>
      <c r="G32" s="33"/>
      <c r="H32" s="33"/>
      <c r="I32" s="33"/>
      <c r="J32" s="33"/>
      <c r="K32" s="33"/>
      <c r="L32" s="33"/>
      <c r="M32" s="33"/>
    </row>
    <row r="33" spans="4:24" x14ac:dyDescent="0.25">
      <c r="D33" s="33"/>
      <c r="E33" s="33"/>
      <c r="F33" s="33"/>
      <c r="G33" s="33"/>
      <c r="H33" s="33"/>
      <c r="I33" s="33"/>
      <c r="J33" s="33"/>
      <c r="K33" s="33"/>
      <c r="L33" s="33"/>
      <c r="M33" s="33"/>
      <c r="N33" s="33"/>
      <c r="O33" s="33"/>
      <c r="P33" s="33"/>
      <c r="Q33" s="33"/>
      <c r="R33" s="33"/>
      <c r="S33" s="33"/>
      <c r="T33" s="33"/>
      <c r="U33" s="33"/>
      <c r="V33" s="33"/>
      <c r="W33" s="33"/>
      <c r="X33" s="33"/>
    </row>
    <row r="34" spans="4:24" x14ac:dyDescent="0.25">
      <c r="D34" s="33"/>
      <c r="E34" s="33">
        <v>1</v>
      </c>
      <c r="F34" s="33">
        <v>2</v>
      </c>
      <c r="G34" s="33">
        <v>3</v>
      </c>
      <c r="H34" s="33">
        <v>4</v>
      </c>
      <c r="I34" s="33">
        <v>5</v>
      </c>
      <c r="J34" s="33">
        <v>6</v>
      </c>
      <c r="K34" s="33">
        <v>7</v>
      </c>
      <c r="L34" s="33">
        <v>8</v>
      </c>
      <c r="M34" s="33">
        <v>9</v>
      </c>
      <c r="N34" s="33">
        <v>10</v>
      </c>
      <c r="O34" s="33">
        <v>11</v>
      </c>
      <c r="P34" s="33">
        <v>12</v>
      </c>
      <c r="Q34" s="33">
        <v>13</v>
      </c>
      <c r="R34" s="33">
        <v>14</v>
      </c>
      <c r="S34" s="33">
        <v>15</v>
      </c>
      <c r="T34" s="33">
        <v>16</v>
      </c>
      <c r="U34" s="33">
        <v>17</v>
      </c>
      <c r="V34" s="33">
        <v>18</v>
      </c>
      <c r="W34" s="33">
        <v>19</v>
      </c>
      <c r="X34" s="33">
        <v>20</v>
      </c>
    </row>
    <row r="35" spans="4:24" x14ac:dyDescent="0.25">
      <c r="D35" s="123" t="s">
        <v>309</v>
      </c>
      <c r="E35" s="123">
        <f>E29</f>
        <v>12</v>
      </c>
      <c r="F35" s="123">
        <f t="shared" ref="F35:X35" si="0">E35*$E$32</f>
        <v>9.0797607307073172</v>
      </c>
      <c r="G35" s="123">
        <f t="shared" si="0"/>
        <v>6.8701712439078886</v>
      </c>
      <c r="H35" s="123">
        <f t="shared" si="0"/>
        <v>5.198292589472457</v>
      </c>
      <c r="I35" s="123">
        <f t="shared" si="0"/>
        <v>3.9332710767182384</v>
      </c>
      <c r="J35" s="123">
        <f t="shared" si="0"/>
        <v>2.9760966888010953</v>
      </c>
      <c r="K35" s="123">
        <f t="shared" si="0"/>
        <v>2.2518538204803549</v>
      </c>
      <c r="L35" s="123">
        <f t="shared" si="0"/>
        <v>1.7038578242075642</v>
      </c>
      <c r="M35" s="123">
        <f t="shared" si="0"/>
        <v>1.2892184469123542</v>
      </c>
      <c r="N35" s="123">
        <f t="shared" si="0"/>
        <v>0.97548291896485573</v>
      </c>
      <c r="O35" s="123">
        <f t="shared" si="0"/>
        <v>0.73809595842440368</v>
      </c>
      <c r="P35" s="123">
        <f t="shared" si="0"/>
        <v>0.55847789156630667</v>
      </c>
      <c r="Q35" s="123">
        <f t="shared" si="0"/>
        <v>0.42257046906766416</v>
      </c>
      <c r="R35" s="123">
        <f t="shared" si="0"/>
        <v>0.31973656258309563</v>
      </c>
      <c r="S35" s="123">
        <f t="shared" si="0"/>
        <v>0.24192762375944449</v>
      </c>
      <c r="T35" s="123">
        <f t="shared" si="0"/>
        <v>0.18305374482369485</v>
      </c>
      <c r="U35" s="123">
        <f t="shared" si="0"/>
        <v>0.13850701698825851</v>
      </c>
      <c r="V35" s="123">
        <f t="shared" si="0"/>
        <v>0.10480088114811673</v>
      </c>
      <c r="W35" s="123">
        <f t="shared" si="0"/>
        <v>7.929724376601624E-2</v>
      </c>
      <c r="X35" s="123">
        <f t="shared" si="0"/>
        <v>5.9999999999999984E-2</v>
      </c>
    </row>
    <row r="36" spans="4:24" x14ac:dyDescent="0.25">
      <c r="D36" s="33" t="s">
        <v>312</v>
      </c>
      <c r="E36" s="33">
        <f t="shared" ref="E36:X36" si="1">VINMAX/E35</f>
        <v>4.583333333333333</v>
      </c>
      <c r="F36" s="33">
        <f t="shared" si="1"/>
        <v>6.057428343237353</v>
      </c>
      <c r="G36" s="33">
        <f t="shared" si="1"/>
        <v>8.0056228654811399</v>
      </c>
      <c r="H36" s="33">
        <f t="shared" si="1"/>
        <v>10.580397131047526</v>
      </c>
      <c r="I36" s="33">
        <f t="shared" si="1"/>
        <v>13.983272174032248</v>
      </c>
      <c r="J36" s="33">
        <f t="shared" si="1"/>
        <v>18.480582370513122</v>
      </c>
      <c r="K36" s="33">
        <f t="shared" si="1"/>
        <v>24.42432075287536</v>
      </c>
      <c r="L36" s="33">
        <f t="shared" si="1"/>
        <v>32.279688609335452</v>
      </c>
      <c r="M36" s="33">
        <f t="shared" si="1"/>
        <v>42.661505605759537</v>
      </c>
      <c r="N36" s="33">
        <f t="shared" si="1"/>
        <v>56.382330157419716</v>
      </c>
      <c r="O36" s="33">
        <f t="shared" si="1"/>
        <v>74.516056309815355</v>
      </c>
      <c r="P36" s="33">
        <f t="shared" si="1"/>
        <v>98.481964694693716</v>
      </c>
      <c r="Q36" s="33">
        <f t="shared" si="1"/>
        <v>130.15580601585557</v>
      </c>
      <c r="R36" s="33">
        <f t="shared" si="1"/>
        <v>172.01661128669377</v>
      </c>
      <c r="S36" s="33">
        <f t="shared" si="1"/>
        <v>227.34071928341703</v>
      </c>
      <c r="T36" s="33">
        <f t="shared" si="1"/>
        <v>300.45820724930991</v>
      </c>
      <c r="U36" s="33">
        <f t="shared" si="1"/>
        <v>397.09179502914606</v>
      </c>
      <c r="V36" s="33">
        <f t="shared" si="1"/>
        <v>524.80474779851932</v>
      </c>
      <c r="W36" s="33">
        <f t="shared" si="1"/>
        <v>693.59283359569793</v>
      </c>
      <c r="X36" s="33">
        <f t="shared" si="1"/>
        <v>916.66666666666686</v>
      </c>
    </row>
    <row r="37" spans="4:24" x14ac:dyDescent="0.25">
      <c r="D37" s="33" t="s">
        <v>313</v>
      </c>
      <c r="E37" s="33">
        <f t="shared" ref="E37:X37" si="2">E35*COUTMAX/1000</f>
        <v>33.6</v>
      </c>
      <c r="F37" s="33">
        <f t="shared" si="2"/>
        <v>25.423330045980489</v>
      </c>
      <c r="G37" s="33">
        <f t="shared" si="2"/>
        <v>19.236479482942091</v>
      </c>
      <c r="H37" s="33">
        <f t="shared" si="2"/>
        <v>14.55521925052288</v>
      </c>
      <c r="I37" s="33">
        <f t="shared" si="2"/>
        <v>11.013159014811068</v>
      </c>
      <c r="J37" s="33">
        <f t="shared" si="2"/>
        <v>8.333070728643067</v>
      </c>
      <c r="K37" s="33">
        <f t="shared" si="2"/>
        <v>6.3051906973449938</v>
      </c>
      <c r="L37" s="33">
        <f t="shared" si="2"/>
        <v>4.7708019077811796</v>
      </c>
      <c r="M37" s="33">
        <f t="shared" si="2"/>
        <v>3.6098116513545921</v>
      </c>
      <c r="N37" s="33">
        <f t="shared" si="2"/>
        <v>2.7313521731015964</v>
      </c>
      <c r="O37" s="33">
        <f t="shared" si="2"/>
        <v>2.0666686835883303</v>
      </c>
      <c r="P37" s="33">
        <f t="shared" si="2"/>
        <v>1.5637380963856589</v>
      </c>
      <c r="Q37" s="33">
        <f t="shared" si="2"/>
        <v>1.1831973133894595</v>
      </c>
      <c r="R37" s="33">
        <f t="shared" si="2"/>
        <v>0.89526237523266772</v>
      </c>
      <c r="S37" s="33">
        <f t="shared" si="2"/>
        <v>0.67739734652644457</v>
      </c>
      <c r="T37" s="33">
        <f t="shared" si="2"/>
        <v>0.51255048550634563</v>
      </c>
      <c r="U37" s="33">
        <f t="shared" si="2"/>
        <v>0.38781964756712389</v>
      </c>
      <c r="V37" s="33">
        <f t="shared" si="2"/>
        <v>0.29344246721472683</v>
      </c>
      <c r="W37" s="33">
        <f t="shared" si="2"/>
        <v>0.22203228254484547</v>
      </c>
      <c r="X37" s="33">
        <f t="shared" si="2"/>
        <v>0.16799999999999995</v>
      </c>
    </row>
    <row r="38" spans="4:24" x14ac:dyDescent="0.25">
      <c r="D38" s="33" t="s">
        <v>314</v>
      </c>
      <c r="E38" s="33">
        <f t="shared" ref="E38:X38" si="3">$E$21+$E$22*E36/$E$23</f>
        <v>4.9705778626966843</v>
      </c>
      <c r="F38" s="33">
        <f t="shared" si="3"/>
        <v>5.207154951452404</v>
      </c>
      <c r="G38" s="33">
        <f t="shared" si="3"/>
        <v>5.519820136061016</v>
      </c>
      <c r="H38" s="33">
        <f t="shared" si="3"/>
        <v>5.9330449254119433</v>
      </c>
      <c r="I38" s="33">
        <f t="shared" si="3"/>
        <v>6.4791713729339637</v>
      </c>
      <c r="J38" s="33">
        <f t="shared" si="3"/>
        <v>7.2009434068709979</v>
      </c>
      <c r="K38" s="33">
        <f t="shared" si="3"/>
        <v>8.1548522888476391</v>
      </c>
      <c r="L38" s="33">
        <f t="shared" si="3"/>
        <v>9.4155580412587998</v>
      </c>
      <c r="M38" s="33">
        <f t="shared" si="3"/>
        <v>11.081732897361581</v>
      </c>
      <c r="N38" s="33">
        <f t="shared" si="3"/>
        <v>13.283784126048067</v>
      </c>
      <c r="O38" s="33">
        <f t="shared" si="3"/>
        <v>16.194060677154866</v>
      </c>
      <c r="P38" s="33">
        <f t="shared" si="3"/>
        <v>20.04034249548215</v>
      </c>
      <c r="Q38" s="33">
        <f t="shared" si="3"/>
        <v>25.123668277827065</v>
      </c>
      <c r="R38" s="33">
        <f t="shared" si="3"/>
        <v>31.841897006238401</v>
      </c>
      <c r="S38" s="33">
        <f t="shared" si="3"/>
        <v>40.720847358783189</v>
      </c>
      <c r="T38" s="33">
        <f t="shared" si="3"/>
        <v>52.455452200318184</v>
      </c>
      <c r="U38" s="33">
        <f t="shared" si="3"/>
        <v>67.964149210602784</v>
      </c>
      <c r="V38" s="33">
        <f t="shared" si="3"/>
        <v>88.460764665899859</v>
      </c>
      <c r="W38" s="33">
        <f t="shared" si="3"/>
        <v>115.54951653484966</v>
      </c>
      <c r="X38" s="33">
        <f t="shared" si="3"/>
        <v>151.35057253933707</v>
      </c>
    </row>
    <row r="39" spans="4:24" x14ac:dyDescent="0.25">
      <c r="D39" s="33" t="s">
        <v>317</v>
      </c>
      <c r="E39" s="33">
        <f t="shared" ref="E39:X39" si="4">(E37+IF($E$26="Resistive",0,IF($E$25=0,$E$27,0)))*VINMAX</f>
        <v>1848</v>
      </c>
      <c r="F39" s="33">
        <f t="shared" si="4"/>
        <v>1398.2831525289268</v>
      </c>
      <c r="G39" s="33">
        <f t="shared" si="4"/>
        <v>1058.0063715618151</v>
      </c>
      <c r="H39" s="33">
        <f t="shared" si="4"/>
        <v>800.53705877875836</v>
      </c>
      <c r="I39" s="33">
        <f t="shared" si="4"/>
        <v>605.72374581460872</v>
      </c>
      <c r="J39" s="33">
        <f t="shared" si="4"/>
        <v>458.3188900753687</v>
      </c>
      <c r="K39" s="33">
        <f t="shared" si="4"/>
        <v>346.78548835397464</v>
      </c>
      <c r="L39" s="33">
        <f t="shared" si="4"/>
        <v>262.39410492796486</v>
      </c>
      <c r="M39" s="33">
        <f t="shared" si="4"/>
        <v>198.53964082450256</v>
      </c>
      <c r="N39" s="33">
        <f t="shared" si="4"/>
        <v>150.2243695205878</v>
      </c>
      <c r="O39" s="33">
        <f t="shared" si="4"/>
        <v>113.66677759735816</v>
      </c>
      <c r="P39" s="33">
        <f t="shared" si="4"/>
        <v>86.005595301211244</v>
      </c>
      <c r="Q39" s="33">
        <f t="shared" si="4"/>
        <v>65.075852236420275</v>
      </c>
      <c r="R39" s="33">
        <f t="shared" si="4"/>
        <v>49.239430637796723</v>
      </c>
      <c r="S39" s="33">
        <f t="shared" si="4"/>
        <v>37.256854058954453</v>
      </c>
      <c r="T39" s="33">
        <f t="shared" si="4"/>
        <v>28.190276702849008</v>
      </c>
      <c r="U39" s="33">
        <f t="shared" si="4"/>
        <v>21.330080616191815</v>
      </c>
      <c r="V39" s="33">
        <f t="shared" si="4"/>
        <v>16.139335696809976</v>
      </c>
      <c r="W39" s="33">
        <f t="shared" si="4"/>
        <v>12.211775539966501</v>
      </c>
      <c r="X39" s="33">
        <f t="shared" si="4"/>
        <v>9.2399999999999967</v>
      </c>
    </row>
    <row r="40" spans="4:24" x14ac:dyDescent="0.25">
      <c r="D40" s="33" t="s">
        <v>315</v>
      </c>
      <c r="E40" s="33">
        <f t="shared" ref="E40:X40" si="5">(E37+IF($E$26="Resistive", $E$25/$E$27,$E$27)) *(VINMAX-$E$25)</f>
        <v>1744.4</v>
      </c>
      <c r="F40" s="33">
        <f t="shared" si="5"/>
        <v>1343.7431722530439</v>
      </c>
      <c r="G40" s="33">
        <f t="shared" si="5"/>
        <v>1040.5874946641625</v>
      </c>
      <c r="H40" s="33">
        <f t="shared" si="5"/>
        <v>811.20574327562122</v>
      </c>
      <c r="I40" s="33">
        <f t="shared" si="5"/>
        <v>637.64479172574238</v>
      </c>
      <c r="J40" s="33">
        <f t="shared" si="5"/>
        <v>506.32046570351031</v>
      </c>
      <c r="K40" s="33">
        <f t="shared" si="5"/>
        <v>406.95434416990469</v>
      </c>
      <c r="L40" s="33">
        <f t="shared" si="5"/>
        <v>331.76929348127783</v>
      </c>
      <c r="M40" s="33">
        <f t="shared" si="5"/>
        <v>274.88077091637501</v>
      </c>
      <c r="N40" s="33">
        <f t="shared" si="5"/>
        <v>231.83625648197821</v>
      </c>
      <c r="O40" s="33">
        <f t="shared" si="5"/>
        <v>199.2667654958282</v>
      </c>
      <c r="P40" s="33">
        <f t="shared" si="5"/>
        <v>174.62316672289728</v>
      </c>
      <c r="Q40" s="33">
        <f t="shared" si="5"/>
        <v>155.97666835608351</v>
      </c>
      <c r="R40" s="33">
        <f t="shared" si="5"/>
        <v>141.86785638640072</v>
      </c>
      <c r="S40" s="33">
        <f t="shared" si="5"/>
        <v>131.19246997979579</v>
      </c>
      <c r="T40" s="33">
        <f t="shared" si="5"/>
        <v>123.11497378981093</v>
      </c>
      <c r="U40" s="33">
        <f t="shared" si="5"/>
        <v>117.00316273078907</v>
      </c>
      <c r="V40" s="33">
        <f t="shared" si="5"/>
        <v>112.3786808935216</v>
      </c>
      <c r="W40" s="33">
        <f t="shared" si="5"/>
        <v>108.87958184469743</v>
      </c>
      <c r="X40" s="33">
        <f t="shared" si="5"/>
        <v>106.23200000000001</v>
      </c>
    </row>
    <row r="41" spans="4:24" x14ac:dyDescent="0.25">
      <c r="D41" s="33" t="s">
        <v>320</v>
      </c>
      <c r="E41" s="33">
        <f t="shared" ref="E41:X41" si="6">IF($E$26="Resistive", -$E$27*E37/2 + VINMAX/2, -1)</f>
        <v>-22.900000000000006</v>
      </c>
      <c r="F41" s="33">
        <f t="shared" si="6"/>
        <v>-10.634995068970731</v>
      </c>
      <c r="G41" s="33">
        <f t="shared" si="6"/>
        <v>-1.3547192244131381</v>
      </c>
      <c r="H41" s="33">
        <f t="shared" si="6"/>
        <v>5.667171124215681</v>
      </c>
      <c r="I41" s="33">
        <f t="shared" si="6"/>
        <v>10.980261477783397</v>
      </c>
      <c r="J41" s="33">
        <f t="shared" si="6"/>
        <v>15.000393907035399</v>
      </c>
      <c r="K41" s="33">
        <f t="shared" si="6"/>
        <v>18.042213953982511</v>
      </c>
      <c r="L41" s="33">
        <f t="shared" si="6"/>
        <v>20.343797138328231</v>
      </c>
      <c r="M41" s="33">
        <f t="shared" si="6"/>
        <v>22.085282522968111</v>
      </c>
      <c r="N41" s="33">
        <f t="shared" si="6"/>
        <v>23.402971740347606</v>
      </c>
      <c r="O41" s="33">
        <f t="shared" si="6"/>
        <v>24.399996974617505</v>
      </c>
      <c r="P41" s="33">
        <f t="shared" si="6"/>
        <v>25.154392855421513</v>
      </c>
      <c r="Q41" s="33">
        <f t="shared" si="6"/>
        <v>25.725204029915812</v>
      </c>
      <c r="R41" s="33">
        <f t="shared" si="6"/>
        <v>26.157106437150997</v>
      </c>
      <c r="S41" s="33">
        <f t="shared" si="6"/>
        <v>26.483903980210332</v>
      </c>
      <c r="T41" s="33">
        <f t="shared" si="6"/>
        <v>26.731174271740482</v>
      </c>
      <c r="U41" s="33">
        <f t="shared" si="6"/>
        <v>26.918270528649312</v>
      </c>
      <c r="V41" s="33">
        <f t="shared" si="6"/>
        <v>27.05983629917791</v>
      </c>
      <c r="W41" s="33">
        <f t="shared" si="6"/>
        <v>27.166951576182733</v>
      </c>
      <c r="X41" s="33">
        <f t="shared" si="6"/>
        <v>27.248000000000001</v>
      </c>
    </row>
    <row r="42" spans="4:24" x14ac:dyDescent="0.25">
      <c r="D42" s="33" t="s">
        <v>322</v>
      </c>
      <c r="E42" s="33">
        <f t="shared" ref="E42:X42" si="7">IF(AND(E41&lt;VINMAX, E41&gt;$E$25), (VINMAX-E41)*(E37+E41/$E$27), 0)</f>
        <v>0</v>
      </c>
      <c r="F42" s="33">
        <f t="shared" si="7"/>
        <v>0</v>
      </c>
      <c r="G42" s="33">
        <f t="shared" si="7"/>
        <v>0</v>
      </c>
      <c r="H42" s="33">
        <f t="shared" si="7"/>
        <v>0</v>
      </c>
      <c r="I42" s="33">
        <f t="shared" si="7"/>
        <v>645.91245985477337</v>
      </c>
      <c r="J42" s="33">
        <f t="shared" si="7"/>
        <v>533.32282919744353</v>
      </c>
      <c r="K42" s="33">
        <f t="shared" si="7"/>
        <v>455.29264980773502</v>
      </c>
      <c r="L42" s="33">
        <f t="shared" si="7"/>
        <v>400.35079892978223</v>
      </c>
      <c r="M42" s="33">
        <f t="shared" si="7"/>
        <v>361.12620886427612</v>
      </c>
      <c r="N42" s="33">
        <f t="shared" si="7"/>
        <v>332.79073161375732</v>
      </c>
      <c r="O42" s="33">
        <f t="shared" si="7"/>
        <v>312.12006171780598</v>
      </c>
      <c r="P42" s="33">
        <f t="shared" si="7"/>
        <v>296.92008860950489</v>
      </c>
      <c r="Q42" s="33">
        <f t="shared" si="7"/>
        <v>285.6712263633525</v>
      </c>
      <c r="R42" s="33">
        <f t="shared" si="7"/>
        <v>277.30416969261211</v>
      </c>
      <c r="S42" s="33">
        <f t="shared" si="7"/>
        <v>271.05591073662134</v>
      </c>
      <c r="T42" s="33">
        <f t="shared" si="7"/>
        <v>266.37550268490241</v>
      </c>
      <c r="U42" s="33">
        <f t="shared" si="7"/>
        <v>262.86117670070854</v>
      </c>
      <c r="V42" s="33">
        <f t="shared" si="7"/>
        <v>260.21758254291211</v>
      </c>
      <c r="W42" s="33">
        <f t="shared" si="7"/>
        <v>258.22619485418562</v>
      </c>
      <c r="X42" s="33">
        <f t="shared" si="7"/>
        <v>256.72450133333331</v>
      </c>
    </row>
    <row r="44" spans="4:24" x14ac:dyDescent="0.25">
      <c r="D44" s="33" t="s">
        <v>323</v>
      </c>
      <c r="E44" s="33">
        <f t="shared" ref="E44:X44" si="8">MAX(E39,E40,E42)</f>
        <v>1848</v>
      </c>
      <c r="F44" s="33">
        <f t="shared" si="8"/>
        <v>1398.2831525289268</v>
      </c>
      <c r="G44" s="33">
        <f t="shared" si="8"/>
        <v>1058.0063715618151</v>
      </c>
      <c r="H44" s="33">
        <f t="shared" si="8"/>
        <v>811.20574327562122</v>
      </c>
      <c r="I44" s="33">
        <f t="shared" si="8"/>
        <v>645.91245985477337</v>
      </c>
      <c r="J44" s="33">
        <f t="shared" si="8"/>
        <v>533.32282919744353</v>
      </c>
      <c r="K44" s="33">
        <f t="shared" si="8"/>
        <v>455.29264980773502</v>
      </c>
      <c r="L44" s="33">
        <f t="shared" si="8"/>
        <v>400.35079892978223</v>
      </c>
      <c r="M44" s="33">
        <f t="shared" si="8"/>
        <v>361.12620886427612</v>
      </c>
      <c r="N44" s="33">
        <f t="shared" si="8"/>
        <v>332.79073161375732</v>
      </c>
      <c r="O44" s="33">
        <f t="shared" si="8"/>
        <v>312.12006171780598</v>
      </c>
      <c r="P44" s="33">
        <f t="shared" si="8"/>
        <v>296.92008860950489</v>
      </c>
      <c r="Q44" s="33">
        <f t="shared" si="8"/>
        <v>285.6712263633525</v>
      </c>
      <c r="R44" s="33">
        <f t="shared" si="8"/>
        <v>277.30416969261211</v>
      </c>
      <c r="S44" s="33">
        <f t="shared" si="8"/>
        <v>271.05591073662134</v>
      </c>
      <c r="T44" s="33">
        <f t="shared" si="8"/>
        <v>266.37550268490241</v>
      </c>
      <c r="U44" s="33">
        <f t="shared" si="8"/>
        <v>262.86117670070854</v>
      </c>
      <c r="V44" s="33">
        <f t="shared" si="8"/>
        <v>260.21758254291211</v>
      </c>
      <c r="W44" s="33">
        <f t="shared" si="8"/>
        <v>258.22619485418562</v>
      </c>
      <c r="X44" s="33">
        <f t="shared" si="8"/>
        <v>256.72450133333331</v>
      </c>
    </row>
    <row r="45" spans="4:24" x14ac:dyDescent="0.25">
      <c r="D45" s="33" t="s">
        <v>324</v>
      </c>
      <c r="E45" s="33">
        <f t="shared" ref="E45:X45" si="9">E38/E44*1000</f>
        <v>2.689706635658379</v>
      </c>
      <c r="F45" s="33">
        <f t="shared" si="9"/>
        <v>3.7239631629936851</v>
      </c>
      <c r="G45" s="33">
        <f t="shared" si="9"/>
        <v>5.2171898812979078</v>
      </c>
      <c r="H45" s="33">
        <f t="shared" si="9"/>
        <v>7.313859615261733</v>
      </c>
      <c r="I45" s="33">
        <f t="shared" si="9"/>
        <v>10.031036364263258</v>
      </c>
      <c r="J45" s="33">
        <f t="shared" si="9"/>
        <v>13.502034813899011</v>
      </c>
      <c r="K45" s="33">
        <f t="shared" si="9"/>
        <v>17.911232022505395</v>
      </c>
      <c r="L45" s="33">
        <f t="shared" si="9"/>
        <v>23.518269643593744</v>
      </c>
      <c r="M45" s="33">
        <f t="shared" si="9"/>
        <v>30.686592735024902</v>
      </c>
      <c r="N45" s="33">
        <f t="shared" si="9"/>
        <v>39.916328383404192</v>
      </c>
      <c r="O45" s="33">
        <f t="shared" si="9"/>
        <v>51.884074955092899</v>
      </c>
      <c r="P45" s="33">
        <f t="shared" si="9"/>
        <v>67.494060739818281</v>
      </c>
      <c r="Q45" s="33">
        <f t="shared" si="9"/>
        <v>87.946093128299978</v>
      </c>
      <c r="R45" s="33">
        <f t="shared" si="9"/>
        <v>114.82660733711545</v>
      </c>
      <c r="S45" s="33">
        <f t="shared" si="9"/>
        <v>150.23043492436761</v>
      </c>
      <c r="T45" s="33">
        <f t="shared" si="9"/>
        <v>196.92295902438195</v>
      </c>
      <c r="U45" s="33">
        <f t="shared" si="9"/>
        <v>258.55529547441</v>
      </c>
      <c r="V45" s="33">
        <f t="shared" si="9"/>
        <v>339.9492217299034</v>
      </c>
      <c r="W45" s="33">
        <f t="shared" si="9"/>
        <v>447.47403182739771</v>
      </c>
      <c r="X45" s="33">
        <f t="shared" si="9"/>
        <v>589.54471331437958</v>
      </c>
    </row>
    <row r="47" spans="4:24" x14ac:dyDescent="0.25">
      <c r="D47" s="33" t="s">
        <v>145</v>
      </c>
      <c r="E47" s="33">
        <f t="shared" ref="E47:X47" si="10">IF(E45&lt;$J$23,$J$24,IF(E45&lt;$K$23,$K$24,IF(E45&lt;$L$23,$L$24,$M$24)))</f>
        <v>8</v>
      </c>
      <c r="F47" s="33">
        <f t="shared" si="10"/>
        <v>8</v>
      </c>
      <c r="G47" s="33">
        <f t="shared" si="10"/>
        <v>8</v>
      </c>
      <c r="H47" s="33">
        <f t="shared" si="10"/>
        <v>8</v>
      </c>
      <c r="I47" s="33">
        <f t="shared" si="10"/>
        <v>2</v>
      </c>
      <c r="J47" s="33">
        <f t="shared" si="10"/>
        <v>2</v>
      </c>
      <c r="K47" s="33">
        <f t="shared" si="10"/>
        <v>2</v>
      </c>
      <c r="L47" s="33">
        <f t="shared" si="10"/>
        <v>2</v>
      </c>
      <c r="M47" s="33">
        <f t="shared" si="10"/>
        <v>2</v>
      </c>
      <c r="N47" s="33">
        <f t="shared" si="10"/>
        <v>2</v>
      </c>
      <c r="O47" s="33">
        <f t="shared" si="10"/>
        <v>2</v>
      </c>
      <c r="P47" s="33">
        <f t="shared" si="10"/>
        <v>2</v>
      </c>
      <c r="Q47" s="33">
        <f t="shared" si="10"/>
        <v>2</v>
      </c>
      <c r="R47" s="33">
        <f t="shared" si="10"/>
        <v>2</v>
      </c>
      <c r="S47" s="33">
        <f t="shared" si="10"/>
        <v>2</v>
      </c>
      <c r="T47" s="33">
        <f t="shared" si="10"/>
        <v>2</v>
      </c>
      <c r="U47" s="33">
        <f t="shared" si="10"/>
        <v>2</v>
      </c>
      <c r="V47" s="33">
        <f t="shared" si="10"/>
        <v>2</v>
      </c>
      <c r="W47" s="33">
        <f t="shared" si="10"/>
        <v>2</v>
      </c>
      <c r="X47" s="33">
        <f t="shared" si="10"/>
        <v>2</v>
      </c>
    </row>
    <row r="48" spans="4:24" x14ac:dyDescent="0.25">
      <c r="D48" s="33" t="s">
        <v>146</v>
      </c>
      <c r="E48" s="33">
        <f t="shared" ref="E48:X48" si="11">IF(E45&lt;$J$23,$J$25,IF(E45&lt;$K$23,$K$25,IF(E45&lt;$L$23,$L$25,$M$25)))</f>
        <v>-0.6020599913279624</v>
      </c>
      <c r="F48" s="33">
        <f t="shared" si="11"/>
        <v>-0.6020599913279624</v>
      </c>
      <c r="G48" s="33">
        <f t="shared" si="11"/>
        <v>-0.6020599913279624</v>
      </c>
      <c r="H48" s="33">
        <f t="shared" si="11"/>
        <v>-0.6020599913279624</v>
      </c>
      <c r="I48" s="33">
        <f t="shared" si="11"/>
        <v>0</v>
      </c>
      <c r="J48" s="33">
        <f t="shared" si="11"/>
        <v>0</v>
      </c>
      <c r="K48" s="33">
        <f t="shared" si="11"/>
        <v>0</v>
      </c>
      <c r="L48" s="33">
        <f t="shared" si="11"/>
        <v>0</v>
      </c>
      <c r="M48" s="33">
        <f t="shared" si="11"/>
        <v>0</v>
      </c>
      <c r="N48" s="33">
        <f t="shared" si="11"/>
        <v>0</v>
      </c>
      <c r="O48" s="33">
        <f t="shared" si="11"/>
        <v>0</v>
      </c>
      <c r="P48" s="33">
        <f t="shared" si="11"/>
        <v>0</v>
      </c>
      <c r="Q48" s="33">
        <f t="shared" si="11"/>
        <v>0</v>
      </c>
      <c r="R48" s="33">
        <f t="shared" si="11"/>
        <v>0</v>
      </c>
      <c r="S48" s="33">
        <f t="shared" si="11"/>
        <v>0</v>
      </c>
      <c r="T48" s="33">
        <f t="shared" si="11"/>
        <v>0</v>
      </c>
      <c r="U48" s="33">
        <f t="shared" si="11"/>
        <v>0</v>
      </c>
      <c r="V48" s="33">
        <f t="shared" si="11"/>
        <v>0</v>
      </c>
      <c r="W48" s="33">
        <f t="shared" si="11"/>
        <v>0</v>
      </c>
      <c r="X48" s="33">
        <f t="shared" si="11"/>
        <v>0</v>
      </c>
    </row>
    <row r="50" spans="4:25" x14ac:dyDescent="0.25">
      <c r="D50" s="33" t="s">
        <v>332</v>
      </c>
      <c r="E50" s="33">
        <f t="shared" ref="E50:X50" si="12">E47*E45^E48*VINMAX</f>
        <v>242.51831350395287</v>
      </c>
      <c r="F50" s="33">
        <f t="shared" si="12"/>
        <v>199.37614042490665</v>
      </c>
      <c r="G50" s="33">
        <f t="shared" si="12"/>
        <v>162.74691962090245</v>
      </c>
      <c r="H50" s="33">
        <f t="shared" si="12"/>
        <v>132.79587041797387</v>
      </c>
      <c r="I50" s="33">
        <f t="shared" si="12"/>
        <v>110</v>
      </c>
      <c r="J50" s="33">
        <f t="shared" si="12"/>
        <v>110</v>
      </c>
      <c r="K50" s="33">
        <f t="shared" si="12"/>
        <v>110</v>
      </c>
      <c r="L50" s="33">
        <f t="shared" si="12"/>
        <v>110</v>
      </c>
      <c r="M50" s="33">
        <f t="shared" si="12"/>
        <v>110</v>
      </c>
      <c r="N50" s="33">
        <f t="shared" si="12"/>
        <v>110</v>
      </c>
      <c r="O50" s="33">
        <f t="shared" si="12"/>
        <v>110</v>
      </c>
      <c r="P50" s="33">
        <f t="shared" si="12"/>
        <v>110</v>
      </c>
      <c r="Q50" s="33">
        <f t="shared" si="12"/>
        <v>110</v>
      </c>
      <c r="R50" s="33">
        <f t="shared" si="12"/>
        <v>110</v>
      </c>
      <c r="S50" s="33">
        <f t="shared" si="12"/>
        <v>110</v>
      </c>
      <c r="T50" s="33">
        <f t="shared" si="12"/>
        <v>110</v>
      </c>
      <c r="U50" s="33">
        <f t="shared" si="12"/>
        <v>110</v>
      </c>
      <c r="V50" s="33">
        <f t="shared" si="12"/>
        <v>110</v>
      </c>
      <c r="W50" s="33">
        <f t="shared" si="12"/>
        <v>110</v>
      </c>
      <c r="X50" s="33">
        <f t="shared" si="12"/>
        <v>110</v>
      </c>
      <c r="Y50" s="33"/>
    </row>
    <row r="51" spans="4:25" x14ac:dyDescent="0.25">
      <c r="D51" s="33" t="s">
        <v>333</v>
      </c>
      <c r="E51" s="33">
        <f t="shared" ref="E51:X51" si="13">E50*(TJMAX-$E$19)/(TJMAX - 25)</f>
        <v>194.01465080316228</v>
      </c>
      <c r="F51" s="33">
        <f t="shared" si="13"/>
        <v>159.50091233992532</v>
      </c>
      <c r="G51" s="33">
        <f t="shared" si="13"/>
        <v>130.19753569672196</v>
      </c>
      <c r="H51" s="33">
        <f t="shared" si="13"/>
        <v>106.23669633437909</v>
      </c>
      <c r="I51" s="33">
        <f t="shared" si="13"/>
        <v>88</v>
      </c>
      <c r="J51" s="33">
        <f t="shared" si="13"/>
        <v>88</v>
      </c>
      <c r="K51" s="33">
        <f t="shared" si="13"/>
        <v>88</v>
      </c>
      <c r="L51" s="33">
        <f t="shared" si="13"/>
        <v>88</v>
      </c>
      <c r="M51" s="33">
        <f t="shared" si="13"/>
        <v>88</v>
      </c>
      <c r="N51" s="33">
        <f t="shared" si="13"/>
        <v>88</v>
      </c>
      <c r="O51" s="33">
        <f t="shared" si="13"/>
        <v>88</v>
      </c>
      <c r="P51" s="33">
        <f t="shared" si="13"/>
        <v>88</v>
      </c>
      <c r="Q51" s="33">
        <f t="shared" si="13"/>
        <v>88</v>
      </c>
      <c r="R51" s="33">
        <f t="shared" si="13"/>
        <v>88</v>
      </c>
      <c r="S51" s="33">
        <f t="shared" si="13"/>
        <v>88</v>
      </c>
      <c r="T51" s="33">
        <f t="shared" si="13"/>
        <v>88</v>
      </c>
      <c r="U51" s="33">
        <f t="shared" si="13"/>
        <v>88</v>
      </c>
      <c r="V51" s="33">
        <f t="shared" si="13"/>
        <v>88</v>
      </c>
      <c r="W51" s="33">
        <f t="shared" si="13"/>
        <v>88</v>
      </c>
      <c r="X51" s="33">
        <f t="shared" si="13"/>
        <v>88</v>
      </c>
      <c r="Y51" s="33"/>
    </row>
    <row r="52" spans="4:25" x14ac:dyDescent="0.25">
      <c r="D52" s="33" t="s">
        <v>335</v>
      </c>
      <c r="E52" s="33">
        <f t="shared" ref="E52:X52" si="14">E51/E44</f>
        <v>0.1049862829021441</v>
      </c>
      <c r="F52" s="33">
        <f t="shared" si="14"/>
        <v>0.11406910828572374</v>
      </c>
      <c r="G52" s="33">
        <f t="shared" si="14"/>
        <v>0.12305931154698631</v>
      </c>
      <c r="H52" s="33">
        <f t="shared" si="14"/>
        <v>0.13096146965799196</v>
      </c>
      <c r="I52" s="33">
        <f t="shared" si="14"/>
        <v>0.13624137242961046</v>
      </c>
      <c r="J52" s="33">
        <f t="shared" si="14"/>
        <v>0.16500324978104616</v>
      </c>
      <c r="K52" s="33">
        <f t="shared" si="14"/>
        <v>0.19328227687655711</v>
      </c>
      <c r="L52" s="33">
        <f t="shared" si="14"/>
        <v>0.21980722964770297</v>
      </c>
      <c r="M52" s="33">
        <f t="shared" si="14"/>
        <v>0.24368211954694621</v>
      </c>
      <c r="N52" s="33">
        <f t="shared" si="14"/>
        <v>0.26443044123636927</v>
      </c>
      <c r="O52" s="33">
        <f t="shared" si="14"/>
        <v>0.28194278674583428</v>
      </c>
      <c r="P52" s="33">
        <f t="shared" si="14"/>
        <v>0.2963760398028622</v>
      </c>
      <c r="Q52" s="33">
        <f t="shared" si="14"/>
        <v>0.30804642497690882</v>
      </c>
      <c r="R52" s="33">
        <f t="shared" si="14"/>
        <v>0.31734106305558551</v>
      </c>
      <c r="S52" s="33">
        <f t="shared" si="14"/>
        <v>0.32465626652763729</v>
      </c>
      <c r="T52" s="33">
        <f t="shared" si="14"/>
        <v>0.33036070927323924</v>
      </c>
      <c r="U52" s="33">
        <f t="shared" si="14"/>
        <v>0.33477747115237194</v>
      </c>
      <c r="V52" s="33">
        <f t="shared" si="14"/>
        <v>0.33817853175039791</v>
      </c>
      <c r="W52" s="33">
        <f t="shared" si="14"/>
        <v>0.3407864955361774</v>
      </c>
      <c r="X52" s="33">
        <f t="shared" si="14"/>
        <v>0.34277990430582256</v>
      </c>
      <c r="Y52" s="33"/>
    </row>
    <row r="54" spans="4:25" x14ac:dyDescent="0.25">
      <c r="D54" s="33" t="s">
        <v>339</v>
      </c>
      <c r="E54" s="33" t="str">
        <f t="shared" ref="E54:X54" si="15">IF(E52&gt;$E$20, "Y", "N")</f>
        <v>N</v>
      </c>
      <c r="F54" s="33" t="str">
        <f t="shared" si="15"/>
        <v>N</v>
      </c>
      <c r="G54" s="33" t="str">
        <f t="shared" si="15"/>
        <v>N</v>
      </c>
      <c r="H54" s="33" t="str">
        <f t="shared" si="15"/>
        <v>N</v>
      </c>
      <c r="I54" s="33" t="str">
        <f t="shared" si="15"/>
        <v>N</v>
      </c>
      <c r="J54" s="33" t="str">
        <f t="shared" si="15"/>
        <v>N</v>
      </c>
      <c r="K54" s="33" t="str">
        <f t="shared" si="15"/>
        <v>N</v>
      </c>
      <c r="L54" s="33" t="str">
        <f t="shared" si="15"/>
        <v>N</v>
      </c>
      <c r="M54" s="33" t="str">
        <f t="shared" si="15"/>
        <v>N</v>
      </c>
      <c r="N54" s="33" t="str">
        <f t="shared" si="15"/>
        <v>N</v>
      </c>
      <c r="O54" s="33" t="str">
        <f t="shared" si="15"/>
        <v>N</v>
      </c>
      <c r="P54" s="33" t="str">
        <f t="shared" si="15"/>
        <v>N</v>
      </c>
      <c r="Q54" s="33" t="str">
        <f t="shared" si="15"/>
        <v>N</v>
      </c>
      <c r="R54" s="33" t="str">
        <f t="shared" si="15"/>
        <v>N</v>
      </c>
      <c r="S54" s="33" t="str">
        <f t="shared" si="15"/>
        <v>N</v>
      </c>
      <c r="T54" s="33" t="str">
        <f t="shared" si="15"/>
        <v>N</v>
      </c>
      <c r="U54" s="33" t="str">
        <f t="shared" si="15"/>
        <v>N</v>
      </c>
      <c r="V54" s="33" t="str">
        <f t="shared" si="15"/>
        <v>N</v>
      </c>
      <c r="W54" s="33" t="str">
        <f t="shared" si="15"/>
        <v>N</v>
      </c>
      <c r="X54" s="33" t="str">
        <f t="shared" si="15"/>
        <v>N</v>
      </c>
      <c r="Y54" s="33" t="s">
        <v>342</v>
      </c>
    </row>
    <row r="55" spans="4:25" x14ac:dyDescent="0.25">
      <c r="D55" s="33" t="s">
        <v>340</v>
      </c>
      <c r="E55" s="33">
        <f>IF(E54="Y", 1, 0)</f>
        <v>0</v>
      </c>
      <c r="F55" s="33">
        <f t="shared" ref="F55:X55" si="16">IF(AND(F54="Y", E54="N"),  1, 0)</f>
        <v>0</v>
      </c>
      <c r="G55" s="33">
        <f t="shared" si="16"/>
        <v>0</v>
      </c>
      <c r="H55" s="33">
        <f t="shared" si="16"/>
        <v>0</v>
      </c>
      <c r="I55" s="33">
        <f t="shared" si="16"/>
        <v>0</v>
      </c>
      <c r="J55" s="33">
        <f t="shared" si="16"/>
        <v>0</v>
      </c>
      <c r="K55" s="33">
        <f t="shared" si="16"/>
        <v>0</v>
      </c>
      <c r="L55" s="33">
        <f t="shared" si="16"/>
        <v>0</v>
      </c>
      <c r="M55" s="33">
        <f t="shared" si="16"/>
        <v>0</v>
      </c>
      <c r="N55" s="33">
        <f t="shared" si="16"/>
        <v>0</v>
      </c>
      <c r="O55" s="33">
        <f t="shared" si="16"/>
        <v>0</v>
      </c>
      <c r="P55" s="33">
        <f t="shared" si="16"/>
        <v>0</v>
      </c>
      <c r="Q55" s="33">
        <f t="shared" si="16"/>
        <v>0</v>
      </c>
      <c r="R55" s="33">
        <f t="shared" si="16"/>
        <v>0</v>
      </c>
      <c r="S55" s="33">
        <f t="shared" si="16"/>
        <v>0</v>
      </c>
      <c r="T55" s="33">
        <f t="shared" si="16"/>
        <v>0</v>
      </c>
      <c r="U55" s="33">
        <f t="shared" si="16"/>
        <v>0</v>
      </c>
      <c r="V55" s="33">
        <f t="shared" si="16"/>
        <v>0</v>
      </c>
      <c r="W55" s="33">
        <f t="shared" si="16"/>
        <v>0</v>
      </c>
      <c r="X55" s="33">
        <f t="shared" si="16"/>
        <v>0</v>
      </c>
      <c r="Y55" s="33"/>
    </row>
    <row r="56" spans="4:25" x14ac:dyDescent="0.25">
      <c r="D56" s="33" t="s">
        <v>341</v>
      </c>
      <c r="E56" s="33">
        <v>0</v>
      </c>
      <c r="F56" s="33">
        <f t="shared" ref="F56:X56" si="17">IF(AND(F54="Y", G54="N"),  1, 0)</f>
        <v>0</v>
      </c>
      <c r="G56" s="33">
        <f t="shared" si="17"/>
        <v>0</v>
      </c>
      <c r="H56" s="33">
        <f t="shared" si="17"/>
        <v>0</v>
      </c>
      <c r="I56" s="33">
        <f t="shared" si="17"/>
        <v>0</v>
      </c>
      <c r="J56" s="33">
        <f t="shared" si="17"/>
        <v>0</v>
      </c>
      <c r="K56" s="33">
        <f t="shared" si="17"/>
        <v>0</v>
      </c>
      <c r="L56" s="33">
        <f t="shared" si="17"/>
        <v>0</v>
      </c>
      <c r="M56" s="33">
        <f t="shared" si="17"/>
        <v>0</v>
      </c>
      <c r="N56" s="33">
        <f t="shared" si="17"/>
        <v>0</v>
      </c>
      <c r="O56" s="33">
        <f t="shared" si="17"/>
        <v>0</v>
      </c>
      <c r="P56" s="33">
        <f t="shared" si="17"/>
        <v>0</v>
      </c>
      <c r="Q56" s="33">
        <f t="shared" si="17"/>
        <v>0</v>
      </c>
      <c r="R56" s="33">
        <f t="shared" si="17"/>
        <v>0</v>
      </c>
      <c r="S56" s="33">
        <f t="shared" si="17"/>
        <v>0</v>
      </c>
      <c r="T56" s="33">
        <f t="shared" si="17"/>
        <v>0</v>
      </c>
      <c r="U56" s="33">
        <f t="shared" si="17"/>
        <v>0</v>
      </c>
      <c r="V56" s="33">
        <f t="shared" si="17"/>
        <v>0</v>
      </c>
      <c r="W56" s="33">
        <f t="shared" si="17"/>
        <v>0</v>
      </c>
      <c r="X56" s="33">
        <f t="shared" si="17"/>
        <v>0</v>
      </c>
      <c r="Y56" s="33"/>
    </row>
    <row r="58" spans="4:25" x14ac:dyDescent="0.25">
      <c r="D58" s="33" t="s">
        <v>343</v>
      </c>
      <c r="E58" s="33">
        <f t="shared" ref="E58:X58" si="18">E55*E35</f>
        <v>0</v>
      </c>
      <c r="F58" s="33">
        <f t="shared" si="18"/>
        <v>0</v>
      </c>
      <c r="G58" s="33">
        <f t="shared" si="18"/>
        <v>0</v>
      </c>
      <c r="H58" s="33">
        <f t="shared" si="18"/>
        <v>0</v>
      </c>
      <c r="I58" s="33">
        <f t="shared" si="18"/>
        <v>0</v>
      </c>
      <c r="J58" s="33">
        <f t="shared" si="18"/>
        <v>0</v>
      </c>
      <c r="K58" s="33">
        <f t="shared" si="18"/>
        <v>0</v>
      </c>
      <c r="L58" s="33">
        <f t="shared" si="18"/>
        <v>0</v>
      </c>
      <c r="M58" s="33">
        <f t="shared" si="18"/>
        <v>0</v>
      </c>
      <c r="N58" s="33">
        <f t="shared" si="18"/>
        <v>0</v>
      </c>
      <c r="O58" s="33">
        <f t="shared" si="18"/>
        <v>0</v>
      </c>
      <c r="P58" s="33">
        <f t="shared" si="18"/>
        <v>0</v>
      </c>
      <c r="Q58" s="33">
        <f t="shared" si="18"/>
        <v>0</v>
      </c>
      <c r="R58" s="33">
        <f t="shared" si="18"/>
        <v>0</v>
      </c>
      <c r="S58" s="33">
        <f t="shared" si="18"/>
        <v>0</v>
      </c>
      <c r="T58" s="33">
        <f t="shared" si="18"/>
        <v>0</v>
      </c>
      <c r="U58" s="33">
        <f t="shared" si="18"/>
        <v>0</v>
      </c>
      <c r="V58" s="33">
        <f t="shared" si="18"/>
        <v>0</v>
      </c>
      <c r="W58" s="33">
        <f t="shared" si="18"/>
        <v>0</v>
      </c>
      <c r="X58" s="33">
        <f t="shared" si="18"/>
        <v>0</v>
      </c>
      <c r="Y58" s="33"/>
    </row>
    <row r="59" spans="4:25" x14ac:dyDescent="0.25">
      <c r="D59" s="33" t="s">
        <v>344</v>
      </c>
      <c r="E59" s="33">
        <f t="shared" ref="E59:X59" si="19">E35*E56</f>
        <v>0</v>
      </c>
      <c r="F59" s="33">
        <f t="shared" si="19"/>
        <v>0</v>
      </c>
      <c r="G59" s="33">
        <f t="shared" si="19"/>
        <v>0</v>
      </c>
      <c r="H59" s="33">
        <f t="shared" si="19"/>
        <v>0</v>
      </c>
      <c r="I59" s="33">
        <f t="shared" si="19"/>
        <v>0</v>
      </c>
      <c r="J59" s="33">
        <f t="shared" si="19"/>
        <v>0</v>
      </c>
      <c r="K59" s="33">
        <f t="shared" si="19"/>
        <v>0</v>
      </c>
      <c r="L59" s="33">
        <f t="shared" si="19"/>
        <v>0</v>
      </c>
      <c r="M59" s="33">
        <f t="shared" si="19"/>
        <v>0</v>
      </c>
      <c r="N59" s="33">
        <f t="shared" si="19"/>
        <v>0</v>
      </c>
      <c r="O59" s="33">
        <f t="shared" si="19"/>
        <v>0</v>
      </c>
      <c r="P59" s="33">
        <f t="shared" si="19"/>
        <v>0</v>
      </c>
      <c r="Q59" s="33">
        <f t="shared" si="19"/>
        <v>0</v>
      </c>
      <c r="R59" s="33">
        <f t="shared" si="19"/>
        <v>0</v>
      </c>
      <c r="S59" s="33">
        <f t="shared" si="19"/>
        <v>0</v>
      </c>
      <c r="T59" s="33">
        <f t="shared" si="19"/>
        <v>0</v>
      </c>
      <c r="U59" s="33">
        <f t="shared" si="19"/>
        <v>0</v>
      </c>
      <c r="V59" s="33">
        <f t="shared" si="19"/>
        <v>0</v>
      </c>
      <c r="W59" s="33">
        <f t="shared" si="19"/>
        <v>0</v>
      </c>
      <c r="X59" s="33">
        <f t="shared" si="19"/>
        <v>0</v>
      </c>
      <c r="Y59" s="33"/>
    </row>
  </sheetData>
  <phoneticPr fontId="59"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AF2F6-198F-4983-9FCB-B284F1354979}">
  <sheetPr>
    <tabColor theme="7" tint="-0.499984740745262"/>
  </sheetPr>
  <dimension ref="A1:F75"/>
  <sheetViews>
    <sheetView workbookViewId="0">
      <pane xSplit="1" ySplit="3" topLeftCell="B4" activePane="bottomRight" state="frozen"/>
      <selection activeCell="D21" sqref="D21:D24"/>
      <selection pane="topRight" activeCell="D21" sqref="D21:D24"/>
      <selection pane="bottomLeft" activeCell="D21" sqref="D21:D24"/>
      <selection pane="bottomRight" activeCell="D21" sqref="D21:D24"/>
    </sheetView>
  </sheetViews>
  <sheetFormatPr defaultColWidth="8.90625" defaultRowHeight="14.5" x14ac:dyDescent="0.3"/>
  <cols>
    <col min="1" max="4" width="9.36328125" style="140" bestFit="1" customWidth="1"/>
    <col min="5" max="16384" width="8.90625" style="140"/>
  </cols>
  <sheetData>
    <row r="1" spans="1:4" ht="27.5" x14ac:dyDescent="0.6">
      <c r="A1" s="153" t="s">
        <v>423</v>
      </c>
      <c r="B1" s="153"/>
    </row>
    <row r="3" spans="1:4" x14ac:dyDescent="0.3">
      <c r="A3" s="154" t="s">
        <v>424</v>
      </c>
      <c r="B3" s="154" t="s">
        <v>85</v>
      </c>
      <c r="C3" s="154" t="s">
        <v>65</v>
      </c>
      <c r="D3" s="154" t="s">
        <v>425</v>
      </c>
    </row>
    <row r="4" spans="1:4" x14ac:dyDescent="0.3">
      <c r="A4" s="155">
        <v>1</v>
      </c>
      <c r="B4" s="155">
        <v>1</v>
      </c>
      <c r="C4" s="155">
        <v>1</v>
      </c>
      <c r="D4" s="155">
        <v>1</v>
      </c>
    </row>
    <row r="5" spans="1:4" x14ac:dyDescent="0.3">
      <c r="A5" s="155">
        <v>1.1000000000000001</v>
      </c>
      <c r="B5" s="155">
        <v>1.1000000000000001</v>
      </c>
      <c r="C5" s="155">
        <v>1</v>
      </c>
      <c r="D5" s="155"/>
    </row>
    <row r="6" spans="1:4" x14ac:dyDescent="0.3">
      <c r="A6" s="155">
        <v>1.2</v>
      </c>
      <c r="B6" s="155">
        <v>1.2</v>
      </c>
      <c r="C6" s="155">
        <v>1</v>
      </c>
      <c r="D6" s="155"/>
    </row>
    <row r="7" spans="1:4" x14ac:dyDescent="0.3">
      <c r="A7" s="155">
        <v>1.3</v>
      </c>
      <c r="B7" s="155">
        <v>1.3</v>
      </c>
      <c r="C7" s="155">
        <v>1</v>
      </c>
      <c r="D7" s="155"/>
    </row>
    <row r="8" spans="1:4" x14ac:dyDescent="0.3">
      <c r="A8" s="155">
        <v>1.5</v>
      </c>
      <c r="B8" s="155">
        <v>1.5</v>
      </c>
      <c r="C8" s="155">
        <v>1.5</v>
      </c>
      <c r="D8" s="155">
        <v>1.5</v>
      </c>
    </row>
    <row r="9" spans="1:4" x14ac:dyDescent="0.3">
      <c r="A9" s="155">
        <v>1.6</v>
      </c>
      <c r="B9" s="155">
        <v>1.6</v>
      </c>
      <c r="C9" s="155">
        <v>1.5</v>
      </c>
      <c r="D9" s="155"/>
    </row>
    <row r="10" spans="1:4" x14ac:dyDescent="0.3">
      <c r="A10" s="155">
        <v>1.8</v>
      </c>
      <c r="B10" s="155">
        <v>1.8</v>
      </c>
      <c r="C10" s="155">
        <v>1.5</v>
      </c>
      <c r="D10" s="155"/>
    </row>
    <row r="11" spans="1:4" x14ac:dyDescent="0.3">
      <c r="A11" s="155">
        <v>2</v>
      </c>
      <c r="B11" s="155">
        <v>2</v>
      </c>
      <c r="C11" s="155">
        <v>1.5</v>
      </c>
      <c r="D11" s="155"/>
    </row>
    <row r="12" spans="1:4" x14ac:dyDescent="0.3">
      <c r="A12" s="155">
        <v>2.2000000000000002</v>
      </c>
      <c r="B12" s="155">
        <v>2.2000000000000002</v>
      </c>
      <c r="C12" s="155">
        <v>2.2000000000000002</v>
      </c>
      <c r="D12" s="155">
        <v>2.2000000000000002</v>
      </c>
    </row>
    <row r="13" spans="1:4" x14ac:dyDescent="0.3">
      <c r="A13" s="155">
        <v>2.4</v>
      </c>
      <c r="B13" s="155">
        <v>2.4</v>
      </c>
      <c r="C13" s="155">
        <v>2.2000000000000002</v>
      </c>
      <c r="D13" s="155"/>
    </row>
    <row r="14" spans="1:4" x14ac:dyDescent="0.3">
      <c r="A14" s="155">
        <v>2.7</v>
      </c>
      <c r="B14" s="155">
        <v>2.7</v>
      </c>
      <c r="C14" s="155">
        <v>2.2000000000000002</v>
      </c>
      <c r="D14" s="155"/>
    </row>
    <row r="15" spans="1:4" x14ac:dyDescent="0.3">
      <c r="A15" s="155">
        <v>3</v>
      </c>
      <c r="B15" s="155">
        <v>3</v>
      </c>
      <c r="C15" s="155">
        <v>2.2000000000000002</v>
      </c>
      <c r="D15" s="155"/>
    </row>
    <row r="16" spans="1:4" x14ac:dyDescent="0.3">
      <c r="A16" s="155">
        <v>3.3</v>
      </c>
      <c r="B16" s="155">
        <v>3.3</v>
      </c>
      <c r="C16" s="155">
        <v>3.3</v>
      </c>
      <c r="D16" s="155">
        <v>3.3</v>
      </c>
    </row>
    <row r="17" spans="1:6" x14ac:dyDescent="0.3">
      <c r="A17" s="155">
        <v>3.6</v>
      </c>
      <c r="B17" s="155">
        <v>3.6</v>
      </c>
      <c r="C17" s="155">
        <f>C18</f>
        <v>4.7</v>
      </c>
      <c r="D17" s="155"/>
    </row>
    <row r="18" spans="1:6" x14ac:dyDescent="0.3">
      <c r="A18" s="155">
        <v>3.9</v>
      </c>
      <c r="B18" s="155">
        <v>3.9</v>
      </c>
      <c r="C18" s="155">
        <f>C19</f>
        <v>4.7</v>
      </c>
      <c r="D18" s="155"/>
    </row>
    <row r="19" spans="1:6" x14ac:dyDescent="0.3">
      <c r="A19" s="155">
        <v>4.3</v>
      </c>
      <c r="B19" s="155">
        <v>4.3</v>
      </c>
      <c r="C19" s="155">
        <f>C20</f>
        <v>4.7</v>
      </c>
      <c r="D19" s="155"/>
    </row>
    <row r="20" spans="1:6" x14ac:dyDescent="0.3">
      <c r="A20" s="155">
        <v>4.7</v>
      </c>
      <c r="B20" s="155">
        <v>4.7</v>
      </c>
      <c r="C20" s="155">
        <v>4.7</v>
      </c>
      <c r="D20" s="155">
        <v>4.7</v>
      </c>
    </row>
    <row r="21" spans="1:6" x14ac:dyDescent="0.3">
      <c r="A21" s="155">
        <v>5.0999999999999996</v>
      </c>
      <c r="B21" s="155">
        <v>5.0999999999999996</v>
      </c>
      <c r="C21" s="155">
        <f>C22</f>
        <v>6.8</v>
      </c>
      <c r="D21" s="155"/>
    </row>
    <row r="22" spans="1:6" x14ac:dyDescent="0.3">
      <c r="A22" s="155">
        <v>5.6</v>
      </c>
      <c r="B22" s="155">
        <v>5.6</v>
      </c>
      <c r="C22" s="155">
        <f>C23</f>
        <v>6.8</v>
      </c>
      <c r="D22" s="155"/>
    </row>
    <row r="23" spans="1:6" x14ac:dyDescent="0.3">
      <c r="A23" s="155">
        <v>6.2</v>
      </c>
      <c r="B23" s="155">
        <v>6.2</v>
      </c>
      <c r="C23" s="155">
        <f>C24</f>
        <v>6.8</v>
      </c>
      <c r="D23" s="155"/>
    </row>
    <row r="24" spans="1:6" x14ac:dyDescent="0.3">
      <c r="A24" s="155">
        <v>6.8</v>
      </c>
      <c r="B24" s="155">
        <v>6.8</v>
      </c>
      <c r="C24" s="155">
        <v>6.8</v>
      </c>
      <c r="D24" s="155">
        <v>6.8</v>
      </c>
    </row>
    <row r="25" spans="1:6" x14ac:dyDescent="0.3">
      <c r="A25" s="155">
        <v>7.5</v>
      </c>
      <c r="B25" s="155">
        <v>7.5</v>
      </c>
      <c r="C25" s="155">
        <f>C26</f>
        <v>10</v>
      </c>
      <c r="D25" s="155"/>
    </row>
    <row r="26" spans="1:6" x14ac:dyDescent="0.3">
      <c r="A26" s="155">
        <v>8.1999999999999993</v>
      </c>
      <c r="B26" s="155">
        <v>8.1999999999999993</v>
      </c>
      <c r="C26" s="155">
        <f>C27</f>
        <v>10</v>
      </c>
      <c r="D26" s="155"/>
    </row>
    <row r="27" spans="1:6" x14ac:dyDescent="0.3">
      <c r="A27" s="155">
        <v>9.1</v>
      </c>
      <c r="B27" s="155">
        <v>9.1</v>
      </c>
      <c r="C27" s="155">
        <f>C28</f>
        <v>10</v>
      </c>
      <c r="D27" s="155"/>
    </row>
    <row r="28" spans="1:6" x14ac:dyDescent="0.3">
      <c r="A28" s="155">
        <v>10</v>
      </c>
      <c r="B28" s="155">
        <v>10</v>
      </c>
      <c r="C28" s="155">
        <v>10</v>
      </c>
      <c r="D28" s="155">
        <v>10</v>
      </c>
    </row>
    <row r="29" spans="1:6" x14ac:dyDescent="0.3">
      <c r="A29" s="155">
        <v>11</v>
      </c>
      <c r="B29" s="155">
        <f t="shared" ref="B29:C31" si="0">B30</f>
        <v>15</v>
      </c>
      <c r="C29" s="155">
        <f t="shared" si="0"/>
        <v>15</v>
      </c>
      <c r="D29" s="155"/>
    </row>
    <row r="30" spans="1:6" x14ac:dyDescent="0.3">
      <c r="A30" s="155">
        <v>12</v>
      </c>
      <c r="B30" s="155">
        <f t="shared" si="0"/>
        <v>15</v>
      </c>
      <c r="C30" s="155">
        <f t="shared" si="0"/>
        <v>15</v>
      </c>
      <c r="D30" s="155"/>
    </row>
    <row r="31" spans="1:6" x14ac:dyDescent="0.3">
      <c r="A31" s="155">
        <v>13</v>
      </c>
      <c r="B31" s="155">
        <f t="shared" si="0"/>
        <v>15</v>
      </c>
      <c r="C31" s="155">
        <f t="shared" si="0"/>
        <v>15</v>
      </c>
      <c r="D31" s="155"/>
    </row>
    <row r="32" spans="1:6" x14ac:dyDescent="0.3">
      <c r="A32" s="155">
        <v>15</v>
      </c>
      <c r="B32" s="155">
        <v>15</v>
      </c>
      <c r="C32" s="155">
        <v>15</v>
      </c>
      <c r="D32" s="155"/>
      <c r="F32" s="156"/>
    </row>
    <row r="33" spans="1:4" x14ac:dyDescent="0.3">
      <c r="A33" s="155">
        <v>16</v>
      </c>
      <c r="B33" s="155">
        <f t="shared" ref="B33:C35" si="1">B34</f>
        <v>22</v>
      </c>
      <c r="C33" s="155">
        <f t="shared" si="1"/>
        <v>22</v>
      </c>
      <c r="D33" s="155"/>
    </row>
    <row r="34" spans="1:4" x14ac:dyDescent="0.3">
      <c r="A34" s="155">
        <v>18</v>
      </c>
      <c r="B34" s="155">
        <f t="shared" si="1"/>
        <v>22</v>
      </c>
      <c r="C34" s="155">
        <f t="shared" si="1"/>
        <v>22</v>
      </c>
      <c r="D34" s="155"/>
    </row>
    <row r="35" spans="1:4" x14ac:dyDescent="0.3">
      <c r="A35" s="155">
        <v>20</v>
      </c>
      <c r="B35" s="155">
        <f t="shared" si="1"/>
        <v>22</v>
      </c>
      <c r="C35" s="155">
        <f t="shared" si="1"/>
        <v>22</v>
      </c>
      <c r="D35" s="155"/>
    </row>
    <row r="36" spans="1:4" x14ac:dyDescent="0.3">
      <c r="A36" s="155">
        <v>22</v>
      </c>
      <c r="B36" s="155">
        <v>22</v>
      </c>
      <c r="C36" s="155">
        <v>22</v>
      </c>
      <c r="D36" s="155"/>
    </row>
    <row r="37" spans="1:4" x14ac:dyDescent="0.3">
      <c r="A37" s="155">
        <v>24</v>
      </c>
      <c r="B37" s="155">
        <f t="shared" ref="B37:C39" si="2">B38</f>
        <v>33</v>
      </c>
      <c r="C37" s="155">
        <f t="shared" si="2"/>
        <v>33</v>
      </c>
      <c r="D37" s="155"/>
    </row>
    <row r="38" spans="1:4" x14ac:dyDescent="0.3">
      <c r="A38" s="155">
        <v>27</v>
      </c>
      <c r="B38" s="155">
        <f t="shared" si="2"/>
        <v>33</v>
      </c>
      <c r="C38" s="155">
        <f t="shared" si="2"/>
        <v>33</v>
      </c>
      <c r="D38" s="155"/>
    </row>
    <row r="39" spans="1:4" x14ac:dyDescent="0.3">
      <c r="A39" s="155">
        <v>30</v>
      </c>
      <c r="B39" s="155">
        <f t="shared" si="2"/>
        <v>33</v>
      </c>
      <c r="C39" s="155">
        <f t="shared" si="2"/>
        <v>33</v>
      </c>
      <c r="D39" s="155"/>
    </row>
    <row r="40" spans="1:4" x14ac:dyDescent="0.3">
      <c r="A40" s="155">
        <v>33</v>
      </c>
      <c r="B40" s="155">
        <v>33</v>
      </c>
      <c r="C40" s="155">
        <v>33</v>
      </c>
      <c r="D40" s="155"/>
    </row>
    <row r="41" spans="1:4" x14ac:dyDescent="0.3">
      <c r="A41" s="155">
        <v>36</v>
      </c>
      <c r="B41" s="155">
        <f t="shared" ref="B41:C43" si="3">B42</f>
        <v>47</v>
      </c>
      <c r="C41" s="155">
        <f t="shared" si="3"/>
        <v>47</v>
      </c>
      <c r="D41" s="155"/>
    </row>
    <row r="42" spans="1:4" x14ac:dyDescent="0.3">
      <c r="A42" s="155">
        <v>39</v>
      </c>
      <c r="B42" s="155">
        <f t="shared" si="3"/>
        <v>47</v>
      </c>
      <c r="C42" s="155">
        <f t="shared" si="3"/>
        <v>47</v>
      </c>
      <c r="D42" s="155"/>
    </row>
    <row r="43" spans="1:4" x14ac:dyDescent="0.3">
      <c r="A43" s="155">
        <v>43</v>
      </c>
      <c r="B43" s="155">
        <f t="shared" si="3"/>
        <v>47</v>
      </c>
      <c r="C43" s="155">
        <f t="shared" si="3"/>
        <v>47</v>
      </c>
      <c r="D43" s="155"/>
    </row>
    <row r="44" spans="1:4" x14ac:dyDescent="0.3">
      <c r="A44" s="155">
        <v>47</v>
      </c>
      <c r="B44" s="155">
        <v>47</v>
      </c>
      <c r="C44" s="155">
        <v>47</v>
      </c>
      <c r="D44" s="155"/>
    </row>
    <row r="45" spans="1:4" x14ac:dyDescent="0.3">
      <c r="A45" s="155">
        <v>51</v>
      </c>
      <c r="B45" s="155">
        <f t="shared" ref="B45:C47" si="4">B46</f>
        <v>68</v>
      </c>
      <c r="C45" s="155">
        <f t="shared" si="4"/>
        <v>68</v>
      </c>
      <c r="D45" s="155"/>
    </row>
    <row r="46" spans="1:4" x14ac:dyDescent="0.3">
      <c r="A46" s="155">
        <v>56</v>
      </c>
      <c r="B46" s="155">
        <f t="shared" si="4"/>
        <v>68</v>
      </c>
      <c r="C46" s="155">
        <f t="shared" si="4"/>
        <v>68</v>
      </c>
      <c r="D46" s="155"/>
    </row>
    <row r="47" spans="1:4" x14ac:dyDescent="0.3">
      <c r="A47" s="155">
        <v>62</v>
      </c>
      <c r="B47" s="155">
        <f t="shared" si="4"/>
        <v>68</v>
      </c>
      <c r="C47" s="155">
        <f t="shared" si="4"/>
        <v>68</v>
      </c>
      <c r="D47" s="155"/>
    </row>
    <row r="48" spans="1:4" x14ac:dyDescent="0.3">
      <c r="A48" s="155">
        <v>68</v>
      </c>
      <c r="B48" s="155">
        <v>68</v>
      </c>
      <c r="C48" s="155">
        <v>68</v>
      </c>
      <c r="D48" s="155"/>
    </row>
    <row r="49" spans="1:4" x14ac:dyDescent="0.3">
      <c r="A49" s="155">
        <v>75</v>
      </c>
      <c r="B49" s="155">
        <f t="shared" ref="B49:C51" si="5">B50</f>
        <v>100</v>
      </c>
      <c r="C49" s="155">
        <f t="shared" si="5"/>
        <v>100</v>
      </c>
      <c r="D49" s="155"/>
    </row>
    <row r="50" spans="1:4" x14ac:dyDescent="0.3">
      <c r="A50" s="155">
        <v>82</v>
      </c>
      <c r="B50" s="155">
        <f t="shared" si="5"/>
        <v>100</v>
      </c>
      <c r="C50" s="155">
        <f t="shared" si="5"/>
        <v>100</v>
      </c>
      <c r="D50" s="155"/>
    </row>
    <row r="51" spans="1:4" x14ac:dyDescent="0.3">
      <c r="A51" s="155">
        <v>91</v>
      </c>
      <c r="B51" s="155">
        <f t="shared" si="5"/>
        <v>100</v>
      </c>
      <c r="C51" s="155">
        <f t="shared" si="5"/>
        <v>100</v>
      </c>
      <c r="D51" s="155"/>
    </row>
    <row r="52" spans="1:4" x14ac:dyDescent="0.3">
      <c r="A52" s="155">
        <v>100</v>
      </c>
      <c r="B52" s="155">
        <v>100</v>
      </c>
      <c r="C52" s="155">
        <v>100</v>
      </c>
    </row>
    <row r="53" spans="1:4" x14ac:dyDescent="0.3">
      <c r="A53" s="155">
        <v>110</v>
      </c>
      <c r="B53" s="155">
        <f t="shared" ref="B53:C55" si="6">B54</f>
        <v>150</v>
      </c>
      <c r="C53" s="155">
        <f t="shared" si="6"/>
        <v>150</v>
      </c>
    </row>
    <row r="54" spans="1:4" x14ac:dyDescent="0.3">
      <c r="A54" s="155">
        <v>120</v>
      </c>
      <c r="B54" s="155">
        <f t="shared" si="6"/>
        <v>150</v>
      </c>
      <c r="C54" s="155">
        <f t="shared" si="6"/>
        <v>150</v>
      </c>
    </row>
    <row r="55" spans="1:4" x14ac:dyDescent="0.3">
      <c r="A55" s="155">
        <v>130</v>
      </c>
      <c r="B55" s="155">
        <f t="shared" si="6"/>
        <v>150</v>
      </c>
      <c r="C55" s="155">
        <f t="shared" si="6"/>
        <v>150</v>
      </c>
    </row>
    <row r="56" spans="1:4" x14ac:dyDescent="0.3">
      <c r="A56" s="155">
        <v>150</v>
      </c>
      <c r="B56" s="155">
        <v>150</v>
      </c>
      <c r="C56" s="155">
        <v>150</v>
      </c>
    </row>
    <row r="57" spans="1:4" x14ac:dyDescent="0.3">
      <c r="A57" s="155">
        <v>160</v>
      </c>
      <c r="B57" s="155">
        <f t="shared" ref="B57:C59" si="7">B58</f>
        <v>220</v>
      </c>
      <c r="C57" s="155">
        <f t="shared" si="7"/>
        <v>220</v>
      </c>
    </row>
    <row r="58" spans="1:4" x14ac:dyDescent="0.3">
      <c r="A58" s="155">
        <v>180</v>
      </c>
      <c r="B58" s="155">
        <f t="shared" si="7"/>
        <v>220</v>
      </c>
      <c r="C58" s="155">
        <f t="shared" si="7"/>
        <v>220</v>
      </c>
    </row>
    <row r="59" spans="1:4" x14ac:dyDescent="0.3">
      <c r="A59" s="155">
        <v>200</v>
      </c>
      <c r="B59" s="155">
        <f t="shared" si="7"/>
        <v>220</v>
      </c>
      <c r="C59" s="155">
        <f t="shared" si="7"/>
        <v>220</v>
      </c>
    </row>
    <row r="60" spans="1:4" x14ac:dyDescent="0.3">
      <c r="A60" s="155">
        <v>220</v>
      </c>
      <c r="B60" s="155">
        <v>220</v>
      </c>
      <c r="C60" s="155">
        <v>220</v>
      </c>
    </row>
    <row r="61" spans="1:4" x14ac:dyDescent="0.3">
      <c r="A61" s="155">
        <v>240</v>
      </c>
      <c r="B61" s="155">
        <f t="shared" ref="B61:C63" si="8">B62</f>
        <v>330</v>
      </c>
      <c r="C61" s="155">
        <f t="shared" si="8"/>
        <v>330</v>
      </c>
    </row>
    <row r="62" spans="1:4" x14ac:dyDescent="0.3">
      <c r="A62" s="155">
        <v>270</v>
      </c>
      <c r="B62" s="155">
        <f t="shared" si="8"/>
        <v>330</v>
      </c>
      <c r="C62" s="155">
        <f t="shared" si="8"/>
        <v>330</v>
      </c>
    </row>
    <row r="63" spans="1:4" x14ac:dyDescent="0.3">
      <c r="A63" s="155">
        <v>300</v>
      </c>
      <c r="B63" s="155">
        <f t="shared" si="8"/>
        <v>330</v>
      </c>
      <c r="C63" s="155">
        <f t="shared" si="8"/>
        <v>330</v>
      </c>
    </row>
    <row r="64" spans="1:4" x14ac:dyDescent="0.3">
      <c r="A64" s="155">
        <v>330</v>
      </c>
      <c r="B64" s="155">
        <v>330</v>
      </c>
      <c r="C64" s="155">
        <v>330</v>
      </c>
    </row>
    <row r="65" spans="1:3" x14ac:dyDescent="0.3">
      <c r="A65" s="155">
        <v>360</v>
      </c>
      <c r="B65" s="155">
        <f t="shared" ref="B65:C67" si="9">B66</f>
        <v>470</v>
      </c>
      <c r="C65" s="155">
        <f t="shared" si="9"/>
        <v>470</v>
      </c>
    </row>
    <row r="66" spans="1:3" x14ac:dyDescent="0.3">
      <c r="A66" s="155">
        <v>390</v>
      </c>
      <c r="B66" s="155">
        <f t="shared" si="9"/>
        <v>470</v>
      </c>
      <c r="C66" s="155">
        <f t="shared" si="9"/>
        <v>470</v>
      </c>
    </row>
    <row r="67" spans="1:3" x14ac:dyDescent="0.3">
      <c r="A67" s="155">
        <v>430</v>
      </c>
      <c r="B67" s="155">
        <f t="shared" si="9"/>
        <v>470</v>
      </c>
      <c r="C67" s="155">
        <f t="shared" si="9"/>
        <v>470</v>
      </c>
    </row>
    <row r="68" spans="1:3" x14ac:dyDescent="0.3">
      <c r="A68" s="155">
        <v>470</v>
      </c>
      <c r="B68" s="155">
        <v>470</v>
      </c>
      <c r="C68" s="155">
        <v>470</v>
      </c>
    </row>
    <row r="69" spans="1:3" x14ac:dyDescent="0.3">
      <c r="A69" s="155">
        <v>510</v>
      </c>
      <c r="B69" s="155">
        <f t="shared" ref="B69:C71" si="10">B70</f>
        <v>680</v>
      </c>
      <c r="C69" s="155">
        <f t="shared" si="10"/>
        <v>680</v>
      </c>
    </row>
    <row r="70" spans="1:3" x14ac:dyDescent="0.3">
      <c r="A70" s="155">
        <v>560</v>
      </c>
      <c r="B70" s="155">
        <f t="shared" si="10"/>
        <v>680</v>
      </c>
      <c r="C70" s="155">
        <f t="shared" si="10"/>
        <v>680</v>
      </c>
    </row>
    <row r="71" spans="1:3" x14ac:dyDescent="0.3">
      <c r="A71" s="155">
        <v>620</v>
      </c>
      <c r="B71" s="155">
        <f t="shared" si="10"/>
        <v>680</v>
      </c>
      <c r="C71" s="155">
        <f t="shared" si="10"/>
        <v>680</v>
      </c>
    </row>
    <row r="72" spans="1:3" x14ac:dyDescent="0.3">
      <c r="A72" s="155">
        <v>680</v>
      </c>
      <c r="B72" s="155">
        <v>680</v>
      </c>
      <c r="C72" s="155">
        <v>680</v>
      </c>
    </row>
    <row r="73" spans="1:3" x14ac:dyDescent="0.3">
      <c r="A73" s="155">
        <v>750</v>
      </c>
      <c r="B73" s="155">
        <f>B74</f>
        <v>1000</v>
      </c>
      <c r="C73" s="155">
        <f>C74</f>
        <v>1000</v>
      </c>
    </row>
    <row r="74" spans="1:3" x14ac:dyDescent="0.3">
      <c r="A74" s="155">
        <v>820</v>
      </c>
      <c r="B74" s="155">
        <f>B75</f>
        <v>1000</v>
      </c>
      <c r="C74" s="155">
        <f>C75</f>
        <v>1000</v>
      </c>
    </row>
    <row r="75" spans="1:3" x14ac:dyDescent="0.3">
      <c r="A75" s="155">
        <v>910</v>
      </c>
      <c r="B75" s="155">
        <v>1000</v>
      </c>
      <c r="C75" s="155">
        <v>1000</v>
      </c>
    </row>
  </sheetData>
  <phoneticPr fontId="59" type="noConversion"/>
  <hyperlinks>
    <hyperlink ref="A1:B1" r:id="rId1" display="Standard Capacitor Values" xr:uid="{CDCA181F-753D-4195-AE63-A072F01C58A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F674-7DA6-4746-9E9A-4571C9414517}">
  <sheetPr>
    <tabColor rgb="FF0000FF"/>
  </sheetPr>
  <dimension ref="A1:I197"/>
  <sheetViews>
    <sheetView workbookViewId="0">
      <pane ySplit="4" topLeftCell="A5" activePane="bottomLeft" state="frozen"/>
      <selection activeCell="G170" sqref="G170"/>
      <selection pane="bottomLeft" activeCell="D21" sqref="D21:D24"/>
    </sheetView>
  </sheetViews>
  <sheetFormatPr defaultRowHeight="14.5" x14ac:dyDescent="0.3"/>
  <cols>
    <col min="1" max="6" width="18.6328125" style="140" customWidth="1"/>
    <col min="7" max="256" width="8.90625" style="140"/>
    <col min="257" max="262" width="18.6328125" style="140" customWidth="1"/>
    <col min="263" max="512" width="8.90625" style="140"/>
    <col min="513" max="518" width="18.6328125" style="140" customWidth="1"/>
    <col min="519" max="768" width="8.90625" style="140"/>
    <col min="769" max="774" width="18.6328125" style="140" customWidth="1"/>
    <col min="775" max="1024" width="8.90625" style="140"/>
    <col min="1025" max="1030" width="18.6328125" style="140" customWidth="1"/>
    <col min="1031" max="1280" width="8.90625" style="140"/>
    <col min="1281" max="1286" width="18.6328125" style="140" customWidth="1"/>
    <col min="1287" max="1536" width="8.90625" style="140"/>
    <col min="1537" max="1542" width="18.6328125" style="140" customWidth="1"/>
    <col min="1543" max="1792" width="8.90625" style="140"/>
    <col min="1793" max="1798" width="18.6328125" style="140" customWidth="1"/>
    <col min="1799" max="2048" width="8.90625" style="140"/>
    <col min="2049" max="2054" width="18.6328125" style="140" customWidth="1"/>
    <col min="2055" max="2304" width="8.90625" style="140"/>
    <col min="2305" max="2310" width="18.6328125" style="140" customWidth="1"/>
    <col min="2311" max="2560" width="8.90625" style="140"/>
    <col min="2561" max="2566" width="18.6328125" style="140" customWidth="1"/>
    <col min="2567" max="2816" width="8.90625" style="140"/>
    <col min="2817" max="2822" width="18.6328125" style="140" customWidth="1"/>
    <col min="2823" max="3072" width="8.90625" style="140"/>
    <col min="3073" max="3078" width="18.6328125" style="140" customWidth="1"/>
    <col min="3079" max="3328" width="8.90625" style="140"/>
    <col min="3329" max="3334" width="18.6328125" style="140" customWidth="1"/>
    <col min="3335" max="3584" width="8.90625" style="140"/>
    <col min="3585" max="3590" width="18.6328125" style="140" customWidth="1"/>
    <col min="3591" max="3840" width="8.90625" style="140"/>
    <col min="3841" max="3846" width="18.6328125" style="140" customWidth="1"/>
    <col min="3847" max="4096" width="8.90625" style="140"/>
    <col min="4097" max="4102" width="18.6328125" style="140" customWidth="1"/>
    <col min="4103" max="4352" width="8.90625" style="140"/>
    <col min="4353" max="4358" width="18.6328125" style="140" customWidth="1"/>
    <col min="4359" max="4608" width="8.90625" style="140"/>
    <col min="4609" max="4614" width="18.6328125" style="140" customWidth="1"/>
    <col min="4615" max="4864" width="8.90625" style="140"/>
    <col min="4865" max="4870" width="18.6328125" style="140" customWidth="1"/>
    <col min="4871" max="5120" width="8.90625" style="140"/>
    <col min="5121" max="5126" width="18.6328125" style="140" customWidth="1"/>
    <col min="5127" max="5376" width="8.90625" style="140"/>
    <col min="5377" max="5382" width="18.6328125" style="140" customWidth="1"/>
    <col min="5383" max="5632" width="8.90625" style="140"/>
    <col min="5633" max="5638" width="18.6328125" style="140" customWidth="1"/>
    <col min="5639" max="5888" width="8.90625" style="140"/>
    <col min="5889" max="5894" width="18.6328125" style="140" customWidth="1"/>
    <col min="5895" max="6144" width="8.90625" style="140"/>
    <col min="6145" max="6150" width="18.6328125" style="140" customWidth="1"/>
    <col min="6151" max="6400" width="8.90625" style="140"/>
    <col min="6401" max="6406" width="18.6328125" style="140" customWidth="1"/>
    <col min="6407" max="6656" width="8.90625" style="140"/>
    <col min="6657" max="6662" width="18.6328125" style="140" customWidth="1"/>
    <col min="6663" max="6912" width="8.90625" style="140"/>
    <col min="6913" max="6918" width="18.6328125" style="140" customWidth="1"/>
    <col min="6919" max="7168" width="8.90625" style="140"/>
    <col min="7169" max="7174" width="18.6328125" style="140" customWidth="1"/>
    <col min="7175" max="7424" width="8.90625" style="140"/>
    <col min="7425" max="7430" width="18.6328125" style="140" customWidth="1"/>
    <col min="7431" max="7680" width="8.90625" style="140"/>
    <col min="7681" max="7686" width="18.6328125" style="140" customWidth="1"/>
    <col min="7687" max="7936" width="8.90625" style="140"/>
    <col min="7937" max="7942" width="18.6328125" style="140" customWidth="1"/>
    <col min="7943" max="8192" width="8.90625" style="140"/>
    <col min="8193" max="8198" width="18.6328125" style="140" customWidth="1"/>
    <col min="8199" max="8448" width="8.90625" style="140"/>
    <col min="8449" max="8454" width="18.6328125" style="140" customWidth="1"/>
    <col min="8455" max="8704" width="8.90625" style="140"/>
    <col min="8705" max="8710" width="18.6328125" style="140" customWidth="1"/>
    <col min="8711" max="8960" width="8.90625" style="140"/>
    <col min="8961" max="8966" width="18.6328125" style="140" customWidth="1"/>
    <col min="8967" max="9216" width="8.90625" style="140"/>
    <col min="9217" max="9222" width="18.6328125" style="140" customWidth="1"/>
    <col min="9223" max="9472" width="8.90625" style="140"/>
    <col min="9473" max="9478" width="18.6328125" style="140" customWidth="1"/>
    <col min="9479" max="9728" width="8.90625" style="140"/>
    <col min="9729" max="9734" width="18.6328125" style="140" customWidth="1"/>
    <col min="9735" max="9984" width="8.90625" style="140"/>
    <col min="9985" max="9990" width="18.6328125" style="140" customWidth="1"/>
    <col min="9991" max="10240" width="8.90625" style="140"/>
    <col min="10241" max="10246" width="18.6328125" style="140" customWidth="1"/>
    <col min="10247" max="10496" width="8.90625" style="140"/>
    <col min="10497" max="10502" width="18.6328125" style="140" customWidth="1"/>
    <col min="10503" max="10752" width="8.90625" style="140"/>
    <col min="10753" max="10758" width="18.6328125" style="140" customWidth="1"/>
    <col min="10759" max="11008" width="8.90625" style="140"/>
    <col min="11009" max="11014" width="18.6328125" style="140" customWidth="1"/>
    <col min="11015" max="11264" width="8.90625" style="140"/>
    <col min="11265" max="11270" width="18.6328125" style="140" customWidth="1"/>
    <col min="11271" max="11520" width="8.90625" style="140"/>
    <col min="11521" max="11526" width="18.6328125" style="140" customWidth="1"/>
    <col min="11527" max="11776" width="8.90625" style="140"/>
    <col min="11777" max="11782" width="18.6328125" style="140" customWidth="1"/>
    <col min="11783" max="12032" width="8.90625" style="140"/>
    <col min="12033" max="12038" width="18.6328125" style="140" customWidth="1"/>
    <col min="12039" max="12288" width="8.90625" style="140"/>
    <col min="12289" max="12294" width="18.6328125" style="140" customWidth="1"/>
    <col min="12295" max="12544" width="8.90625" style="140"/>
    <col min="12545" max="12550" width="18.6328125" style="140" customWidth="1"/>
    <col min="12551" max="12800" width="8.90625" style="140"/>
    <col min="12801" max="12806" width="18.6328125" style="140" customWidth="1"/>
    <col min="12807" max="13056" width="8.90625" style="140"/>
    <col min="13057" max="13062" width="18.6328125" style="140" customWidth="1"/>
    <col min="13063" max="13312" width="8.90625" style="140"/>
    <col min="13313" max="13318" width="18.6328125" style="140" customWidth="1"/>
    <col min="13319" max="13568" width="8.90625" style="140"/>
    <col min="13569" max="13574" width="18.6328125" style="140" customWidth="1"/>
    <col min="13575" max="13824" width="8.90625" style="140"/>
    <col min="13825" max="13830" width="18.6328125" style="140" customWidth="1"/>
    <col min="13831" max="14080" width="8.90625" style="140"/>
    <col min="14081" max="14086" width="18.6328125" style="140" customWidth="1"/>
    <col min="14087" max="14336" width="8.90625" style="140"/>
    <col min="14337" max="14342" width="18.6328125" style="140" customWidth="1"/>
    <col min="14343" max="14592" width="8.90625" style="140"/>
    <col min="14593" max="14598" width="18.6328125" style="140" customWidth="1"/>
    <col min="14599" max="14848" width="8.90625" style="140"/>
    <col min="14849" max="14854" width="18.6328125" style="140" customWidth="1"/>
    <col min="14855" max="15104" width="8.90625" style="140"/>
    <col min="15105" max="15110" width="18.6328125" style="140" customWidth="1"/>
    <col min="15111" max="15360" width="8.90625" style="140"/>
    <col min="15361" max="15366" width="18.6328125" style="140" customWidth="1"/>
    <col min="15367" max="15616" width="8.90625" style="140"/>
    <col min="15617" max="15622" width="18.6328125" style="140" customWidth="1"/>
    <col min="15623" max="15872" width="8.90625" style="140"/>
    <col min="15873" max="15878" width="18.6328125" style="140" customWidth="1"/>
    <col min="15879" max="16128" width="8.90625" style="140"/>
    <col min="16129" max="16134" width="18.6328125" style="140" customWidth="1"/>
    <col min="16135" max="16384" width="8.90625" style="140"/>
  </cols>
  <sheetData>
    <row r="1" spans="1:9" ht="21.5" x14ac:dyDescent="0.45">
      <c r="A1" s="314" t="s">
        <v>414</v>
      </c>
      <c r="B1" s="314"/>
      <c r="C1" s="314"/>
      <c r="D1" s="314"/>
      <c r="E1" s="314"/>
      <c r="F1" s="314"/>
    </row>
    <row r="3" spans="1:9" x14ac:dyDescent="0.3">
      <c r="A3" s="141">
        <v>0.2</v>
      </c>
      <c r="B3" s="141">
        <v>0.1</v>
      </c>
      <c r="C3" s="141">
        <v>0.05</v>
      </c>
      <c r="D3" s="141">
        <v>0.02</v>
      </c>
      <c r="E3" s="141">
        <v>0.01</v>
      </c>
      <c r="F3" s="142" t="s">
        <v>415</v>
      </c>
    </row>
    <row r="4" spans="1:9" x14ac:dyDescent="0.3">
      <c r="A4" s="143" t="s">
        <v>416</v>
      </c>
      <c r="B4" s="143" t="s">
        <v>417</v>
      </c>
      <c r="C4" s="143" t="s">
        <v>418</v>
      </c>
      <c r="D4" s="143" t="s">
        <v>419</v>
      </c>
      <c r="E4" s="143" t="s">
        <v>420</v>
      </c>
      <c r="F4" s="143" t="s">
        <v>421</v>
      </c>
    </row>
    <row r="5" spans="1:9" x14ac:dyDescent="0.3">
      <c r="A5" s="315">
        <v>100</v>
      </c>
      <c r="B5" s="316">
        <v>100</v>
      </c>
      <c r="C5" s="311">
        <v>100</v>
      </c>
      <c r="D5" s="312">
        <v>100</v>
      </c>
      <c r="E5" s="313">
        <v>100</v>
      </c>
      <c r="F5" s="144">
        <v>100</v>
      </c>
    </row>
    <row r="6" spans="1:9" x14ac:dyDescent="0.3">
      <c r="A6" s="315"/>
      <c r="B6" s="316"/>
      <c r="C6" s="311"/>
      <c r="D6" s="312"/>
      <c r="E6" s="313"/>
      <c r="F6" s="144">
        <v>101</v>
      </c>
    </row>
    <row r="7" spans="1:9" x14ac:dyDescent="0.3">
      <c r="A7" s="315"/>
      <c r="B7" s="316"/>
      <c r="C7" s="311"/>
      <c r="D7" s="312"/>
      <c r="E7" s="313">
        <v>102</v>
      </c>
      <c r="F7" s="144">
        <v>102</v>
      </c>
    </row>
    <row r="8" spans="1:9" x14ac:dyDescent="0.3">
      <c r="A8" s="315"/>
      <c r="B8" s="316"/>
      <c r="C8" s="311"/>
      <c r="D8" s="312"/>
      <c r="E8" s="313"/>
      <c r="F8" s="144">
        <v>104</v>
      </c>
    </row>
    <row r="9" spans="1:9" x14ac:dyDescent="0.3">
      <c r="A9" s="315"/>
      <c r="B9" s="316"/>
      <c r="C9" s="311"/>
      <c r="D9" s="312">
        <v>105</v>
      </c>
      <c r="E9" s="313">
        <v>105</v>
      </c>
      <c r="F9" s="144">
        <v>105</v>
      </c>
    </row>
    <row r="10" spans="1:9" x14ac:dyDescent="0.3">
      <c r="A10" s="315"/>
      <c r="B10" s="316"/>
      <c r="C10" s="311"/>
      <c r="D10" s="312"/>
      <c r="E10" s="313"/>
      <c r="F10" s="144">
        <v>106</v>
      </c>
      <c r="I10" s="145"/>
    </row>
    <row r="11" spans="1:9" x14ac:dyDescent="0.3">
      <c r="A11" s="315"/>
      <c r="B11" s="316"/>
      <c r="C11" s="311"/>
      <c r="D11" s="312"/>
      <c r="E11" s="313">
        <v>107</v>
      </c>
      <c r="F11" s="144">
        <v>107</v>
      </c>
    </row>
    <row r="12" spans="1:9" x14ac:dyDescent="0.3">
      <c r="A12" s="315"/>
      <c r="B12" s="316"/>
      <c r="C12" s="311"/>
      <c r="D12" s="312"/>
      <c r="E12" s="313"/>
      <c r="F12" s="144">
        <v>109</v>
      </c>
    </row>
    <row r="13" spans="1:9" x14ac:dyDescent="0.3">
      <c r="A13" s="315"/>
      <c r="B13" s="316"/>
      <c r="C13" s="311">
        <v>110</v>
      </c>
      <c r="D13" s="312">
        <v>110</v>
      </c>
      <c r="E13" s="313">
        <v>110</v>
      </c>
      <c r="F13" s="144">
        <v>110</v>
      </c>
    </row>
    <row r="14" spans="1:9" x14ac:dyDescent="0.3">
      <c r="A14" s="315"/>
      <c r="B14" s="316"/>
      <c r="C14" s="311"/>
      <c r="D14" s="312"/>
      <c r="E14" s="313"/>
      <c r="F14" s="144">
        <v>111</v>
      </c>
    </row>
    <row r="15" spans="1:9" x14ac:dyDescent="0.3">
      <c r="A15" s="315"/>
      <c r="B15" s="316"/>
      <c r="C15" s="311"/>
      <c r="D15" s="312"/>
      <c r="E15" s="313">
        <v>113</v>
      </c>
      <c r="F15" s="144">
        <v>113</v>
      </c>
    </row>
    <row r="16" spans="1:9" x14ac:dyDescent="0.3">
      <c r="A16" s="315"/>
      <c r="B16" s="316"/>
      <c r="C16" s="311"/>
      <c r="D16" s="312"/>
      <c r="E16" s="313"/>
      <c r="F16" s="144">
        <v>114</v>
      </c>
    </row>
    <row r="17" spans="1:6" x14ac:dyDescent="0.3">
      <c r="A17" s="315"/>
      <c r="B17" s="316"/>
      <c r="C17" s="311"/>
      <c r="D17" s="312">
        <v>115</v>
      </c>
      <c r="E17" s="313">
        <v>115</v>
      </c>
      <c r="F17" s="144">
        <v>115</v>
      </c>
    </row>
    <row r="18" spans="1:6" x14ac:dyDescent="0.3">
      <c r="A18" s="315"/>
      <c r="B18" s="316"/>
      <c r="C18" s="311"/>
      <c r="D18" s="312"/>
      <c r="E18" s="313"/>
      <c r="F18" s="144">
        <v>117</v>
      </c>
    </row>
    <row r="19" spans="1:6" x14ac:dyDescent="0.3">
      <c r="A19" s="315"/>
      <c r="B19" s="316"/>
      <c r="C19" s="311"/>
      <c r="D19" s="312"/>
      <c r="E19" s="313">
        <v>118</v>
      </c>
      <c r="F19" s="144">
        <v>118</v>
      </c>
    </row>
    <row r="20" spans="1:6" x14ac:dyDescent="0.3">
      <c r="A20" s="315"/>
      <c r="B20" s="316"/>
      <c r="C20" s="311"/>
      <c r="D20" s="312"/>
      <c r="E20" s="313"/>
      <c r="F20" s="144">
        <v>120</v>
      </c>
    </row>
    <row r="21" spans="1:6" x14ac:dyDescent="0.3">
      <c r="A21" s="315"/>
      <c r="B21" s="316">
        <v>120</v>
      </c>
      <c r="C21" s="311">
        <v>120</v>
      </c>
      <c r="D21" s="312">
        <v>121</v>
      </c>
      <c r="E21" s="313">
        <v>121</v>
      </c>
      <c r="F21" s="144">
        <v>121</v>
      </c>
    </row>
    <row r="22" spans="1:6" x14ac:dyDescent="0.3">
      <c r="A22" s="315"/>
      <c r="B22" s="316"/>
      <c r="C22" s="311"/>
      <c r="D22" s="312"/>
      <c r="E22" s="313"/>
      <c r="F22" s="144">
        <v>123</v>
      </c>
    </row>
    <row r="23" spans="1:6" x14ac:dyDescent="0.3">
      <c r="A23" s="315"/>
      <c r="B23" s="316"/>
      <c r="C23" s="311"/>
      <c r="D23" s="312"/>
      <c r="E23" s="313">
        <v>124</v>
      </c>
      <c r="F23" s="144">
        <v>124</v>
      </c>
    </row>
    <row r="24" spans="1:6" x14ac:dyDescent="0.3">
      <c r="A24" s="315"/>
      <c r="B24" s="316"/>
      <c r="C24" s="311"/>
      <c r="D24" s="312"/>
      <c r="E24" s="313"/>
      <c r="F24" s="144">
        <v>126</v>
      </c>
    </row>
    <row r="25" spans="1:6" x14ac:dyDescent="0.3">
      <c r="A25" s="315"/>
      <c r="B25" s="316"/>
      <c r="C25" s="311"/>
      <c r="D25" s="312">
        <v>127</v>
      </c>
      <c r="E25" s="313">
        <v>127</v>
      </c>
      <c r="F25" s="144">
        <v>127</v>
      </c>
    </row>
    <row r="26" spans="1:6" x14ac:dyDescent="0.3">
      <c r="A26" s="315"/>
      <c r="B26" s="316"/>
      <c r="C26" s="311"/>
      <c r="D26" s="312"/>
      <c r="E26" s="313"/>
      <c r="F26" s="144">
        <v>129</v>
      </c>
    </row>
    <row r="27" spans="1:6" x14ac:dyDescent="0.3">
      <c r="A27" s="315"/>
      <c r="B27" s="316"/>
      <c r="C27" s="311"/>
      <c r="D27" s="312"/>
      <c r="E27" s="313">
        <v>130</v>
      </c>
      <c r="F27" s="144">
        <v>130</v>
      </c>
    </row>
    <row r="28" spans="1:6" x14ac:dyDescent="0.3">
      <c r="A28" s="315"/>
      <c r="B28" s="316"/>
      <c r="C28" s="311"/>
      <c r="D28" s="312"/>
      <c r="E28" s="313"/>
      <c r="F28" s="144">
        <v>132</v>
      </c>
    </row>
    <row r="29" spans="1:6" x14ac:dyDescent="0.3">
      <c r="A29" s="315"/>
      <c r="B29" s="316"/>
      <c r="C29" s="311">
        <v>130</v>
      </c>
      <c r="D29" s="312">
        <v>133</v>
      </c>
      <c r="E29" s="313">
        <v>133</v>
      </c>
      <c r="F29" s="144">
        <v>133</v>
      </c>
    </row>
    <row r="30" spans="1:6" x14ac:dyDescent="0.3">
      <c r="A30" s="315"/>
      <c r="B30" s="316"/>
      <c r="C30" s="311"/>
      <c r="D30" s="312"/>
      <c r="E30" s="313"/>
      <c r="F30" s="144">
        <v>135</v>
      </c>
    </row>
    <row r="31" spans="1:6" x14ac:dyDescent="0.3">
      <c r="A31" s="315"/>
      <c r="B31" s="316"/>
      <c r="C31" s="311"/>
      <c r="D31" s="312"/>
      <c r="E31" s="313">
        <v>137</v>
      </c>
      <c r="F31" s="144">
        <v>137</v>
      </c>
    </row>
    <row r="32" spans="1:6" x14ac:dyDescent="0.3">
      <c r="A32" s="315"/>
      <c r="B32" s="316"/>
      <c r="C32" s="311"/>
      <c r="D32" s="312"/>
      <c r="E32" s="313"/>
      <c r="F32" s="144">
        <v>138</v>
      </c>
    </row>
    <row r="33" spans="1:6" x14ac:dyDescent="0.3">
      <c r="A33" s="315"/>
      <c r="B33" s="316"/>
      <c r="C33" s="311"/>
      <c r="D33" s="312">
        <v>140</v>
      </c>
      <c r="E33" s="313">
        <v>140</v>
      </c>
      <c r="F33" s="144">
        <v>140</v>
      </c>
    </row>
    <row r="34" spans="1:6" x14ac:dyDescent="0.3">
      <c r="A34" s="315"/>
      <c r="B34" s="316"/>
      <c r="C34" s="311"/>
      <c r="D34" s="312"/>
      <c r="E34" s="313"/>
      <c r="F34" s="144">
        <v>142</v>
      </c>
    </row>
    <row r="35" spans="1:6" x14ac:dyDescent="0.3">
      <c r="A35" s="315"/>
      <c r="B35" s="316"/>
      <c r="C35" s="311"/>
      <c r="D35" s="312"/>
      <c r="E35" s="313">
        <v>143</v>
      </c>
      <c r="F35" s="144">
        <v>143</v>
      </c>
    </row>
    <row r="36" spans="1:6" x14ac:dyDescent="0.3">
      <c r="A36" s="315"/>
      <c r="B36" s="316"/>
      <c r="C36" s="311"/>
      <c r="D36" s="312"/>
      <c r="E36" s="313"/>
      <c r="F36" s="144">
        <v>145</v>
      </c>
    </row>
    <row r="37" spans="1:6" x14ac:dyDescent="0.3">
      <c r="A37" s="315">
        <v>150</v>
      </c>
      <c r="B37" s="316">
        <v>150</v>
      </c>
      <c r="C37" s="311">
        <v>150</v>
      </c>
      <c r="D37" s="312">
        <v>147</v>
      </c>
      <c r="E37" s="313">
        <v>147</v>
      </c>
      <c r="F37" s="144">
        <v>147</v>
      </c>
    </row>
    <row r="38" spans="1:6" x14ac:dyDescent="0.3">
      <c r="A38" s="315"/>
      <c r="B38" s="316"/>
      <c r="C38" s="311"/>
      <c r="D38" s="312"/>
      <c r="E38" s="313"/>
      <c r="F38" s="144">
        <v>149</v>
      </c>
    </row>
    <row r="39" spans="1:6" x14ac:dyDescent="0.3">
      <c r="A39" s="315"/>
      <c r="B39" s="316"/>
      <c r="C39" s="311"/>
      <c r="D39" s="312"/>
      <c r="E39" s="313">
        <v>150</v>
      </c>
      <c r="F39" s="144">
        <v>150</v>
      </c>
    </row>
    <row r="40" spans="1:6" x14ac:dyDescent="0.3">
      <c r="A40" s="315"/>
      <c r="B40" s="316"/>
      <c r="C40" s="311"/>
      <c r="D40" s="312"/>
      <c r="E40" s="313"/>
      <c r="F40" s="144">
        <v>152</v>
      </c>
    </row>
    <row r="41" spans="1:6" x14ac:dyDescent="0.3">
      <c r="A41" s="315"/>
      <c r="B41" s="316"/>
      <c r="C41" s="311"/>
      <c r="D41" s="312">
        <v>154</v>
      </c>
      <c r="E41" s="313">
        <v>154</v>
      </c>
      <c r="F41" s="144">
        <v>154</v>
      </c>
    </row>
    <row r="42" spans="1:6" x14ac:dyDescent="0.3">
      <c r="A42" s="315"/>
      <c r="B42" s="316"/>
      <c r="C42" s="311"/>
      <c r="D42" s="312"/>
      <c r="E42" s="313"/>
      <c r="F42" s="144">
        <v>156</v>
      </c>
    </row>
    <row r="43" spans="1:6" x14ac:dyDescent="0.3">
      <c r="A43" s="315"/>
      <c r="B43" s="316"/>
      <c r="C43" s="311"/>
      <c r="D43" s="312"/>
      <c r="E43" s="313">
        <v>158</v>
      </c>
      <c r="F43" s="144">
        <v>158</v>
      </c>
    </row>
    <row r="44" spans="1:6" x14ac:dyDescent="0.3">
      <c r="A44" s="315"/>
      <c r="B44" s="316"/>
      <c r="C44" s="311"/>
      <c r="D44" s="312"/>
      <c r="E44" s="313"/>
      <c r="F44" s="144">
        <v>160</v>
      </c>
    </row>
    <row r="45" spans="1:6" x14ac:dyDescent="0.3">
      <c r="A45" s="315"/>
      <c r="B45" s="316"/>
      <c r="C45" s="311">
        <v>160</v>
      </c>
      <c r="D45" s="312">
        <v>162</v>
      </c>
      <c r="E45" s="313">
        <v>162</v>
      </c>
      <c r="F45" s="144">
        <v>162</v>
      </c>
    </row>
    <row r="46" spans="1:6" x14ac:dyDescent="0.3">
      <c r="A46" s="315"/>
      <c r="B46" s="316"/>
      <c r="C46" s="311"/>
      <c r="D46" s="312"/>
      <c r="E46" s="313"/>
      <c r="F46" s="144">
        <v>164</v>
      </c>
    </row>
    <row r="47" spans="1:6" x14ac:dyDescent="0.3">
      <c r="A47" s="315"/>
      <c r="B47" s="316"/>
      <c r="C47" s="311"/>
      <c r="D47" s="312"/>
      <c r="E47" s="313">
        <v>165</v>
      </c>
      <c r="F47" s="144">
        <v>165</v>
      </c>
    </row>
    <row r="48" spans="1:6" x14ac:dyDescent="0.3">
      <c r="A48" s="315"/>
      <c r="B48" s="316"/>
      <c r="C48" s="311"/>
      <c r="D48" s="312"/>
      <c r="E48" s="313"/>
      <c r="F48" s="144">
        <v>167</v>
      </c>
    </row>
    <row r="49" spans="1:6" x14ac:dyDescent="0.3">
      <c r="A49" s="315"/>
      <c r="B49" s="316"/>
      <c r="C49" s="311"/>
      <c r="D49" s="312">
        <v>169</v>
      </c>
      <c r="E49" s="313">
        <v>169</v>
      </c>
      <c r="F49" s="144">
        <v>169</v>
      </c>
    </row>
    <row r="50" spans="1:6" x14ac:dyDescent="0.3">
      <c r="A50" s="315"/>
      <c r="B50" s="316"/>
      <c r="C50" s="311"/>
      <c r="D50" s="312"/>
      <c r="E50" s="313"/>
      <c r="F50" s="144">
        <v>172</v>
      </c>
    </row>
    <row r="51" spans="1:6" x14ac:dyDescent="0.3">
      <c r="A51" s="315"/>
      <c r="B51" s="316"/>
      <c r="C51" s="311"/>
      <c r="D51" s="312"/>
      <c r="E51" s="313">
        <v>174</v>
      </c>
      <c r="F51" s="144">
        <v>174</v>
      </c>
    </row>
    <row r="52" spans="1:6" x14ac:dyDescent="0.3">
      <c r="A52" s="315"/>
      <c r="B52" s="316"/>
      <c r="C52" s="311"/>
      <c r="D52" s="312"/>
      <c r="E52" s="313"/>
      <c r="F52" s="144">
        <v>176</v>
      </c>
    </row>
    <row r="53" spans="1:6" x14ac:dyDescent="0.3">
      <c r="A53" s="315"/>
      <c r="B53" s="316">
        <v>180</v>
      </c>
      <c r="C53" s="311">
        <v>180</v>
      </c>
      <c r="D53" s="312">
        <v>178</v>
      </c>
      <c r="E53" s="313">
        <v>178</v>
      </c>
      <c r="F53" s="144">
        <v>178</v>
      </c>
    </row>
    <row r="54" spans="1:6" x14ac:dyDescent="0.3">
      <c r="A54" s="315"/>
      <c r="B54" s="316"/>
      <c r="C54" s="311"/>
      <c r="D54" s="312"/>
      <c r="E54" s="313"/>
      <c r="F54" s="144">
        <v>180</v>
      </c>
    </row>
    <row r="55" spans="1:6" x14ac:dyDescent="0.3">
      <c r="A55" s="315"/>
      <c r="B55" s="316"/>
      <c r="C55" s="311"/>
      <c r="D55" s="312"/>
      <c r="E55" s="313">
        <v>182</v>
      </c>
      <c r="F55" s="144">
        <v>182</v>
      </c>
    </row>
    <row r="56" spans="1:6" x14ac:dyDescent="0.3">
      <c r="A56" s="315"/>
      <c r="B56" s="316"/>
      <c r="C56" s="311"/>
      <c r="D56" s="312"/>
      <c r="E56" s="313"/>
      <c r="F56" s="144">
        <v>184</v>
      </c>
    </row>
    <row r="57" spans="1:6" x14ac:dyDescent="0.3">
      <c r="A57" s="315"/>
      <c r="B57" s="316"/>
      <c r="C57" s="311"/>
      <c r="D57" s="312">
        <v>187</v>
      </c>
      <c r="E57" s="313">
        <v>187</v>
      </c>
      <c r="F57" s="144">
        <v>187</v>
      </c>
    </row>
    <row r="58" spans="1:6" x14ac:dyDescent="0.3">
      <c r="A58" s="315"/>
      <c r="B58" s="316"/>
      <c r="C58" s="311"/>
      <c r="D58" s="312"/>
      <c r="E58" s="313"/>
      <c r="F58" s="144">
        <v>189</v>
      </c>
    </row>
    <row r="59" spans="1:6" x14ac:dyDescent="0.3">
      <c r="A59" s="315"/>
      <c r="B59" s="316"/>
      <c r="C59" s="311"/>
      <c r="D59" s="312"/>
      <c r="E59" s="313">
        <v>191</v>
      </c>
      <c r="F59" s="144">
        <v>191</v>
      </c>
    </row>
    <row r="60" spans="1:6" x14ac:dyDescent="0.3">
      <c r="A60" s="315"/>
      <c r="B60" s="316"/>
      <c r="C60" s="311"/>
      <c r="D60" s="312"/>
      <c r="E60" s="313"/>
      <c r="F60" s="144">
        <v>193</v>
      </c>
    </row>
    <row r="61" spans="1:6" x14ac:dyDescent="0.3">
      <c r="A61" s="315"/>
      <c r="B61" s="316"/>
      <c r="C61" s="311">
        <v>200</v>
      </c>
      <c r="D61" s="312">
        <v>196</v>
      </c>
      <c r="E61" s="313">
        <v>196</v>
      </c>
      <c r="F61" s="144">
        <v>196</v>
      </c>
    </row>
    <row r="62" spans="1:6" x14ac:dyDescent="0.3">
      <c r="A62" s="315"/>
      <c r="B62" s="316"/>
      <c r="C62" s="311"/>
      <c r="D62" s="312"/>
      <c r="E62" s="313"/>
      <c r="F62" s="144">
        <v>198</v>
      </c>
    </row>
    <row r="63" spans="1:6" x14ac:dyDescent="0.3">
      <c r="A63" s="315"/>
      <c r="B63" s="316"/>
      <c r="C63" s="311"/>
      <c r="D63" s="312"/>
      <c r="E63" s="313">
        <v>200</v>
      </c>
      <c r="F63" s="144">
        <v>200</v>
      </c>
    </row>
    <row r="64" spans="1:6" x14ac:dyDescent="0.3">
      <c r="A64" s="315"/>
      <c r="B64" s="316"/>
      <c r="C64" s="311"/>
      <c r="D64" s="312"/>
      <c r="E64" s="313"/>
      <c r="F64" s="144">
        <v>203</v>
      </c>
    </row>
    <row r="65" spans="1:6" x14ac:dyDescent="0.3">
      <c r="A65" s="315"/>
      <c r="B65" s="316"/>
      <c r="C65" s="311"/>
      <c r="D65" s="312">
        <v>205</v>
      </c>
      <c r="E65" s="313">
        <v>205</v>
      </c>
      <c r="F65" s="144">
        <v>205</v>
      </c>
    </row>
    <row r="66" spans="1:6" x14ac:dyDescent="0.3">
      <c r="A66" s="315"/>
      <c r="B66" s="316"/>
      <c r="C66" s="311"/>
      <c r="D66" s="312"/>
      <c r="E66" s="313"/>
      <c r="F66" s="144">
        <v>208</v>
      </c>
    </row>
    <row r="67" spans="1:6" x14ac:dyDescent="0.3">
      <c r="A67" s="315"/>
      <c r="B67" s="316"/>
      <c r="C67" s="311"/>
      <c r="D67" s="312"/>
      <c r="E67" s="313">
        <v>210</v>
      </c>
      <c r="F67" s="144">
        <v>210</v>
      </c>
    </row>
    <row r="68" spans="1:6" x14ac:dyDescent="0.3">
      <c r="A68" s="315"/>
      <c r="B68" s="316"/>
      <c r="C68" s="311"/>
      <c r="D68" s="312"/>
      <c r="E68" s="313"/>
      <c r="F68" s="144">
        <v>213</v>
      </c>
    </row>
    <row r="69" spans="1:6" x14ac:dyDescent="0.3">
      <c r="A69" s="315">
        <v>220</v>
      </c>
      <c r="B69" s="316">
        <v>220</v>
      </c>
      <c r="C69" s="311">
        <v>220</v>
      </c>
      <c r="D69" s="312">
        <v>215</v>
      </c>
      <c r="E69" s="313">
        <v>215</v>
      </c>
      <c r="F69" s="144">
        <v>215</v>
      </c>
    </row>
    <row r="70" spans="1:6" x14ac:dyDescent="0.3">
      <c r="A70" s="315"/>
      <c r="B70" s="316"/>
      <c r="C70" s="311"/>
      <c r="D70" s="312"/>
      <c r="E70" s="313"/>
      <c r="F70" s="144">
        <v>218</v>
      </c>
    </row>
    <row r="71" spans="1:6" x14ac:dyDescent="0.3">
      <c r="A71" s="315"/>
      <c r="B71" s="316"/>
      <c r="C71" s="311"/>
      <c r="D71" s="312"/>
      <c r="E71" s="313">
        <v>221</v>
      </c>
      <c r="F71" s="144">
        <v>221</v>
      </c>
    </row>
    <row r="72" spans="1:6" x14ac:dyDescent="0.3">
      <c r="A72" s="315"/>
      <c r="B72" s="316"/>
      <c r="C72" s="311"/>
      <c r="D72" s="312"/>
      <c r="E72" s="313"/>
      <c r="F72" s="144">
        <v>223</v>
      </c>
    </row>
    <row r="73" spans="1:6" x14ac:dyDescent="0.3">
      <c r="A73" s="315"/>
      <c r="B73" s="316"/>
      <c r="C73" s="311"/>
      <c r="D73" s="312">
        <v>226</v>
      </c>
      <c r="E73" s="313">
        <v>226</v>
      </c>
      <c r="F73" s="144">
        <v>226</v>
      </c>
    </row>
    <row r="74" spans="1:6" x14ac:dyDescent="0.3">
      <c r="A74" s="315"/>
      <c r="B74" s="316"/>
      <c r="C74" s="311"/>
      <c r="D74" s="312"/>
      <c r="E74" s="313"/>
      <c r="F74" s="144">
        <v>229</v>
      </c>
    </row>
    <row r="75" spans="1:6" x14ac:dyDescent="0.3">
      <c r="A75" s="315"/>
      <c r="B75" s="316"/>
      <c r="C75" s="311"/>
      <c r="D75" s="312"/>
      <c r="E75" s="313">
        <v>232</v>
      </c>
      <c r="F75" s="144">
        <v>232</v>
      </c>
    </row>
    <row r="76" spans="1:6" x14ac:dyDescent="0.3">
      <c r="A76" s="315"/>
      <c r="B76" s="316"/>
      <c r="C76" s="311"/>
      <c r="D76" s="312"/>
      <c r="E76" s="313"/>
      <c r="F76" s="144">
        <v>234</v>
      </c>
    </row>
    <row r="77" spans="1:6" x14ac:dyDescent="0.3">
      <c r="A77" s="315"/>
      <c r="B77" s="316"/>
      <c r="C77" s="311">
        <v>240</v>
      </c>
      <c r="D77" s="312">
        <v>237</v>
      </c>
      <c r="E77" s="313">
        <v>237</v>
      </c>
      <c r="F77" s="144">
        <v>237</v>
      </c>
    </row>
    <row r="78" spans="1:6" x14ac:dyDescent="0.3">
      <c r="A78" s="315"/>
      <c r="B78" s="316"/>
      <c r="C78" s="311"/>
      <c r="D78" s="312"/>
      <c r="E78" s="313"/>
      <c r="F78" s="144">
        <v>240</v>
      </c>
    </row>
    <row r="79" spans="1:6" x14ac:dyDescent="0.3">
      <c r="A79" s="315"/>
      <c r="B79" s="316"/>
      <c r="C79" s="311"/>
      <c r="D79" s="312"/>
      <c r="E79" s="313">
        <v>243</v>
      </c>
      <c r="F79" s="144">
        <v>243</v>
      </c>
    </row>
    <row r="80" spans="1:6" x14ac:dyDescent="0.3">
      <c r="A80" s="315"/>
      <c r="B80" s="316"/>
      <c r="C80" s="311"/>
      <c r="D80" s="312"/>
      <c r="E80" s="313"/>
      <c r="F80" s="144">
        <v>246</v>
      </c>
    </row>
    <row r="81" spans="1:6" x14ac:dyDescent="0.3">
      <c r="A81" s="315"/>
      <c r="B81" s="316"/>
      <c r="C81" s="311"/>
      <c r="D81" s="312">
        <v>249</v>
      </c>
      <c r="E81" s="313">
        <v>249</v>
      </c>
      <c r="F81" s="144">
        <v>249</v>
      </c>
    </row>
    <row r="82" spans="1:6" x14ac:dyDescent="0.3">
      <c r="A82" s="315"/>
      <c r="B82" s="316"/>
      <c r="C82" s="311"/>
      <c r="D82" s="312"/>
      <c r="E82" s="313"/>
      <c r="F82" s="144">
        <v>252</v>
      </c>
    </row>
    <row r="83" spans="1:6" x14ac:dyDescent="0.3">
      <c r="A83" s="315"/>
      <c r="B83" s="316"/>
      <c r="C83" s="311"/>
      <c r="D83" s="312"/>
      <c r="E83" s="313">
        <v>255</v>
      </c>
      <c r="F83" s="144">
        <v>255</v>
      </c>
    </row>
    <row r="84" spans="1:6" x14ac:dyDescent="0.3">
      <c r="A84" s="315"/>
      <c r="B84" s="316"/>
      <c r="C84" s="311"/>
      <c r="D84" s="312"/>
      <c r="E84" s="313"/>
      <c r="F84" s="144">
        <v>258</v>
      </c>
    </row>
    <row r="85" spans="1:6" x14ac:dyDescent="0.3">
      <c r="A85" s="315"/>
      <c r="B85" s="316">
        <v>270</v>
      </c>
      <c r="C85" s="311">
        <v>270</v>
      </c>
      <c r="D85" s="312">
        <v>261</v>
      </c>
      <c r="E85" s="313">
        <v>261</v>
      </c>
      <c r="F85" s="144">
        <v>261</v>
      </c>
    </row>
    <row r="86" spans="1:6" x14ac:dyDescent="0.3">
      <c r="A86" s="315"/>
      <c r="B86" s="316"/>
      <c r="C86" s="311"/>
      <c r="D86" s="312"/>
      <c r="E86" s="313"/>
      <c r="F86" s="144">
        <v>264</v>
      </c>
    </row>
    <row r="87" spans="1:6" x14ac:dyDescent="0.3">
      <c r="A87" s="315"/>
      <c r="B87" s="316"/>
      <c r="C87" s="311"/>
      <c r="D87" s="312"/>
      <c r="E87" s="313">
        <v>267</v>
      </c>
      <c r="F87" s="144">
        <v>267</v>
      </c>
    </row>
    <row r="88" spans="1:6" x14ac:dyDescent="0.3">
      <c r="A88" s="315"/>
      <c r="B88" s="316"/>
      <c r="C88" s="311"/>
      <c r="D88" s="312"/>
      <c r="E88" s="313"/>
      <c r="F88" s="144">
        <v>271</v>
      </c>
    </row>
    <row r="89" spans="1:6" x14ac:dyDescent="0.3">
      <c r="A89" s="315"/>
      <c r="B89" s="316"/>
      <c r="C89" s="311"/>
      <c r="D89" s="312">
        <v>274</v>
      </c>
      <c r="E89" s="313">
        <v>274</v>
      </c>
      <c r="F89" s="144">
        <v>274</v>
      </c>
    </row>
    <row r="90" spans="1:6" x14ac:dyDescent="0.3">
      <c r="A90" s="315"/>
      <c r="B90" s="316"/>
      <c r="C90" s="311"/>
      <c r="D90" s="312"/>
      <c r="E90" s="313"/>
      <c r="F90" s="144">
        <v>277</v>
      </c>
    </row>
    <row r="91" spans="1:6" x14ac:dyDescent="0.3">
      <c r="A91" s="315"/>
      <c r="B91" s="316"/>
      <c r="C91" s="311"/>
      <c r="D91" s="312"/>
      <c r="E91" s="313">
        <v>280</v>
      </c>
      <c r="F91" s="144">
        <v>280</v>
      </c>
    </row>
    <row r="92" spans="1:6" x14ac:dyDescent="0.3">
      <c r="A92" s="315"/>
      <c r="B92" s="316"/>
      <c r="C92" s="311"/>
      <c r="D92" s="312"/>
      <c r="E92" s="313"/>
      <c r="F92" s="144">
        <v>284</v>
      </c>
    </row>
    <row r="93" spans="1:6" x14ac:dyDescent="0.3">
      <c r="A93" s="315"/>
      <c r="B93" s="316"/>
      <c r="C93" s="311">
        <v>300</v>
      </c>
      <c r="D93" s="312">
        <v>287</v>
      </c>
      <c r="E93" s="313">
        <v>287</v>
      </c>
      <c r="F93" s="144">
        <v>287</v>
      </c>
    </row>
    <row r="94" spans="1:6" x14ac:dyDescent="0.3">
      <c r="A94" s="315"/>
      <c r="B94" s="316"/>
      <c r="C94" s="311"/>
      <c r="D94" s="312"/>
      <c r="E94" s="313"/>
      <c r="F94" s="144">
        <v>291</v>
      </c>
    </row>
    <row r="95" spans="1:6" x14ac:dyDescent="0.3">
      <c r="A95" s="315"/>
      <c r="B95" s="316"/>
      <c r="C95" s="311"/>
      <c r="D95" s="312"/>
      <c r="E95" s="313">
        <v>294</v>
      </c>
      <c r="F95" s="144">
        <v>294</v>
      </c>
    </row>
    <row r="96" spans="1:6" x14ac:dyDescent="0.3">
      <c r="A96" s="315"/>
      <c r="B96" s="316"/>
      <c r="C96" s="311"/>
      <c r="D96" s="312"/>
      <c r="E96" s="313"/>
      <c r="F96" s="144">
        <v>298</v>
      </c>
    </row>
    <row r="97" spans="1:6" x14ac:dyDescent="0.3">
      <c r="A97" s="315"/>
      <c r="B97" s="316"/>
      <c r="C97" s="311"/>
      <c r="D97" s="312">
        <v>301</v>
      </c>
      <c r="E97" s="313">
        <v>301</v>
      </c>
      <c r="F97" s="144">
        <v>301</v>
      </c>
    </row>
    <row r="98" spans="1:6" x14ac:dyDescent="0.3">
      <c r="A98" s="315"/>
      <c r="B98" s="316"/>
      <c r="C98" s="311"/>
      <c r="D98" s="312"/>
      <c r="E98" s="313"/>
      <c r="F98" s="144">
        <v>305</v>
      </c>
    </row>
    <row r="99" spans="1:6" x14ac:dyDescent="0.3">
      <c r="A99" s="315"/>
      <c r="B99" s="316"/>
      <c r="C99" s="311"/>
      <c r="D99" s="312"/>
      <c r="E99" s="313">
        <v>309</v>
      </c>
      <c r="F99" s="144">
        <v>309</v>
      </c>
    </row>
    <row r="100" spans="1:6" x14ac:dyDescent="0.3">
      <c r="A100" s="315"/>
      <c r="B100" s="316"/>
      <c r="C100" s="311"/>
      <c r="D100" s="312"/>
      <c r="E100" s="313"/>
      <c r="F100" s="144">
        <v>312</v>
      </c>
    </row>
    <row r="101" spans="1:6" x14ac:dyDescent="0.3">
      <c r="A101" s="315">
        <v>330</v>
      </c>
      <c r="B101" s="316">
        <v>330</v>
      </c>
      <c r="C101" s="311">
        <v>330</v>
      </c>
      <c r="D101" s="312">
        <v>316</v>
      </c>
      <c r="E101" s="313">
        <v>316</v>
      </c>
      <c r="F101" s="144">
        <v>316</v>
      </c>
    </row>
    <row r="102" spans="1:6" x14ac:dyDescent="0.3">
      <c r="A102" s="315"/>
      <c r="B102" s="316"/>
      <c r="C102" s="311"/>
      <c r="D102" s="312"/>
      <c r="E102" s="313"/>
      <c r="F102" s="144">
        <v>320</v>
      </c>
    </row>
    <row r="103" spans="1:6" x14ac:dyDescent="0.3">
      <c r="A103" s="315"/>
      <c r="B103" s="316"/>
      <c r="C103" s="311"/>
      <c r="D103" s="312"/>
      <c r="E103" s="313">
        <v>324</v>
      </c>
      <c r="F103" s="144">
        <v>324</v>
      </c>
    </row>
    <row r="104" spans="1:6" x14ac:dyDescent="0.3">
      <c r="A104" s="315"/>
      <c r="B104" s="316"/>
      <c r="C104" s="311"/>
      <c r="D104" s="312"/>
      <c r="E104" s="313"/>
      <c r="F104" s="144">
        <v>328</v>
      </c>
    </row>
    <row r="105" spans="1:6" x14ac:dyDescent="0.3">
      <c r="A105" s="315"/>
      <c r="B105" s="316"/>
      <c r="C105" s="311"/>
      <c r="D105" s="312">
        <v>332</v>
      </c>
      <c r="E105" s="313">
        <v>332</v>
      </c>
      <c r="F105" s="144">
        <v>332</v>
      </c>
    </row>
    <row r="106" spans="1:6" x14ac:dyDescent="0.3">
      <c r="A106" s="315"/>
      <c r="B106" s="316"/>
      <c r="C106" s="311"/>
      <c r="D106" s="312"/>
      <c r="E106" s="313"/>
      <c r="F106" s="144">
        <v>336</v>
      </c>
    </row>
    <row r="107" spans="1:6" x14ac:dyDescent="0.3">
      <c r="A107" s="315"/>
      <c r="B107" s="316"/>
      <c r="C107" s="311"/>
      <c r="D107" s="312"/>
      <c r="E107" s="313">
        <v>340</v>
      </c>
      <c r="F107" s="144">
        <v>340</v>
      </c>
    </row>
    <row r="108" spans="1:6" x14ac:dyDescent="0.3">
      <c r="A108" s="315"/>
      <c r="B108" s="316"/>
      <c r="C108" s="311"/>
      <c r="D108" s="312"/>
      <c r="E108" s="313"/>
      <c r="F108" s="144">
        <v>344</v>
      </c>
    </row>
    <row r="109" spans="1:6" x14ac:dyDescent="0.3">
      <c r="A109" s="315"/>
      <c r="B109" s="316"/>
      <c r="C109" s="311">
        <v>360</v>
      </c>
      <c r="D109" s="312">
        <v>348</v>
      </c>
      <c r="E109" s="313">
        <v>348</v>
      </c>
      <c r="F109" s="144">
        <v>348</v>
      </c>
    </row>
    <row r="110" spans="1:6" x14ac:dyDescent="0.3">
      <c r="A110" s="315"/>
      <c r="B110" s="316"/>
      <c r="C110" s="311"/>
      <c r="D110" s="312"/>
      <c r="E110" s="313"/>
      <c r="F110" s="144">
        <v>352</v>
      </c>
    </row>
    <row r="111" spans="1:6" x14ac:dyDescent="0.3">
      <c r="A111" s="315"/>
      <c r="B111" s="316"/>
      <c r="C111" s="311"/>
      <c r="D111" s="312"/>
      <c r="E111" s="313">
        <v>357</v>
      </c>
      <c r="F111" s="144">
        <v>357</v>
      </c>
    </row>
    <row r="112" spans="1:6" x14ac:dyDescent="0.3">
      <c r="A112" s="315"/>
      <c r="B112" s="316"/>
      <c r="C112" s="311"/>
      <c r="D112" s="312"/>
      <c r="E112" s="313"/>
      <c r="F112" s="144">
        <v>361</v>
      </c>
    </row>
    <row r="113" spans="1:6" x14ac:dyDescent="0.3">
      <c r="A113" s="315"/>
      <c r="B113" s="316"/>
      <c r="C113" s="311"/>
      <c r="D113" s="312">
        <v>365</v>
      </c>
      <c r="E113" s="313">
        <v>365</v>
      </c>
      <c r="F113" s="144">
        <v>365</v>
      </c>
    </row>
    <row r="114" spans="1:6" x14ac:dyDescent="0.3">
      <c r="A114" s="315"/>
      <c r="B114" s="316"/>
      <c r="C114" s="311"/>
      <c r="D114" s="312"/>
      <c r="E114" s="313"/>
      <c r="F114" s="144">
        <v>370</v>
      </c>
    </row>
    <row r="115" spans="1:6" x14ac:dyDescent="0.3">
      <c r="A115" s="315"/>
      <c r="B115" s="316"/>
      <c r="C115" s="311"/>
      <c r="D115" s="312"/>
      <c r="E115" s="313">
        <v>374</v>
      </c>
      <c r="F115" s="144">
        <v>374</v>
      </c>
    </row>
    <row r="116" spans="1:6" x14ac:dyDescent="0.3">
      <c r="A116" s="315"/>
      <c r="B116" s="316"/>
      <c r="C116" s="311"/>
      <c r="D116" s="312"/>
      <c r="E116" s="313"/>
      <c r="F116" s="144">
        <v>379</v>
      </c>
    </row>
    <row r="117" spans="1:6" x14ac:dyDescent="0.3">
      <c r="A117" s="315"/>
      <c r="B117" s="316">
        <v>390</v>
      </c>
      <c r="C117" s="311">
        <v>390</v>
      </c>
      <c r="D117" s="312">
        <v>383</v>
      </c>
      <c r="E117" s="313">
        <v>383</v>
      </c>
      <c r="F117" s="144">
        <v>383</v>
      </c>
    </row>
    <row r="118" spans="1:6" x14ac:dyDescent="0.3">
      <c r="A118" s="315"/>
      <c r="B118" s="316"/>
      <c r="C118" s="311"/>
      <c r="D118" s="312"/>
      <c r="E118" s="313"/>
      <c r="F118" s="144">
        <v>388</v>
      </c>
    </row>
    <row r="119" spans="1:6" x14ac:dyDescent="0.3">
      <c r="A119" s="315"/>
      <c r="B119" s="316"/>
      <c r="C119" s="311"/>
      <c r="D119" s="312"/>
      <c r="E119" s="313">
        <v>392</v>
      </c>
      <c r="F119" s="144">
        <v>392</v>
      </c>
    </row>
    <row r="120" spans="1:6" x14ac:dyDescent="0.3">
      <c r="A120" s="315"/>
      <c r="B120" s="316"/>
      <c r="C120" s="311"/>
      <c r="D120" s="312"/>
      <c r="E120" s="313"/>
      <c r="F120" s="144">
        <v>397</v>
      </c>
    </row>
    <row r="121" spans="1:6" x14ac:dyDescent="0.3">
      <c r="A121" s="315"/>
      <c r="B121" s="316"/>
      <c r="C121" s="311"/>
      <c r="D121" s="312">
        <v>402</v>
      </c>
      <c r="E121" s="313">
        <v>402</v>
      </c>
      <c r="F121" s="144">
        <v>402</v>
      </c>
    </row>
    <row r="122" spans="1:6" x14ac:dyDescent="0.3">
      <c r="A122" s="315"/>
      <c r="B122" s="316"/>
      <c r="C122" s="311"/>
      <c r="D122" s="312"/>
      <c r="E122" s="313"/>
      <c r="F122" s="144">
        <v>407</v>
      </c>
    </row>
    <row r="123" spans="1:6" x14ac:dyDescent="0.3">
      <c r="A123" s="315"/>
      <c r="B123" s="316"/>
      <c r="C123" s="311"/>
      <c r="D123" s="312"/>
      <c r="E123" s="313">
        <v>412</v>
      </c>
      <c r="F123" s="144">
        <v>412</v>
      </c>
    </row>
    <row r="124" spans="1:6" x14ac:dyDescent="0.3">
      <c r="A124" s="315"/>
      <c r="B124" s="316"/>
      <c r="C124" s="311"/>
      <c r="D124" s="312"/>
      <c r="E124" s="313"/>
      <c r="F124" s="144">
        <v>417</v>
      </c>
    </row>
    <row r="125" spans="1:6" x14ac:dyDescent="0.3">
      <c r="A125" s="315"/>
      <c r="B125" s="316"/>
      <c r="C125" s="311">
        <v>430</v>
      </c>
      <c r="D125" s="312">
        <v>422</v>
      </c>
      <c r="E125" s="313">
        <v>422</v>
      </c>
      <c r="F125" s="144">
        <v>422</v>
      </c>
    </row>
    <row r="126" spans="1:6" x14ac:dyDescent="0.3">
      <c r="A126" s="315"/>
      <c r="B126" s="316"/>
      <c r="C126" s="311"/>
      <c r="D126" s="312"/>
      <c r="E126" s="313"/>
      <c r="F126" s="144">
        <v>427</v>
      </c>
    </row>
    <row r="127" spans="1:6" x14ac:dyDescent="0.3">
      <c r="A127" s="315"/>
      <c r="B127" s="316"/>
      <c r="C127" s="311"/>
      <c r="D127" s="312"/>
      <c r="E127" s="313">
        <v>432</v>
      </c>
      <c r="F127" s="144">
        <v>432</v>
      </c>
    </row>
    <row r="128" spans="1:6" x14ac:dyDescent="0.3">
      <c r="A128" s="315"/>
      <c r="B128" s="316"/>
      <c r="C128" s="311"/>
      <c r="D128" s="312"/>
      <c r="E128" s="313"/>
      <c r="F128" s="144">
        <v>437</v>
      </c>
    </row>
    <row r="129" spans="1:6" x14ac:dyDescent="0.3">
      <c r="A129" s="315"/>
      <c r="B129" s="316"/>
      <c r="C129" s="311"/>
      <c r="D129" s="312">
        <v>442</v>
      </c>
      <c r="E129" s="313">
        <v>442</v>
      </c>
      <c r="F129" s="144">
        <v>442</v>
      </c>
    </row>
    <row r="130" spans="1:6" x14ac:dyDescent="0.3">
      <c r="A130" s="315"/>
      <c r="B130" s="316"/>
      <c r="C130" s="311"/>
      <c r="D130" s="312"/>
      <c r="E130" s="313"/>
      <c r="F130" s="144">
        <v>448</v>
      </c>
    </row>
    <row r="131" spans="1:6" x14ac:dyDescent="0.3">
      <c r="A131" s="315"/>
      <c r="B131" s="316"/>
      <c r="C131" s="311"/>
      <c r="D131" s="312"/>
      <c r="E131" s="313">
        <v>453</v>
      </c>
      <c r="F131" s="144">
        <v>453</v>
      </c>
    </row>
    <row r="132" spans="1:6" x14ac:dyDescent="0.3">
      <c r="A132" s="315"/>
      <c r="B132" s="316"/>
      <c r="C132" s="311"/>
      <c r="D132" s="312"/>
      <c r="E132" s="313"/>
      <c r="F132" s="144">
        <v>459</v>
      </c>
    </row>
    <row r="133" spans="1:6" x14ac:dyDescent="0.3">
      <c r="A133" s="315">
        <v>470</v>
      </c>
      <c r="B133" s="316">
        <v>470</v>
      </c>
      <c r="C133" s="311">
        <v>470</v>
      </c>
      <c r="D133" s="312">
        <v>464</v>
      </c>
      <c r="E133" s="313">
        <v>464</v>
      </c>
      <c r="F133" s="144">
        <v>464</v>
      </c>
    </row>
    <row r="134" spans="1:6" x14ac:dyDescent="0.3">
      <c r="A134" s="315"/>
      <c r="B134" s="316"/>
      <c r="C134" s="311"/>
      <c r="D134" s="312"/>
      <c r="E134" s="313"/>
      <c r="F134" s="144">
        <v>470</v>
      </c>
    </row>
    <row r="135" spans="1:6" x14ac:dyDescent="0.3">
      <c r="A135" s="315"/>
      <c r="B135" s="316"/>
      <c r="C135" s="311"/>
      <c r="D135" s="312"/>
      <c r="E135" s="313">
        <v>475</v>
      </c>
      <c r="F135" s="144">
        <v>475</v>
      </c>
    </row>
    <row r="136" spans="1:6" x14ac:dyDescent="0.3">
      <c r="A136" s="315"/>
      <c r="B136" s="316"/>
      <c r="C136" s="311"/>
      <c r="D136" s="312"/>
      <c r="E136" s="313"/>
      <c r="F136" s="144">
        <v>481</v>
      </c>
    </row>
    <row r="137" spans="1:6" x14ac:dyDescent="0.3">
      <c r="A137" s="315"/>
      <c r="B137" s="316"/>
      <c r="C137" s="311"/>
      <c r="D137" s="312">
        <v>487</v>
      </c>
      <c r="E137" s="313">
        <v>487</v>
      </c>
      <c r="F137" s="144">
        <v>487</v>
      </c>
    </row>
    <row r="138" spans="1:6" x14ac:dyDescent="0.3">
      <c r="A138" s="315"/>
      <c r="B138" s="316"/>
      <c r="C138" s="311"/>
      <c r="D138" s="312"/>
      <c r="E138" s="313"/>
      <c r="F138" s="144">
        <v>493</v>
      </c>
    </row>
    <row r="139" spans="1:6" x14ac:dyDescent="0.3">
      <c r="A139" s="315"/>
      <c r="B139" s="316"/>
      <c r="C139" s="311"/>
      <c r="D139" s="312"/>
      <c r="E139" s="313">
        <v>499</v>
      </c>
      <c r="F139" s="144">
        <v>499</v>
      </c>
    </row>
    <row r="140" spans="1:6" x14ac:dyDescent="0.3">
      <c r="A140" s="315"/>
      <c r="B140" s="316"/>
      <c r="C140" s="311"/>
      <c r="D140" s="312"/>
      <c r="E140" s="313"/>
      <c r="F140" s="144">
        <v>505</v>
      </c>
    </row>
    <row r="141" spans="1:6" x14ac:dyDescent="0.3">
      <c r="A141" s="315"/>
      <c r="B141" s="316"/>
      <c r="C141" s="311">
        <v>510</v>
      </c>
      <c r="D141" s="312">
        <v>511</v>
      </c>
      <c r="E141" s="313">
        <v>511</v>
      </c>
      <c r="F141" s="144">
        <v>511</v>
      </c>
    </row>
    <row r="142" spans="1:6" x14ac:dyDescent="0.3">
      <c r="A142" s="315"/>
      <c r="B142" s="316"/>
      <c r="C142" s="311"/>
      <c r="D142" s="312"/>
      <c r="E142" s="313"/>
      <c r="F142" s="144">
        <v>517</v>
      </c>
    </row>
    <row r="143" spans="1:6" x14ac:dyDescent="0.3">
      <c r="A143" s="315"/>
      <c r="B143" s="316"/>
      <c r="C143" s="311"/>
      <c r="D143" s="312"/>
      <c r="E143" s="313">
        <v>523</v>
      </c>
      <c r="F143" s="144">
        <v>523</v>
      </c>
    </row>
    <row r="144" spans="1:6" x14ac:dyDescent="0.3">
      <c r="A144" s="315"/>
      <c r="B144" s="316"/>
      <c r="C144" s="311"/>
      <c r="D144" s="312"/>
      <c r="E144" s="313"/>
      <c r="F144" s="144">
        <v>530</v>
      </c>
    </row>
    <row r="145" spans="1:6" x14ac:dyDescent="0.3">
      <c r="A145" s="315"/>
      <c r="B145" s="316"/>
      <c r="C145" s="311"/>
      <c r="D145" s="312">
        <v>536</v>
      </c>
      <c r="E145" s="313">
        <v>536</v>
      </c>
      <c r="F145" s="144">
        <v>536</v>
      </c>
    </row>
    <row r="146" spans="1:6" x14ac:dyDescent="0.3">
      <c r="A146" s="315"/>
      <c r="B146" s="316"/>
      <c r="C146" s="311"/>
      <c r="D146" s="312"/>
      <c r="E146" s="313"/>
      <c r="F146" s="144">
        <v>542</v>
      </c>
    </row>
    <row r="147" spans="1:6" x14ac:dyDescent="0.3">
      <c r="A147" s="315"/>
      <c r="B147" s="316"/>
      <c r="C147" s="311"/>
      <c r="D147" s="312"/>
      <c r="E147" s="313">
        <v>549</v>
      </c>
      <c r="F147" s="144">
        <v>549</v>
      </c>
    </row>
    <row r="148" spans="1:6" x14ac:dyDescent="0.3">
      <c r="A148" s="315"/>
      <c r="B148" s="316"/>
      <c r="C148" s="311"/>
      <c r="D148" s="312"/>
      <c r="E148" s="313"/>
      <c r="F148" s="144">
        <v>556</v>
      </c>
    </row>
    <row r="149" spans="1:6" x14ac:dyDescent="0.3">
      <c r="A149" s="315"/>
      <c r="B149" s="316">
        <v>560</v>
      </c>
      <c r="C149" s="311">
        <v>560</v>
      </c>
      <c r="D149" s="312">
        <v>562</v>
      </c>
      <c r="E149" s="313">
        <v>562</v>
      </c>
      <c r="F149" s="144">
        <v>562</v>
      </c>
    </row>
    <row r="150" spans="1:6" x14ac:dyDescent="0.3">
      <c r="A150" s="315"/>
      <c r="B150" s="316"/>
      <c r="C150" s="311"/>
      <c r="D150" s="312"/>
      <c r="E150" s="313"/>
      <c r="F150" s="144">
        <v>569</v>
      </c>
    </row>
    <row r="151" spans="1:6" x14ac:dyDescent="0.3">
      <c r="A151" s="315"/>
      <c r="B151" s="316"/>
      <c r="C151" s="311"/>
      <c r="D151" s="312"/>
      <c r="E151" s="313">
        <v>576</v>
      </c>
      <c r="F151" s="144">
        <v>576</v>
      </c>
    </row>
    <row r="152" spans="1:6" x14ac:dyDescent="0.3">
      <c r="A152" s="315"/>
      <c r="B152" s="316"/>
      <c r="C152" s="311"/>
      <c r="D152" s="312"/>
      <c r="E152" s="313"/>
      <c r="F152" s="144">
        <v>583</v>
      </c>
    </row>
    <row r="153" spans="1:6" x14ac:dyDescent="0.3">
      <c r="A153" s="315"/>
      <c r="B153" s="316"/>
      <c r="C153" s="311"/>
      <c r="D153" s="312">
        <v>590</v>
      </c>
      <c r="E153" s="313">
        <v>590</v>
      </c>
      <c r="F153" s="144">
        <v>590</v>
      </c>
    </row>
    <row r="154" spans="1:6" x14ac:dyDescent="0.3">
      <c r="A154" s="315"/>
      <c r="B154" s="316"/>
      <c r="C154" s="311"/>
      <c r="D154" s="312"/>
      <c r="E154" s="313"/>
      <c r="F154" s="144">
        <v>597</v>
      </c>
    </row>
    <row r="155" spans="1:6" x14ac:dyDescent="0.3">
      <c r="A155" s="315"/>
      <c r="B155" s="316"/>
      <c r="C155" s="311"/>
      <c r="D155" s="312"/>
      <c r="E155" s="313">
        <v>604</v>
      </c>
      <c r="F155" s="144">
        <v>604</v>
      </c>
    </row>
    <row r="156" spans="1:6" x14ac:dyDescent="0.3">
      <c r="A156" s="315"/>
      <c r="B156" s="316"/>
      <c r="C156" s="311"/>
      <c r="D156" s="312"/>
      <c r="E156" s="313"/>
      <c r="F156" s="144">
        <v>612</v>
      </c>
    </row>
    <row r="157" spans="1:6" x14ac:dyDescent="0.3">
      <c r="A157" s="315"/>
      <c r="B157" s="316"/>
      <c r="C157" s="311">
        <v>620</v>
      </c>
      <c r="D157" s="312">
        <v>619</v>
      </c>
      <c r="E157" s="313">
        <v>619</v>
      </c>
      <c r="F157" s="144">
        <v>619</v>
      </c>
    </row>
    <row r="158" spans="1:6" x14ac:dyDescent="0.3">
      <c r="A158" s="315"/>
      <c r="B158" s="316"/>
      <c r="C158" s="311"/>
      <c r="D158" s="312"/>
      <c r="E158" s="313"/>
      <c r="F158" s="144">
        <v>626</v>
      </c>
    </row>
    <row r="159" spans="1:6" x14ac:dyDescent="0.3">
      <c r="A159" s="315"/>
      <c r="B159" s="316"/>
      <c r="C159" s="311"/>
      <c r="D159" s="312"/>
      <c r="E159" s="313">
        <v>634</v>
      </c>
      <c r="F159" s="144">
        <v>634</v>
      </c>
    </row>
    <row r="160" spans="1:6" x14ac:dyDescent="0.3">
      <c r="A160" s="315"/>
      <c r="B160" s="316"/>
      <c r="C160" s="311"/>
      <c r="D160" s="312"/>
      <c r="E160" s="313"/>
      <c r="F160" s="144">
        <v>642</v>
      </c>
    </row>
    <row r="161" spans="1:6" x14ac:dyDescent="0.3">
      <c r="A161" s="315"/>
      <c r="B161" s="316"/>
      <c r="C161" s="311"/>
      <c r="D161" s="312">
        <v>649</v>
      </c>
      <c r="E161" s="313">
        <v>649</v>
      </c>
      <c r="F161" s="144">
        <v>649</v>
      </c>
    </row>
    <row r="162" spans="1:6" x14ac:dyDescent="0.3">
      <c r="A162" s="315"/>
      <c r="B162" s="316"/>
      <c r="C162" s="311"/>
      <c r="D162" s="312"/>
      <c r="E162" s="313"/>
      <c r="F162" s="144">
        <v>657</v>
      </c>
    </row>
    <row r="163" spans="1:6" x14ac:dyDescent="0.3">
      <c r="A163" s="315"/>
      <c r="B163" s="316"/>
      <c r="C163" s="311"/>
      <c r="D163" s="312"/>
      <c r="E163" s="313">
        <v>665</v>
      </c>
      <c r="F163" s="144">
        <v>665</v>
      </c>
    </row>
    <row r="164" spans="1:6" x14ac:dyDescent="0.3">
      <c r="A164" s="315"/>
      <c r="B164" s="316"/>
      <c r="C164" s="311"/>
      <c r="D164" s="312"/>
      <c r="E164" s="313"/>
      <c r="F164" s="144">
        <v>673</v>
      </c>
    </row>
    <row r="165" spans="1:6" x14ac:dyDescent="0.3">
      <c r="A165" s="315">
        <v>680</v>
      </c>
      <c r="B165" s="316">
        <v>680</v>
      </c>
      <c r="C165" s="311">
        <v>680</v>
      </c>
      <c r="D165" s="312">
        <v>681</v>
      </c>
      <c r="E165" s="313">
        <v>681</v>
      </c>
      <c r="F165" s="144">
        <v>681</v>
      </c>
    </row>
    <row r="166" spans="1:6" x14ac:dyDescent="0.3">
      <c r="A166" s="315"/>
      <c r="B166" s="316"/>
      <c r="C166" s="311"/>
      <c r="D166" s="312"/>
      <c r="E166" s="313"/>
      <c r="F166" s="144">
        <v>690</v>
      </c>
    </row>
    <row r="167" spans="1:6" x14ac:dyDescent="0.3">
      <c r="A167" s="315"/>
      <c r="B167" s="316"/>
      <c r="C167" s="311"/>
      <c r="D167" s="312"/>
      <c r="E167" s="313">
        <v>698</v>
      </c>
      <c r="F167" s="144">
        <v>698</v>
      </c>
    </row>
    <row r="168" spans="1:6" x14ac:dyDescent="0.3">
      <c r="A168" s="315"/>
      <c r="B168" s="316"/>
      <c r="C168" s="311"/>
      <c r="D168" s="312"/>
      <c r="E168" s="313"/>
      <c r="F168" s="144">
        <v>706</v>
      </c>
    </row>
    <row r="169" spans="1:6" x14ac:dyDescent="0.3">
      <c r="A169" s="315"/>
      <c r="B169" s="316"/>
      <c r="C169" s="311"/>
      <c r="D169" s="312">
        <v>715</v>
      </c>
      <c r="E169" s="313">
        <v>715</v>
      </c>
      <c r="F169" s="144">
        <v>715</v>
      </c>
    </row>
    <row r="170" spans="1:6" x14ac:dyDescent="0.3">
      <c r="A170" s="315"/>
      <c r="B170" s="316"/>
      <c r="C170" s="311"/>
      <c r="D170" s="312"/>
      <c r="E170" s="313"/>
      <c r="F170" s="144">
        <v>723</v>
      </c>
    </row>
    <row r="171" spans="1:6" x14ac:dyDescent="0.3">
      <c r="A171" s="315"/>
      <c r="B171" s="316"/>
      <c r="C171" s="311"/>
      <c r="D171" s="312"/>
      <c r="E171" s="313">
        <v>732</v>
      </c>
      <c r="F171" s="144">
        <v>732</v>
      </c>
    </row>
    <row r="172" spans="1:6" x14ac:dyDescent="0.3">
      <c r="A172" s="315"/>
      <c r="B172" s="316"/>
      <c r="C172" s="311"/>
      <c r="D172" s="312"/>
      <c r="E172" s="313"/>
      <c r="F172" s="144">
        <v>741</v>
      </c>
    </row>
    <row r="173" spans="1:6" x14ac:dyDescent="0.3">
      <c r="A173" s="315"/>
      <c r="B173" s="316"/>
      <c r="C173" s="311">
        <v>750</v>
      </c>
      <c r="D173" s="312">
        <v>750</v>
      </c>
      <c r="E173" s="313">
        <v>750</v>
      </c>
      <c r="F173" s="144">
        <v>750</v>
      </c>
    </row>
    <row r="174" spans="1:6" x14ac:dyDescent="0.3">
      <c r="A174" s="315"/>
      <c r="B174" s="316"/>
      <c r="C174" s="311"/>
      <c r="D174" s="312"/>
      <c r="E174" s="313"/>
      <c r="F174" s="144">
        <v>759</v>
      </c>
    </row>
    <row r="175" spans="1:6" x14ac:dyDescent="0.3">
      <c r="A175" s="315"/>
      <c r="B175" s="316"/>
      <c r="C175" s="311"/>
      <c r="D175" s="312"/>
      <c r="E175" s="313">
        <v>768</v>
      </c>
      <c r="F175" s="144">
        <v>768</v>
      </c>
    </row>
    <row r="176" spans="1:6" x14ac:dyDescent="0.3">
      <c r="A176" s="315"/>
      <c r="B176" s="316"/>
      <c r="C176" s="311"/>
      <c r="D176" s="312"/>
      <c r="E176" s="313"/>
      <c r="F176" s="144">
        <v>777</v>
      </c>
    </row>
    <row r="177" spans="1:6" x14ac:dyDescent="0.3">
      <c r="A177" s="315"/>
      <c r="B177" s="316"/>
      <c r="C177" s="311"/>
      <c r="D177" s="312">
        <v>787</v>
      </c>
      <c r="E177" s="313">
        <v>787</v>
      </c>
      <c r="F177" s="144">
        <v>787</v>
      </c>
    </row>
    <row r="178" spans="1:6" x14ac:dyDescent="0.3">
      <c r="A178" s="315"/>
      <c r="B178" s="316"/>
      <c r="C178" s="311"/>
      <c r="D178" s="312"/>
      <c r="E178" s="313"/>
      <c r="F178" s="144">
        <v>796</v>
      </c>
    </row>
    <row r="179" spans="1:6" x14ac:dyDescent="0.3">
      <c r="A179" s="315"/>
      <c r="B179" s="316"/>
      <c r="C179" s="311"/>
      <c r="D179" s="312"/>
      <c r="E179" s="313">
        <v>806</v>
      </c>
      <c r="F179" s="144">
        <v>806</v>
      </c>
    </row>
    <row r="180" spans="1:6" x14ac:dyDescent="0.3">
      <c r="A180" s="315"/>
      <c r="B180" s="316"/>
      <c r="C180" s="311"/>
      <c r="D180" s="312"/>
      <c r="E180" s="313"/>
      <c r="F180" s="144">
        <v>816</v>
      </c>
    </row>
    <row r="181" spans="1:6" x14ac:dyDescent="0.3">
      <c r="A181" s="315"/>
      <c r="B181" s="316">
        <v>820</v>
      </c>
      <c r="C181" s="311">
        <v>820</v>
      </c>
      <c r="D181" s="312">
        <v>825</v>
      </c>
      <c r="E181" s="313">
        <v>825</v>
      </c>
      <c r="F181" s="144">
        <v>825</v>
      </c>
    </row>
    <row r="182" spans="1:6" x14ac:dyDescent="0.3">
      <c r="A182" s="315"/>
      <c r="B182" s="316"/>
      <c r="C182" s="311"/>
      <c r="D182" s="312"/>
      <c r="E182" s="313"/>
      <c r="F182" s="144">
        <v>835</v>
      </c>
    </row>
    <row r="183" spans="1:6" x14ac:dyDescent="0.3">
      <c r="A183" s="315"/>
      <c r="B183" s="316"/>
      <c r="C183" s="311"/>
      <c r="D183" s="312"/>
      <c r="E183" s="313">
        <v>845</v>
      </c>
      <c r="F183" s="144">
        <v>845</v>
      </c>
    </row>
    <row r="184" spans="1:6" x14ac:dyDescent="0.3">
      <c r="A184" s="315"/>
      <c r="B184" s="316"/>
      <c r="C184" s="311"/>
      <c r="D184" s="312"/>
      <c r="E184" s="313"/>
      <c r="F184" s="144">
        <v>856</v>
      </c>
    </row>
    <row r="185" spans="1:6" x14ac:dyDescent="0.3">
      <c r="A185" s="315"/>
      <c r="B185" s="316"/>
      <c r="C185" s="311"/>
      <c r="D185" s="312">
        <v>866</v>
      </c>
      <c r="E185" s="313">
        <v>866</v>
      </c>
      <c r="F185" s="144">
        <v>866</v>
      </c>
    </row>
    <row r="186" spans="1:6" x14ac:dyDescent="0.3">
      <c r="A186" s="315"/>
      <c r="B186" s="316"/>
      <c r="C186" s="311"/>
      <c r="D186" s="312"/>
      <c r="E186" s="313"/>
      <c r="F186" s="144">
        <v>876</v>
      </c>
    </row>
    <row r="187" spans="1:6" x14ac:dyDescent="0.3">
      <c r="A187" s="315"/>
      <c r="B187" s="316"/>
      <c r="C187" s="311"/>
      <c r="D187" s="312"/>
      <c r="E187" s="313">
        <v>887</v>
      </c>
      <c r="F187" s="144">
        <v>887</v>
      </c>
    </row>
    <row r="188" spans="1:6" x14ac:dyDescent="0.3">
      <c r="A188" s="315"/>
      <c r="B188" s="316"/>
      <c r="C188" s="311"/>
      <c r="D188" s="312"/>
      <c r="E188" s="313"/>
      <c r="F188" s="144">
        <v>898</v>
      </c>
    </row>
    <row r="189" spans="1:6" x14ac:dyDescent="0.3">
      <c r="A189" s="315"/>
      <c r="B189" s="316"/>
      <c r="C189" s="311">
        <v>910</v>
      </c>
      <c r="D189" s="312">
        <v>909</v>
      </c>
      <c r="E189" s="313">
        <v>909</v>
      </c>
      <c r="F189" s="144">
        <v>909</v>
      </c>
    </row>
    <row r="190" spans="1:6" x14ac:dyDescent="0.3">
      <c r="A190" s="315"/>
      <c r="B190" s="316"/>
      <c r="C190" s="311"/>
      <c r="D190" s="312"/>
      <c r="E190" s="313"/>
      <c r="F190" s="144">
        <v>920</v>
      </c>
    </row>
    <row r="191" spans="1:6" x14ac:dyDescent="0.3">
      <c r="A191" s="315"/>
      <c r="B191" s="316"/>
      <c r="C191" s="311"/>
      <c r="D191" s="312"/>
      <c r="E191" s="313">
        <v>931</v>
      </c>
      <c r="F191" s="144">
        <v>931</v>
      </c>
    </row>
    <row r="192" spans="1:6" x14ac:dyDescent="0.3">
      <c r="A192" s="315"/>
      <c r="B192" s="316"/>
      <c r="C192" s="311"/>
      <c r="D192" s="312"/>
      <c r="E192" s="313"/>
      <c r="F192" s="144">
        <v>942</v>
      </c>
    </row>
    <row r="193" spans="1:7" x14ac:dyDescent="0.3">
      <c r="A193" s="315"/>
      <c r="B193" s="316"/>
      <c r="C193" s="311"/>
      <c r="D193" s="312">
        <v>953</v>
      </c>
      <c r="E193" s="313">
        <v>953</v>
      </c>
      <c r="F193" s="144">
        <v>953</v>
      </c>
    </row>
    <row r="194" spans="1:7" x14ac:dyDescent="0.3">
      <c r="A194" s="315"/>
      <c r="B194" s="316"/>
      <c r="C194" s="311"/>
      <c r="D194" s="312"/>
      <c r="E194" s="313"/>
      <c r="F194" s="144">
        <v>965</v>
      </c>
    </row>
    <row r="195" spans="1:7" x14ac:dyDescent="0.3">
      <c r="A195" s="315"/>
      <c r="B195" s="316"/>
      <c r="C195" s="311"/>
      <c r="D195" s="312"/>
      <c r="E195" s="313">
        <v>976</v>
      </c>
      <c r="F195" s="144">
        <v>976</v>
      </c>
    </row>
    <row r="196" spans="1:7" x14ac:dyDescent="0.3">
      <c r="A196" s="315"/>
      <c r="B196" s="316"/>
      <c r="C196" s="311"/>
      <c r="D196" s="312"/>
      <c r="E196" s="313"/>
      <c r="F196" s="144">
        <v>988</v>
      </c>
    </row>
    <row r="197" spans="1:7" x14ac:dyDescent="0.3">
      <c r="A197" s="146">
        <v>1000</v>
      </c>
      <c r="B197" s="147">
        <v>1000</v>
      </c>
      <c r="C197" s="148">
        <v>1000</v>
      </c>
      <c r="D197" s="149">
        <v>1000</v>
      </c>
      <c r="E197" s="150">
        <v>1000</v>
      </c>
      <c r="F197" s="151">
        <v>1000</v>
      </c>
      <c r="G197" s="152" t="s">
        <v>422</v>
      </c>
    </row>
  </sheetData>
  <sheetProtection sheet="1" objects="1" scenarios="1"/>
  <mergeCells count="187">
    <mergeCell ref="E177:E178"/>
    <mergeCell ref="D189:D192"/>
    <mergeCell ref="E189:E190"/>
    <mergeCell ref="E191:E192"/>
    <mergeCell ref="D193:D196"/>
    <mergeCell ref="E193:E194"/>
    <mergeCell ref="E195:E196"/>
    <mergeCell ref="E179:E180"/>
    <mergeCell ref="B181:B196"/>
    <mergeCell ref="C181:C188"/>
    <mergeCell ref="D181:D184"/>
    <mergeCell ref="E181:E182"/>
    <mergeCell ref="E183:E184"/>
    <mergeCell ref="D185:D188"/>
    <mergeCell ref="E185:E186"/>
    <mergeCell ref="E187:E188"/>
    <mergeCell ref="C189:C196"/>
    <mergeCell ref="A165:A196"/>
    <mergeCell ref="B165:B180"/>
    <mergeCell ref="C165:C172"/>
    <mergeCell ref="D165:D168"/>
    <mergeCell ref="E165:E166"/>
    <mergeCell ref="B149:B164"/>
    <mergeCell ref="C149:C156"/>
    <mergeCell ref="D149:D152"/>
    <mergeCell ref="E149:E150"/>
    <mergeCell ref="E151:E152"/>
    <mergeCell ref="D153:D156"/>
    <mergeCell ref="E153:E154"/>
    <mergeCell ref="E155:E156"/>
    <mergeCell ref="C157:C164"/>
    <mergeCell ref="D157:D160"/>
    <mergeCell ref="E167:E168"/>
    <mergeCell ref="D169:D172"/>
    <mergeCell ref="E169:E170"/>
    <mergeCell ref="E171:E172"/>
    <mergeCell ref="C173:C180"/>
    <mergeCell ref="D173:D176"/>
    <mergeCell ref="E173:E174"/>
    <mergeCell ref="E175:E176"/>
    <mergeCell ref="D177:D180"/>
    <mergeCell ref="D141:D144"/>
    <mergeCell ref="E141:E142"/>
    <mergeCell ref="E143:E144"/>
    <mergeCell ref="D145:D148"/>
    <mergeCell ref="E145:E146"/>
    <mergeCell ref="E147:E148"/>
    <mergeCell ref="A133:A164"/>
    <mergeCell ref="B133:B148"/>
    <mergeCell ref="C133:C140"/>
    <mergeCell ref="D133:D136"/>
    <mergeCell ref="E133:E134"/>
    <mergeCell ref="E135:E136"/>
    <mergeCell ref="D137:D140"/>
    <mergeCell ref="E137:E138"/>
    <mergeCell ref="E139:E140"/>
    <mergeCell ref="C141:C148"/>
    <mergeCell ref="E157:E158"/>
    <mergeCell ref="E159:E160"/>
    <mergeCell ref="D161:D164"/>
    <mergeCell ref="E161:E162"/>
    <mergeCell ref="E163:E164"/>
    <mergeCell ref="E113:E114"/>
    <mergeCell ref="D125:D128"/>
    <mergeCell ref="E125:E126"/>
    <mergeCell ref="E127:E128"/>
    <mergeCell ref="D129:D132"/>
    <mergeCell ref="E129:E130"/>
    <mergeCell ref="E131:E132"/>
    <mergeCell ref="E115:E116"/>
    <mergeCell ref="B117:B132"/>
    <mergeCell ref="C117:C124"/>
    <mergeCell ref="D117:D120"/>
    <mergeCell ref="E117:E118"/>
    <mergeCell ref="E119:E120"/>
    <mergeCell ref="D121:D124"/>
    <mergeCell ref="E121:E122"/>
    <mergeCell ref="E123:E124"/>
    <mergeCell ref="C125:C132"/>
    <mergeCell ref="A101:A132"/>
    <mergeCell ref="B101:B116"/>
    <mergeCell ref="C101:C108"/>
    <mergeCell ref="D101:D104"/>
    <mergeCell ref="E101:E102"/>
    <mergeCell ref="B85:B100"/>
    <mergeCell ref="C85:C92"/>
    <mergeCell ref="D85:D88"/>
    <mergeCell ref="E85:E86"/>
    <mergeCell ref="E87:E88"/>
    <mergeCell ref="D89:D92"/>
    <mergeCell ref="E89:E90"/>
    <mergeCell ref="E91:E92"/>
    <mergeCell ref="C93:C100"/>
    <mergeCell ref="D93:D96"/>
    <mergeCell ref="E103:E104"/>
    <mergeCell ref="D105:D108"/>
    <mergeCell ref="E105:E106"/>
    <mergeCell ref="E107:E108"/>
    <mergeCell ref="C109:C116"/>
    <mergeCell ref="D109:D112"/>
    <mergeCell ref="E109:E110"/>
    <mergeCell ref="E111:E112"/>
    <mergeCell ref="D113:D116"/>
    <mergeCell ref="D77:D80"/>
    <mergeCell ref="E77:E78"/>
    <mergeCell ref="E79:E80"/>
    <mergeCell ref="D81:D84"/>
    <mergeCell ref="E81:E82"/>
    <mergeCell ref="E83:E84"/>
    <mergeCell ref="A69:A100"/>
    <mergeCell ref="B69:B84"/>
    <mergeCell ref="C69:C76"/>
    <mergeCell ref="D69:D72"/>
    <mergeCell ref="E69:E70"/>
    <mergeCell ref="E71:E72"/>
    <mergeCell ref="D73:D76"/>
    <mergeCell ref="E73:E74"/>
    <mergeCell ref="E75:E76"/>
    <mergeCell ref="C77:C84"/>
    <mergeCell ref="E93:E94"/>
    <mergeCell ref="E95:E96"/>
    <mergeCell ref="D97:D100"/>
    <mergeCell ref="E97:E98"/>
    <mergeCell ref="E99:E100"/>
    <mergeCell ref="E49:E50"/>
    <mergeCell ref="D61:D64"/>
    <mergeCell ref="E61:E62"/>
    <mergeCell ref="E63:E64"/>
    <mergeCell ref="D65:D68"/>
    <mergeCell ref="E65:E66"/>
    <mergeCell ref="E67:E68"/>
    <mergeCell ref="E51:E52"/>
    <mergeCell ref="B53:B68"/>
    <mergeCell ref="C53:C60"/>
    <mergeCell ref="D53:D56"/>
    <mergeCell ref="E53:E54"/>
    <mergeCell ref="E55:E56"/>
    <mergeCell ref="D57:D60"/>
    <mergeCell ref="E57:E58"/>
    <mergeCell ref="E59:E60"/>
    <mergeCell ref="C61:C68"/>
    <mergeCell ref="A37:A68"/>
    <mergeCell ref="B37:B52"/>
    <mergeCell ref="C37:C44"/>
    <mergeCell ref="D37:D40"/>
    <mergeCell ref="E37:E38"/>
    <mergeCell ref="B21:B36"/>
    <mergeCell ref="C21:C28"/>
    <mergeCell ref="D21:D24"/>
    <mergeCell ref="E21:E22"/>
    <mergeCell ref="E23:E24"/>
    <mergeCell ref="D25:D28"/>
    <mergeCell ref="E25:E26"/>
    <mergeCell ref="E27:E28"/>
    <mergeCell ref="C29:C36"/>
    <mergeCell ref="D29:D32"/>
    <mergeCell ref="E39:E40"/>
    <mergeCell ref="D41:D44"/>
    <mergeCell ref="E41:E42"/>
    <mergeCell ref="E43:E44"/>
    <mergeCell ref="C45:C52"/>
    <mergeCell ref="D45:D48"/>
    <mergeCell ref="E45:E46"/>
    <mergeCell ref="E47:E48"/>
    <mergeCell ref="D49:D52"/>
    <mergeCell ref="C13:C20"/>
    <mergeCell ref="D13:D16"/>
    <mergeCell ref="E13:E14"/>
    <mergeCell ref="E15:E16"/>
    <mergeCell ref="D17:D20"/>
    <mergeCell ref="E17:E18"/>
    <mergeCell ref="E19:E20"/>
    <mergeCell ref="A1:F1"/>
    <mergeCell ref="A5:A36"/>
    <mergeCell ref="B5:B20"/>
    <mergeCell ref="C5:C12"/>
    <mergeCell ref="D5:D8"/>
    <mergeCell ref="E5:E6"/>
    <mergeCell ref="E7:E8"/>
    <mergeCell ref="D9:D12"/>
    <mergeCell ref="E9:E10"/>
    <mergeCell ref="E11:E12"/>
    <mergeCell ref="E29:E30"/>
    <mergeCell ref="E31:E32"/>
    <mergeCell ref="D33:D36"/>
    <mergeCell ref="E33:E34"/>
    <mergeCell ref="E35:E36"/>
  </mergeCells>
  <phoneticPr fontId="5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8B9AA-0A0B-42F6-9D7E-CDEF53C1F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E7213C-EB81-44CF-9757-6BC109954BCA}">
  <ds:schemaRef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B96B0A9-E706-44C7-A8F1-19DE242839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33</vt:i4>
      </vt:variant>
    </vt:vector>
  </HeadingPairs>
  <TitlesOfParts>
    <vt:vector size="42" baseType="lpstr">
      <vt:lpstr>Instructions</vt:lpstr>
      <vt:lpstr>Design Calculator</vt:lpstr>
      <vt:lpstr>Device Parmaters</vt:lpstr>
      <vt:lpstr>Equations</vt:lpstr>
      <vt:lpstr>Start_up</vt:lpstr>
      <vt:lpstr>SOA</vt:lpstr>
      <vt:lpstr>dv_dt_recommendations</vt:lpstr>
      <vt:lpstr>Cap Tables</vt:lpstr>
      <vt:lpstr>Res EIA Tables</vt:lpstr>
      <vt:lpstr>CLMAX</vt:lpstr>
      <vt:lpstr>CLMAX_Threshold</vt:lpstr>
      <vt:lpstr>CLMIN</vt:lpstr>
      <vt:lpstr>CLMIN_Threshold</vt:lpstr>
      <vt:lpstr>CLNOM</vt:lpstr>
      <vt:lpstr>CLNOM_Threshold</vt:lpstr>
      <vt:lpstr>COUTMAX</vt:lpstr>
      <vt:lpstr>FETPDISS</vt:lpstr>
      <vt:lpstr>I_Cout_ss</vt:lpstr>
      <vt:lpstr>Inrush_Current</vt:lpstr>
      <vt:lpstr>IOUTMAX</vt:lpstr>
      <vt:lpstr>NUMFETS</vt:lpstr>
      <vt:lpstr>'Design Calculator'!Print_Area</vt:lpstr>
      <vt:lpstr>RDSON</vt:lpstr>
      <vt:lpstr>RIMON</vt:lpstr>
      <vt:lpstr>RLIM</vt:lpstr>
      <vt:lpstr>RPWR</vt:lpstr>
      <vt:lpstr>Rs</vt:lpstr>
      <vt:lpstr>RsEFF</vt:lpstr>
      <vt:lpstr>RSNS</vt:lpstr>
      <vt:lpstr>ss_rate</vt:lpstr>
      <vt:lpstr>TAMB</vt:lpstr>
      <vt:lpstr>ThetaJA</vt:lpstr>
      <vt:lpstr>TINSERTMAX</vt:lpstr>
      <vt:lpstr>TINSERTMIN</vt:lpstr>
      <vt:lpstr>TJ</vt:lpstr>
      <vt:lpstr>TJMAX</vt:lpstr>
      <vt:lpstr>TSTARTMAX</vt:lpstr>
      <vt:lpstr>TSTARTMIN</vt:lpstr>
      <vt:lpstr>TSTARTNOM</vt:lpstr>
      <vt:lpstr>VINMAX</vt:lpstr>
      <vt:lpstr>VINMIN</vt:lpstr>
      <vt:lpstr>VINNOM</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LM749X0 ID Design Calculator</dc:title>
  <dc:creator>praveen@ti.com</dc:creator>
  <cp:lastModifiedBy>Jimmy Wang</cp:lastModifiedBy>
  <cp:lastPrinted>2013-08-26T22:42:43Z</cp:lastPrinted>
  <dcterms:created xsi:type="dcterms:W3CDTF">2009-04-21T16:00:33Z</dcterms:created>
  <dcterms:modified xsi:type="dcterms:W3CDTF">2025-09-18T03:57:36Z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y fmtid="{D5CDD505-2E9C-101B-9397-08002B2CF9AE}" pid="3" name="MSIP_Label_879e395e-e3b5-421f-8616-70a10f9451af_Enabled">
    <vt:lpwstr>true</vt:lpwstr>
  </property>
  <property fmtid="{D5CDD505-2E9C-101B-9397-08002B2CF9AE}" pid="4" name="MSIP_Label_879e395e-e3b5-421f-8616-70a10f9451af_SetDate">
    <vt:lpwstr>2025-09-18T03:55:25Z</vt:lpwstr>
  </property>
  <property fmtid="{D5CDD505-2E9C-101B-9397-08002B2CF9AE}" pid="5" name="MSIP_Label_879e395e-e3b5-421f-8616-70a10f9451af_Method">
    <vt:lpwstr>Standard</vt:lpwstr>
  </property>
  <property fmtid="{D5CDD505-2E9C-101B-9397-08002B2CF9AE}" pid="6" name="MSIP_Label_879e395e-e3b5-421f-8616-70a10f9451af_Name">
    <vt:lpwstr>879e395e-e3b5-421f-8616-70a10f9451af</vt:lpwstr>
  </property>
  <property fmtid="{D5CDD505-2E9C-101B-9397-08002B2CF9AE}" pid="7" name="MSIP_Label_879e395e-e3b5-421f-8616-70a10f9451af_SiteId">
    <vt:lpwstr>0beb0c35-9cbb-4feb-99e5-589e415c7944</vt:lpwstr>
  </property>
  <property fmtid="{D5CDD505-2E9C-101B-9397-08002B2CF9AE}" pid="8" name="MSIP_Label_879e395e-e3b5-421f-8616-70a10f9451af_ActionId">
    <vt:lpwstr>4789717b-287c-42d9-b93a-e3625e493942</vt:lpwstr>
  </property>
  <property fmtid="{D5CDD505-2E9C-101B-9397-08002B2CF9AE}" pid="9" name="MSIP_Label_879e395e-e3b5-421f-8616-70a10f9451af_ContentBits">
    <vt:lpwstr>0</vt:lpwstr>
  </property>
  <property fmtid="{D5CDD505-2E9C-101B-9397-08002B2CF9AE}" pid="10" name="MSIP_Label_879e395e-e3b5-421f-8616-70a10f9451af_Tag">
    <vt:lpwstr>10, 3, 0, 1</vt:lpwstr>
  </property>
</Properties>
</file>