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nowicki/Desktop/"/>
    </mc:Choice>
  </mc:AlternateContent>
  <xr:revisionPtr revIDLastSave="0" documentId="13_ncr:1_{CA30910F-4B69-E340-BBE4-B62E3EAAB808}" xr6:coauthVersionLast="47" xr6:coauthVersionMax="47" xr10:uidLastSave="{00000000-0000-0000-0000-000000000000}"/>
  <bookViews>
    <workbookView xWindow="0" yWindow="760" windowWidth="34560" windowHeight="20400" xr2:uid="{97DED34A-E332-524C-9F71-C11C5C5FF118}"/>
  </bookViews>
  <sheets>
    <sheet name="Datashe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17" i="3"/>
  <c r="C60" i="3"/>
  <c r="O20" i="3"/>
  <c r="I14" i="3" s="1"/>
  <c r="I10" i="3"/>
  <c r="I6" i="3"/>
  <c r="C6" i="3"/>
  <c r="C71" i="3"/>
  <c r="C69" i="3"/>
  <c r="C65" i="3"/>
  <c r="C67" i="3" s="1"/>
  <c r="C64" i="3"/>
  <c r="C53" i="3"/>
  <c r="C57" i="3" s="1"/>
  <c r="C50" i="3"/>
  <c r="C49" i="3"/>
  <c r="C45" i="3"/>
  <c r="C41" i="3"/>
  <c r="C34" i="3"/>
  <c r="C30" i="3"/>
  <c r="C29" i="3"/>
  <c r="C24" i="3"/>
  <c r="C23" i="3"/>
  <c r="O10" i="3"/>
  <c r="C11" i="3" s="1"/>
  <c r="C14" i="3" l="1"/>
  <c r="C18" i="3" s="1"/>
</calcChain>
</file>

<file path=xl/sharedStrings.xml><?xml version="1.0" encoding="utf-8"?>
<sst xmlns="http://schemas.openxmlformats.org/spreadsheetml/2006/main" count="149" uniqueCount="107">
  <si>
    <t>Vin</t>
  </si>
  <si>
    <t>Vin_min</t>
  </si>
  <si>
    <t>V</t>
  </si>
  <si>
    <t>Iout</t>
  </si>
  <si>
    <t>Vout</t>
  </si>
  <si>
    <t>uF</t>
  </si>
  <si>
    <t>A</t>
  </si>
  <si>
    <t>mOhm</t>
  </si>
  <si>
    <t>uH</t>
  </si>
  <si>
    <t>Hz</t>
  </si>
  <si>
    <t>K</t>
  </si>
  <si>
    <t>Rcomp</t>
  </si>
  <si>
    <t>Ccomp</t>
  </si>
  <si>
    <t>nF</t>
  </si>
  <si>
    <t>pF</t>
  </si>
  <si>
    <t>Rfb1</t>
  </si>
  <si>
    <t>Rfb2</t>
  </si>
  <si>
    <t>Ipeak</t>
  </si>
  <si>
    <t>Rs</t>
  </si>
  <si>
    <t>W</t>
  </si>
  <si>
    <t>Rslope_min2</t>
  </si>
  <si>
    <t>Vslope</t>
  </si>
  <si>
    <t>Css_min1</t>
  </si>
  <si>
    <t>Css_min2</t>
  </si>
  <si>
    <t>tss</t>
  </si>
  <si>
    <t>s</t>
  </si>
  <si>
    <t>Qg</t>
  </si>
  <si>
    <t>1. Timing resistor R_T</t>
  </si>
  <si>
    <t>R_T</t>
  </si>
  <si>
    <t>f_sw</t>
  </si>
  <si>
    <t>2. Input inductor L_in</t>
  </si>
  <si>
    <t>L_in</t>
  </si>
  <si>
    <t>Ohm</t>
  </si>
  <si>
    <t>Pout</t>
  </si>
  <si>
    <t>RR</t>
  </si>
  <si>
    <t>-</t>
  </si>
  <si>
    <t>L_in_chosen</t>
  </si>
  <si>
    <t>3. Current sense resistor Rs</t>
  </si>
  <si>
    <t>4. Slope compensation resistor Rslope</t>
  </si>
  <si>
    <t>Rslope_min1</t>
  </si>
  <si>
    <t>Rs_chosen</t>
  </si>
  <si>
    <t>5. Output capacitor</t>
  </si>
  <si>
    <t>Iripple_max</t>
  </si>
  <si>
    <t>Cout_single</t>
  </si>
  <si>
    <t>ESR_single</t>
  </si>
  <si>
    <t>Capacitors</t>
  </si>
  <si>
    <t>Vripple_max</t>
  </si>
  <si>
    <t>nC</t>
  </si>
  <si>
    <t>dVbst</t>
  </si>
  <si>
    <t>6. Bootstrap capacitor Cbst</t>
  </si>
  <si>
    <t>Cbst_min</t>
  </si>
  <si>
    <t>7. Output voltage divider</t>
  </si>
  <si>
    <t>Rfb2/Rfb1 = Vout/1,2 - 1</t>
  </si>
  <si>
    <t>Vout_real</t>
  </si>
  <si>
    <t>Rfb1_chosen</t>
  </si>
  <si>
    <t>8. Soft-start capacitor</t>
  </si>
  <si>
    <t>Css_chosen</t>
  </si>
  <si>
    <t>Cbst_chosen</t>
  </si>
  <si>
    <t>9. Restart capacitor</t>
  </si>
  <si>
    <t>Cres</t>
  </si>
  <si>
    <t>Cres_chosen</t>
  </si>
  <si>
    <t>10. Loop compensation</t>
  </si>
  <si>
    <t>fcross_min1</t>
  </si>
  <si>
    <t>fcross_min2</t>
  </si>
  <si>
    <t>Rcomp_chosen</t>
  </si>
  <si>
    <t>Ccomp_chosen</t>
  </si>
  <si>
    <t>Chf</t>
  </si>
  <si>
    <t>Chf_chosen</t>
  </si>
  <si>
    <t>Rslope_chosen</t>
  </si>
  <si>
    <t>1. Vslope</t>
  </si>
  <si>
    <t>2. Ipeak</t>
  </si>
  <si>
    <t>3. Minimum input voltage</t>
  </si>
  <si>
    <t>t_switch</t>
  </si>
  <si>
    <t>t_switch1</t>
  </si>
  <si>
    <t>t_margin</t>
  </si>
  <si>
    <t>Ipeak_limit</t>
  </si>
  <si>
    <t>tres</t>
  </si>
  <si>
    <t>Vhys</t>
  </si>
  <si>
    <t>Ruv2</t>
  </si>
  <si>
    <t>Ruv1</t>
  </si>
  <si>
    <t>ns</t>
  </si>
  <si>
    <t>Vstartup</t>
  </si>
  <si>
    <t>Datasheet related calculations</t>
  </si>
  <si>
    <t>Given values</t>
  </si>
  <si>
    <t>7.3.8, equation 12</t>
  </si>
  <si>
    <t>7.3.8, equation 13</t>
  </si>
  <si>
    <t>7.3.4, equation 5</t>
  </si>
  <si>
    <t>7.3.11, equation 14</t>
  </si>
  <si>
    <t>7.3.14, equation 15</t>
  </si>
  <si>
    <t>8.2.2.2, equation 22</t>
  </si>
  <si>
    <t>8.2.2.2, equation 23</t>
  </si>
  <si>
    <t>8.2.2.1, equation 21</t>
  </si>
  <si>
    <t>8.2.2.3, equation 24</t>
  </si>
  <si>
    <t>8.2.2.3, equation 25</t>
  </si>
  <si>
    <t>8.2.2.4, equation 26</t>
  </si>
  <si>
    <t>8.2.2.6, equation 28</t>
  </si>
  <si>
    <t>8.2.2.6, equation 29</t>
  </si>
  <si>
    <t>8.2.2.7, equation 30</t>
  </si>
  <si>
    <t>8.2.2.7, equation 31</t>
  </si>
  <si>
    <t>8.2.2.10, equation 33</t>
  </si>
  <si>
    <t>8.2.2.12, equation 34</t>
  </si>
  <si>
    <t>8.2.2.14, equation 36</t>
  </si>
  <si>
    <t>8.2.2.20, equation 43</t>
  </si>
  <si>
    <t>8.2.2.20, equation 44</t>
  </si>
  <si>
    <t>8.2.2.20, equation 45</t>
  </si>
  <si>
    <t>8.2.2.20, equation 46</t>
  </si>
  <si>
    <t>8.2.2.20, equation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</si>
</sst>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DCA1-E2CB-9F42-A026-9CE8305FF347}">
  <dimension ref="B2:P72"/>
  <sheetViews>
    <sheetView tabSelected="1" workbookViewId="0">
      <selection activeCell="H41" sqref="H41"/>
    </sheetView>
  </sheetViews>
  <sheetFormatPr baseColWidth="10" defaultRowHeight="16" x14ac:dyDescent="0.2"/>
  <cols>
    <col min="2" max="2" width="13.5" customWidth="1"/>
    <col min="3" max="3" width="12.1640625" bestFit="1" customWidth="1"/>
  </cols>
  <sheetData>
    <row r="2" spans="2:16" x14ac:dyDescent="0.2">
      <c r="B2" s="2" t="s">
        <v>82</v>
      </c>
      <c r="N2" s="2" t="s">
        <v>83</v>
      </c>
    </row>
    <row r="4" spans="2:16" x14ac:dyDescent="0.2">
      <c r="B4" s="2" t="s">
        <v>27</v>
      </c>
      <c r="H4" s="2" t="s">
        <v>69</v>
      </c>
      <c r="N4" s="2" t="s">
        <v>29</v>
      </c>
      <c r="O4" s="1">
        <v>300000</v>
      </c>
      <c r="P4" t="s">
        <v>9</v>
      </c>
    </row>
    <row r="5" spans="2:16" x14ac:dyDescent="0.2">
      <c r="N5" s="2"/>
      <c r="O5" s="1"/>
    </row>
    <row r="6" spans="2:16" x14ac:dyDescent="0.2">
      <c r="B6" t="s">
        <v>28</v>
      </c>
      <c r="C6">
        <f>9*POWER(10,9)/O4</f>
        <v>30000</v>
      </c>
      <c r="D6" t="s">
        <v>32</v>
      </c>
      <c r="E6" t="s">
        <v>91</v>
      </c>
      <c r="H6" t="s">
        <v>21</v>
      </c>
      <c r="I6">
        <f>(6*POWER(10,9)*(1-O6/O8))/(O4*C25)</f>
        <v>0.20266666666666666</v>
      </c>
      <c r="J6" t="s">
        <v>2</v>
      </c>
      <c r="K6" t="s">
        <v>86</v>
      </c>
      <c r="N6" s="2" t="s">
        <v>0</v>
      </c>
      <c r="O6" s="1">
        <v>12</v>
      </c>
      <c r="P6" t="s">
        <v>2</v>
      </c>
    </row>
    <row r="7" spans="2:16" x14ac:dyDescent="0.2">
      <c r="N7" s="2" t="s">
        <v>1</v>
      </c>
      <c r="O7" s="1">
        <v>10</v>
      </c>
      <c r="P7" t="s">
        <v>2</v>
      </c>
    </row>
    <row r="8" spans="2:16" x14ac:dyDescent="0.2">
      <c r="H8" s="2" t="s">
        <v>70</v>
      </c>
      <c r="N8" s="2" t="s">
        <v>4</v>
      </c>
      <c r="O8" s="1">
        <v>50</v>
      </c>
      <c r="P8" t="s">
        <v>2</v>
      </c>
    </row>
    <row r="9" spans="2:16" x14ac:dyDescent="0.2">
      <c r="B9" s="2" t="s">
        <v>30</v>
      </c>
      <c r="N9" s="2" t="s">
        <v>3</v>
      </c>
      <c r="O9" s="1">
        <v>4</v>
      </c>
      <c r="P9" t="s">
        <v>6</v>
      </c>
    </row>
    <row r="10" spans="2:16" x14ac:dyDescent="0.2">
      <c r="H10" t="s">
        <v>75</v>
      </c>
      <c r="I10">
        <f>0.075/(C19*POWER(10,-3))</f>
        <v>25</v>
      </c>
      <c r="J10" t="s">
        <v>6</v>
      </c>
      <c r="K10" t="s">
        <v>87</v>
      </c>
      <c r="N10" s="2" t="s">
        <v>33</v>
      </c>
      <c r="O10" s="1">
        <f>O8*O9</f>
        <v>200</v>
      </c>
      <c r="P10" t="s">
        <v>19</v>
      </c>
    </row>
    <row r="11" spans="2:16" x14ac:dyDescent="0.2">
      <c r="B11" t="s">
        <v>31</v>
      </c>
      <c r="C11">
        <f>((O6/((O10/O6)*O11*O4))*(1-O6/O8))*POWER(10,6)</f>
        <v>18.239999999999995</v>
      </c>
      <c r="D11" t="s">
        <v>8</v>
      </c>
      <c r="E11" t="s">
        <v>92</v>
      </c>
      <c r="N11" s="2" t="s">
        <v>34</v>
      </c>
      <c r="O11" s="1">
        <v>0.1</v>
      </c>
      <c r="P11" t="s">
        <v>35</v>
      </c>
    </row>
    <row r="12" spans="2:16" x14ac:dyDescent="0.2">
      <c r="B12" t="s">
        <v>36</v>
      </c>
      <c r="C12" s="2">
        <v>15</v>
      </c>
      <c r="D12" t="s">
        <v>8</v>
      </c>
      <c r="H12" s="2" t="s">
        <v>71</v>
      </c>
      <c r="N12" s="2" t="s">
        <v>10</v>
      </c>
      <c r="O12" s="1">
        <v>1</v>
      </c>
      <c r="P12" t="s">
        <v>35</v>
      </c>
    </row>
    <row r="13" spans="2:16" x14ac:dyDescent="0.2">
      <c r="N13" s="2" t="s">
        <v>43</v>
      </c>
      <c r="O13" s="1">
        <v>82</v>
      </c>
      <c r="P13" t="s">
        <v>5</v>
      </c>
    </row>
    <row r="14" spans="2:16" x14ac:dyDescent="0.2">
      <c r="B14" t="s">
        <v>17</v>
      </c>
      <c r="C14">
        <f>O10/O7+0.5*(O7/(C12*O4*POWER(10,-6)))*(1-O7/O8)</f>
        <v>20.888888888888889</v>
      </c>
      <c r="D14" t="s">
        <v>6</v>
      </c>
      <c r="E14" t="s">
        <v>93</v>
      </c>
      <c r="H14" t="s">
        <v>1</v>
      </c>
      <c r="I14">
        <f>O4*O8*O20*POWER(10,-9)</f>
        <v>10.5</v>
      </c>
      <c r="J14" t="s">
        <v>2</v>
      </c>
      <c r="K14" t="s">
        <v>88</v>
      </c>
      <c r="N14" s="2" t="s">
        <v>44</v>
      </c>
      <c r="O14" s="1">
        <v>30</v>
      </c>
      <c r="P14" t="s">
        <v>7</v>
      </c>
    </row>
    <row r="15" spans="2:16" x14ac:dyDescent="0.2">
      <c r="N15" s="2" t="s">
        <v>45</v>
      </c>
      <c r="O15" s="1">
        <v>6</v>
      </c>
      <c r="P15" t="s">
        <v>35</v>
      </c>
    </row>
    <row r="16" spans="2:16" x14ac:dyDescent="0.2">
      <c r="B16" s="2" t="s">
        <v>37</v>
      </c>
      <c r="N16" s="2"/>
      <c r="O16" s="1"/>
    </row>
    <row r="17" spans="2:16" x14ac:dyDescent="0.2">
      <c r="H17" t="s">
        <v>77</v>
      </c>
      <c r="I17">
        <f>O25*10*POWER(10,-6)</f>
        <v>1</v>
      </c>
      <c r="J17" t="s">
        <v>2</v>
      </c>
      <c r="K17" t="s">
        <v>89</v>
      </c>
      <c r="N17" s="2" t="s">
        <v>26</v>
      </c>
      <c r="O17" s="1">
        <v>19</v>
      </c>
      <c r="P17" t="s">
        <v>47</v>
      </c>
    </row>
    <row r="18" spans="2:16" x14ac:dyDescent="0.2">
      <c r="B18" t="s">
        <v>18</v>
      </c>
      <c r="C18">
        <f>75/(C14*1.2)</f>
        <v>2.9920212765957448</v>
      </c>
      <c r="D18" t="s">
        <v>7</v>
      </c>
      <c r="E18" t="s">
        <v>94</v>
      </c>
      <c r="H18" t="s">
        <v>81</v>
      </c>
      <c r="I18">
        <f>(1.2*O25)/O26+1.2</f>
        <v>7.7934065934065933</v>
      </c>
      <c r="J18" t="s">
        <v>2</v>
      </c>
      <c r="K18" t="s">
        <v>90</v>
      </c>
      <c r="N18" s="2" t="s">
        <v>48</v>
      </c>
      <c r="O18" s="1">
        <v>0.15</v>
      </c>
      <c r="P18" t="s">
        <v>2</v>
      </c>
    </row>
    <row r="19" spans="2:16" x14ac:dyDescent="0.2">
      <c r="B19" t="s">
        <v>40</v>
      </c>
      <c r="C19" s="2">
        <v>3</v>
      </c>
      <c r="D19" t="s">
        <v>7</v>
      </c>
      <c r="N19" s="2"/>
      <c r="O19" s="1"/>
    </row>
    <row r="20" spans="2:16" x14ac:dyDescent="0.2">
      <c r="N20" s="2" t="s">
        <v>72</v>
      </c>
      <c r="O20" s="1">
        <f>O21+O22</f>
        <v>700</v>
      </c>
      <c r="P20" t="s">
        <v>80</v>
      </c>
    </row>
    <row r="21" spans="2:16" x14ac:dyDescent="0.2">
      <c r="B21" s="2" t="s">
        <v>38</v>
      </c>
      <c r="N21" s="2" t="s">
        <v>73</v>
      </c>
      <c r="O21" s="1">
        <v>550</v>
      </c>
      <c r="P21" t="s">
        <v>80</v>
      </c>
    </row>
    <row r="22" spans="2:16" x14ac:dyDescent="0.2">
      <c r="N22" s="2" t="s">
        <v>74</v>
      </c>
      <c r="O22" s="1">
        <v>150</v>
      </c>
      <c r="P22" t="s">
        <v>80</v>
      </c>
    </row>
    <row r="23" spans="2:16" x14ac:dyDescent="0.2">
      <c r="B23" t="s">
        <v>39</v>
      </c>
      <c r="C23">
        <f>8*POWER(10,9)/O4</f>
        <v>26666.666666666668</v>
      </c>
      <c r="D23" t="s">
        <v>32</v>
      </c>
      <c r="E23" t="s">
        <v>95</v>
      </c>
      <c r="N23" s="2"/>
      <c r="O23" s="1"/>
    </row>
    <row r="24" spans="2:16" x14ac:dyDescent="0.2">
      <c r="B24" t="s">
        <v>20</v>
      </c>
      <c r="C24">
        <f>(C12*POWER(10,-6)*6*POWER(10,9))/((O12*O8-O7)*C19*POWER(10,-3)*10)</f>
        <v>74999.999999999985</v>
      </c>
      <c r="D24" t="s">
        <v>32</v>
      </c>
      <c r="E24" t="s">
        <v>96</v>
      </c>
      <c r="N24" s="2"/>
      <c r="O24" s="1"/>
    </row>
    <row r="25" spans="2:16" x14ac:dyDescent="0.2">
      <c r="B25" t="s">
        <v>68</v>
      </c>
      <c r="C25" s="2">
        <v>75000</v>
      </c>
      <c r="D25" t="s">
        <v>32</v>
      </c>
      <c r="N25" s="2" t="s">
        <v>78</v>
      </c>
      <c r="O25" s="1">
        <v>100000</v>
      </c>
      <c r="P25" t="s">
        <v>32</v>
      </c>
    </row>
    <row r="26" spans="2:16" x14ac:dyDescent="0.2">
      <c r="N26" s="2" t="s">
        <v>79</v>
      </c>
      <c r="O26" s="1">
        <v>18200</v>
      </c>
      <c r="P26" t="s">
        <v>32</v>
      </c>
    </row>
    <row r="27" spans="2:16" x14ac:dyDescent="0.2">
      <c r="B27" s="2" t="s">
        <v>41</v>
      </c>
    </row>
    <row r="29" spans="2:16" x14ac:dyDescent="0.2">
      <c r="B29" t="s">
        <v>42</v>
      </c>
      <c r="C29">
        <f>O9/(2*(O7/O8))</f>
        <v>10</v>
      </c>
      <c r="D29" t="s">
        <v>6</v>
      </c>
      <c r="E29" t="s">
        <v>97</v>
      </c>
    </row>
    <row r="30" spans="2:16" x14ac:dyDescent="0.2">
      <c r="B30" t="s">
        <v>46</v>
      </c>
      <c r="C30">
        <f>(O9/(O7/O8))*(O14*POWER(10,-3)/O15+1/(4*O4*O13*O15*POWER(10,-6)))</f>
        <v>0.13387533875338753</v>
      </c>
      <c r="D30" t="s">
        <v>2</v>
      </c>
      <c r="E30" t="s">
        <v>98</v>
      </c>
    </row>
    <row r="32" spans="2:16" x14ac:dyDescent="0.2">
      <c r="B32" s="2" t="s">
        <v>49</v>
      </c>
    </row>
    <row r="34" spans="2:5" x14ac:dyDescent="0.2">
      <c r="B34" t="s">
        <v>50</v>
      </c>
      <c r="C34">
        <f>(O17*POWER(10,-9)/O18)*POWER(10,6)</f>
        <v>0.12666666666666668</v>
      </c>
      <c r="D34" t="s">
        <v>5</v>
      </c>
      <c r="E34" t="s">
        <v>99</v>
      </c>
    </row>
    <row r="35" spans="2:5" x14ac:dyDescent="0.2">
      <c r="B35" t="s">
        <v>57</v>
      </c>
      <c r="C35" s="2">
        <v>0.22</v>
      </c>
      <c r="D35" t="s">
        <v>5</v>
      </c>
    </row>
    <row r="37" spans="2:5" x14ac:dyDescent="0.2">
      <c r="B37" s="2" t="s">
        <v>51</v>
      </c>
    </row>
    <row r="39" spans="2:5" x14ac:dyDescent="0.2">
      <c r="B39" t="s">
        <v>52</v>
      </c>
    </row>
    <row r="41" spans="2:5" x14ac:dyDescent="0.2">
      <c r="B41" t="s">
        <v>15</v>
      </c>
      <c r="C41" s="3">
        <f>C42/(O8/1.2-1)</f>
        <v>1227.0491803278687</v>
      </c>
      <c r="D41" t="s">
        <v>32</v>
      </c>
      <c r="E41" t="s">
        <v>100</v>
      </c>
    </row>
    <row r="42" spans="2:5" x14ac:dyDescent="0.2">
      <c r="B42" t="s">
        <v>16</v>
      </c>
      <c r="C42" s="3">
        <v>49900</v>
      </c>
      <c r="D42" t="s">
        <v>32</v>
      </c>
      <c r="E42" t="s">
        <v>100</v>
      </c>
    </row>
    <row r="43" spans="2:5" x14ac:dyDescent="0.2">
      <c r="B43" t="s">
        <v>54</v>
      </c>
      <c r="C43" s="2">
        <v>1200</v>
      </c>
      <c r="D43" t="s">
        <v>32</v>
      </c>
    </row>
    <row r="45" spans="2:5" x14ac:dyDescent="0.2">
      <c r="B45" t="s">
        <v>53</v>
      </c>
      <c r="C45">
        <f>((C42/C43)+1)*1.2</f>
        <v>51.1</v>
      </c>
    </row>
    <row r="47" spans="2:5" x14ac:dyDescent="0.2">
      <c r="B47" s="2" t="s">
        <v>55</v>
      </c>
    </row>
    <row r="49" spans="2:5" x14ac:dyDescent="0.2">
      <c r="B49" t="s">
        <v>22</v>
      </c>
      <c r="C49">
        <f>0.33*C35*O8/O6*POWER(10,3)</f>
        <v>302.5</v>
      </c>
      <c r="D49" t="s">
        <v>13</v>
      </c>
      <c r="E49" t="s">
        <v>84</v>
      </c>
    </row>
    <row r="50" spans="2:5" x14ac:dyDescent="0.2">
      <c r="B50" t="s">
        <v>23</v>
      </c>
      <c r="C50">
        <f>(10*POWER(10,-6)*O13*O15*POWER(10,-6))/(1.2*O9)*POWER(10,9)</f>
        <v>1.0249999999999999</v>
      </c>
      <c r="D50" t="s">
        <v>13</v>
      </c>
      <c r="E50" t="s">
        <v>85</v>
      </c>
    </row>
    <row r="51" spans="2:5" x14ac:dyDescent="0.2">
      <c r="B51" t="s">
        <v>56</v>
      </c>
      <c r="C51" s="2">
        <v>560</v>
      </c>
      <c r="D51" t="s">
        <v>13</v>
      </c>
    </row>
    <row r="53" spans="2:5" x14ac:dyDescent="0.2">
      <c r="B53" t="s">
        <v>24</v>
      </c>
      <c r="C53">
        <f>(C51*POWER(10,-9)*1.2/(10*POWER(10,-6)))*(1-O6/O8)</f>
        <v>5.1072000000000006E-2</v>
      </c>
      <c r="D53" t="s">
        <v>25</v>
      </c>
    </row>
    <row r="55" spans="2:5" x14ac:dyDescent="0.2">
      <c r="B55" s="2" t="s">
        <v>58</v>
      </c>
    </row>
    <row r="57" spans="2:5" x14ac:dyDescent="0.2">
      <c r="B57" t="s">
        <v>59</v>
      </c>
      <c r="C57">
        <f>30*POWER(10,-6)*C53/1.2*POWER(10,9)</f>
        <v>1276.8000000000002</v>
      </c>
      <c r="D57" t="s">
        <v>13</v>
      </c>
      <c r="E57" t="s">
        <v>101</v>
      </c>
    </row>
    <row r="58" spans="2:5" x14ac:dyDescent="0.2">
      <c r="B58" t="s">
        <v>60</v>
      </c>
      <c r="C58" s="2">
        <v>2200</v>
      </c>
      <c r="D58" t="s">
        <v>13</v>
      </c>
    </row>
    <row r="59" spans="2:5" x14ac:dyDescent="0.2">
      <c r="C59" s="2"/>
    </row>
    <row r="60" spans="2:5" x14ac:dyDescent="0.2">
      <c r="B60" t="s">
        <v>76</v>
      </c>
      <c r="C60" s="3">
        <f>C58*POWER(10,-9)*1.2/(30*POWER(10,-6))</f>
        <v>8.8000000000000009E-2</v>
      </c>
      <c r="D60" t="s">
        <v>25</v>
      </c>
    </row>
    <row r="62" spans="2:5" x14ac:dyDescent="0.2">
      <c r="B62" s="2" t="s">
        <v>61</v>
      </c>
    </row>
    <row r="64" spans="2:5" x14ac:dyDescent="0.2">
      <c r="B64" t="s">
        <v>62</v>
      </c>
      <c r="C64">
        <f>O4/10</f>
        <v>30000</v>
      </c>
      <c r="D64" t="s">
        <v>9</v>
      </c>
      <c r="E64" t="s">
        <v>102</v>
      </c>
    </row>
    <row r="65" spans="2:5" x14ac:dyDescent="0.2">
      <c r="B65" t="s">
        <v>63</v>
      </c>
      <c r="C65">
        <f>(O8/O9*POWER((O6/O8),2))/(4*2*PI()*C12*POWER(10,-6))</f>
        <v>1909.8593171027442</v>
      </c>
      <c r="D65" t="s">
        <v>9</v>
      </c>
      <c r="E65" t="s">
        <v>103</v>
      </c>
    </row>
    <row r="67" spans="2:5" x14ac:dyDescent="0.2">
      <c r="B67" t="s">
        <v>11</v>
      </c>
      <c r="C67">
        <f>C65*PI()*C19*POWER(10,-3)*C42*10*O13*O15*POWER(10,-6)*O8/O6</f>
        <v>18413.100000000002</v>
      </c>
      <c r="D67" t="s">
        <v>32</v>
      </c>
      <c r="E67" t="s">
        <v>104</v>
      </c>
    </row>
    <row r="68" spans="2:5" x14ac:dyDescent="0.2">
      <c r="B68" t="s">
        <v>64</v>
      </c>
      <c r="C68" s="2">
        <v>18200</v>
      </c>
      <c r="D68" t="s">
        <v>32</v>
      </c>
    </row>
    <row r="69" spans="2:5" x14ac:dyDescent="0.2">
      <c r="B69" t="s">
        <v>12</v>
      </c>
      <c r="C69">
        <f>((O8/O9)*O13*O15*POWER(10,-6))/(4*C68)*POWER(10,9)</f>
        <v>84.478021978021985</v>
      </c>
      <c r="D69" t="s">
        <v>13</v>
      </c>
      <c r="E69" t="s">
        <v>105</v>
      </c>
    </row>
    <row r="70" spans="2:5" x14ac:dyDescent="0.2">
      <c r="B70" t="s">
        <v>65</v>
      </c>
      <c r="C70" s="2">
        <v>100</v>
      </c>
      <c r="D70" t="s">
        <v>13</v>
      </c>
    </row>
    <row r="71" spans="2:5" x14ac:dyDescent="0.2">
      <c r="B71" t="s">
        <v>66</v>
      </c>
      <c r="C71">
        <f>(O14*O15*POWER(10,-3)*O13*O15*POWER(10,-6)*C70*POWER(10,-9))/(C68*C70*POWER(10,-9)-O14*O15*POWER(10,-3)*O13*O15*POWER(10,-6))*POWER(10,12)</f>
        <v>5114.8177239754186</v>
      </c>
      <c r="D71" t="s">
        <v>14</v>
      </c>
      <c r="E71" t="s">
        <v>106</v>
      </c>
    </row>
    <row r="72" spans="2:5" x14ac:dyDescent="0.2">
      <c r="B72" t="s">
        <v>67</v>
      </c>
      <c r="C72" s="2">
        <v>4700</v>
      </c>
      <c r="D7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Bartek Nowicki</dc:creator>
  <cp:keywords/>
  <dc:description/>
  <cp:lastModifiedBy>Bartek Nowicki</cp:lastModifiedBy>
  <dcterms:created xsi:type="dcterms:W3CDTF">2023-11-23T09:54:14Z</dcterms:created>
  <dcterms:modified xsi:type="dcterms:W3CDTF">2024-01-07T22:14:00Z</dcterms:modified>
  <cp:category/>
</cp:coreProperties>
</file>