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000" tabRatio="690" activeTab="1"/>
  </bookViews>
  <sheets>
    <sheet name="Instructions" sheetId="1" r:id="rId1"/>
    <sheet name="Input and Results" sheetId="2" r:id="rId2"/>
    <sheet name="Legal" sheetId="3" r:id="rId3"/>
  </sheets>
  <definedNames>
    <definedName name="C_1">'Input and Results'!$G$17</definedName>
    <definedName name="C_2">'Input and Results'!$G$18</definedName>
    <definedName name="C_3">'Input and Results'!$G$19</definedName>
    <definedName name="COUT">'Input and Results'!$B$46</definedName>
    <definedName name="DCGAIN">'Input and Results'!$B$69</definedName>
    <definedName name="DCR">'Input and Results'!$B$11</definedName>
    <definedName name="EAP">'Input and Results'!$B$51</definedName>
    <definedName name="ESR">'Input and Results'!$B$47</definedName>
    <definedName name="Fco">'Input and Results'!$B$7</definedName>
    <definedName name="Fp_1">'Input and Results'!$G$7</definedName>
    <definedName name="Fp_2">'Input and Results'!$G$8</definedName>
    <definedName name="FSW">'Input and Results'!#REF!</definedName>
    <definedName name="Fz_1">'Input and Results'!$G$5</definedName>
    <definedName name="Fz_2">'Input and Results'!$G$6</definedName>
    <definedName name="GBWP">'Input and Results'!$B$68</definedName>
    <definedName name="IC">'Input and Results'!$B$18</definedName>
    <definedName name="IOUT_max">'Input and Results'!$B$6</definedName>
    <definedName name="LOUT">'Input and Results'!$B$10</definedName>
    <definedName name="MLCC">'Input and Results'!$B$49</definedName>
    <definedName name="MLCC_ESR">'Input and Results'!$B$50</definedName>
    <definedName name="PM">'Input and Results'!$B$8</definedName>
    <definedName name="_xlnm.Print_Area" localSheetId="1">'Input and Results'!$A$1:$Q$44</definedName>
    <definedName name="R_1">'Input and Results'!$G$13</definedName>
    <definedName name="R_2">'Input and Results'!$G$14</definedName>
    <definedName name="R_3">'Input and Results'!$G$15</definedName>
    <definedName name="R_4">'Input and Results'!$G$16</definedName>
    <definedName name="RLOAD">'Input and Results'!$C$54</definedName>
    <definedName name="ROUT_min">'Input and Results'!$F$54</definedName>
    <definedName name="VIN">'Input and Results'!$B$4</definedName>
    <definedName name="VOUT">'Input and Results'!$B$5</definedName>
    <definedName name="VRAMP">'Input and Results'!$B$66</definedName>
    <definedName name="VREF">'Input and Results'!$B$67</definedName>
    <definedName name="VRMP">'Input and Results'!$B$66</definedName>
    <definedName name="wCO">'Input and Results'!$F$55</definedName>
  </definedNames>
  <calcPr fullCalcOnLoad="1"/>
</workbook>
</file>

<file path=xl/sharedStrings.xml><?xml version="1.0" encoding="utf-8"?>
<sst xmlns="http://schemas.openxmlformats.org/spreadsheetml/2006/main" count="240" uniqueCount="189">
  <si>
    <t>VIN</t>
  </si>
  <si>
    <t>VRAMP</t>
  </si>
  <si>
    <t>w</t>
  </si>
  <si>
    <t>V</t>
  </si>
  <si>
    <t>f</t>
  </si>
  <si>
    <t>ERROR AMPLIFIER</t>
  </si>
  <si>
    <t>DCR</t>
  </si>
  <si>
    <t>ROUT_min</t>
  </si>
  <si>
    <t>IOUT_max</t>
  </si>
  <si>
    <t>VOUT</t>
  </si>
  <si>
    <t>LOUT</t>
  </si>
  <si>
    <t>Fp_2</t>
  </si>
  <si>
    <t>Fp_1</t>
  </si>
  <si>
    <t>Fz_2</t>
  </si>
  <si>
    <t>Fz_1</t>
  </si>
  <si>
    <t>R_1</t>
  </si>
  <si>
    <t>R_2</t>
  </si>
  <si>
    <t>R_3</t>
  </si>
  <si>
    <t>C_1</t>
  </si>
  <si>
    <t>C_2</t>
  </si>
  <si>
    <t>C_3</t>
  </si>
  <si>
    <t>VREF</t>
  </si>
  <si>
    <t>Ohms</t>
  </si>
  <si>
    <t>pF</t>
  </si>
  <si>
    <t>Hz</t>
  </si>
  <si>
    <t>Numerator 1</t>
  </si>
  <si>
    <t>OVERALL SYSTEM</t>
  </si>
  <si>
    <t>GBWP</t>
  </si>
  <si>
    <t>Mhz</t>
  </si>
  <si>
    <t>GBWP limit</t>
  </si>
  <si>
    <t>DC Gain</t>
  </si>
  <si>
    <t>dB</t>
  </si>
  <si>
    <t>A</t>
  </si>
  <si>
    <t>PSU Parameters</t>
  </si>
  <si>
    <t>Output Inductor</t>
  </si>
  <si>
    <t>°</t>
  </si>
  <si>
    <t>kHz</t>
  </si>
  <si>
    <t>Fco</t>
  </si>
  <si>
    <t>Output Ceramic Capacitor</t>
  </si>
  <si>
    <t>Phase Margin</t>
  </si>
  <si>
    <t>FILTER</t>
  </si>
  <si>
    <t>VIN/VRMP</t>
  </si>
  <si>
    <t>GCO_DBMAG(f)</t>
  </si>
  <si>
    <t>GFILT_DBMAG(f)</t>
  </si>
  <si>
    <t>GFILT_PH(f)</t>
  </si>
  <si>
    <t>wCO</t>
  </si>
  <si>
    <t>GCOMP_FCO</t>
  </si>
  <si>
    <t>GCO_FCO</t>
  </si>
  <si>
    <t>PHCO_FCO</t>
  </si>
  <si>
    <t>kVenable</t>
  </si>
  <si>
    <t>EA_Gain(f) dB</t>
  </si>
  <si>
    <t>EA_Phase f)</t>
  </si>
  <si>
    <t>Results</t>
  </si>
  <si>
    <t>Phase at FCO</t>
  </si>
  <si>
    <t>SYS_Gain (f) dB</t>
  </si>
  <si>
    <t>SYS_Phase (f)</t>
  </si>
  <si>
    <t>Resistors</t>
  </si>
  <si>
    <t>Capacitors</t>
  </si>
  <si>
    <t>E24</t>
  </si>
  <si>
    <t>E48</t>
  </si>
  <si>
    <t>IC Parameters (from data sheet)</t>
  </si>
  <si>
    <t>COUT_ELEC</t>
  </si>
  <si>
    <t>ESR_ELEC</t>
  </si>
  <si>
    <t>COUT_CER</t>
  </si>
  <si>
    <t>ESR_CER</t>
  </si>
  <si>
    <r>
      <t xml:space="preserve">Ensure </t>
    </r>
    <r>
      <rPr>
        <b/>
        <sz val="10"/>
        <rFont val="Arial"/>
        <family val="2"/>
      </rPr>
      <t>Tools</t>
    </r>
    <r>
      <rPr>
        <sz val="10"/>
        <rFont val="Arial"/>
        <family val="0"/>
      </rPr>
      <t xml:space="preserve"> =&gt; </t>
    </r>
    <r>
      <rPr>
        <b/>
        <sz val="10"/>
        <rFont val="Arial"/>
        <family val="2"/>
      </rPr>
      <t>Add Ins</t>
    </r>
    <r>
      <rPr>
        <sz val="10"/>
        <rFont val="Arial"/>
        <family val="0"/>
      </rPr>
      <t xml:space="preserve"> =&gt; </t>
    </r>
    <r>
      <rPr>
        <b/>
        <sz val="10"/>
        <rFont val="Arial"/>
        <family val="2"/>
      </rPr>
      <t>Analysis ToolPak</t>
    </r>
    <r>
      <rPr>
        <sz val="10"/>
        <rFont val="Arial"/>
        <family val="0"/>
      </rPr>
      <t xml:space="preserve"> is selected otherwise spreadsheet will not work</t>
    </r>
  </si>
  <si>
    <t>EA_Phase</t>
  </si>
  <si>
    <t>EA_Gain dB</t>
  </si>
  <si>
    <t>R_bias</t>
  </si>
  <si>
    <t>C values up to 10nF</t>
  </si>
  <si>
    <t>TPS40200</t>
  </si>
  <si>
    <t>TPS40190</t>
  </si>
  <si>
    <t>TPS40040</t>
  </si>
  <si>
    <t>TPS40101</t>
  </si>
  <si>
    <t>TPS40195</t>
  </si>
  <si>
    <t>TPS40041</t>
  </si>
  <si>
    <t>Standard R and C values for final circuit.</t>
  </si>
  <si>
    <t>C values greater than 10nF</t>
  </si>
  <si>
    <t>Yes</t>
  </si>
  <si>
    <t>No</t>
  </si>
  <si>
    <t>Using this spreadsheet</t>
  </si>
  <si>
    <t>Blue cells are the final results for the design and plots</t>
  </si>
  <si>
    <t>Power Supply General Parameters</t>
  </si>
  <si>
    <t>Loop Requirements</t>
  </si>
  <si>
    <t>Output Filter Parameters</t>
  </si>
  <si>
    <t>White cells are the calculated results</t>
  </si>
  <si>
    <t>Getting Started:</t>
  </si>
  <si>
    <t>Required Data:</t>
  </si>
  <si>
    <t>Procedure:</t>
  </si>
  <si>
    <t>Green Cells show where manually entered data is placed</t>
  </si>
  <si>
    <t>Input voltage in Volts</t>
  </si>
  <si>
    <t>Output voltage Volts</t>
  </si>
  <si>
    <t>Output current in Amps</t>
  </si>
  <si>
    <t>Output inductor value in micro Henries</t>
  </si>
  <si>
    <t>W</t>
  </si>
  <si>
    <r>
      <t xml:space="preserve">Controller part number </t>
    </r>
    <r>
      <rPr>
        <sz val="10"/>
        <rFont val="Arial"/>
        <family val="2"/>
      </rPr>
      <t>(select from pull down list)</t>
    </r>
  </si>
  <si>
    <t>Output inductor DC resistance in milliohms</t>
  </si>
  <si>
    <t>Ceramic capacitor equivalent series resistance in milliohms</t>
  </si>
  <si>
    <t>PWM GAIN and FILTER</t>
  </si>
  <si>
    <r>
      <t>See "</t>
    </r>
    <r>
      <rPr>
        <b/>
        <sz val="10"/>
        <rFont val="Arial"/>
        <family val="2"/>
      </rPr>
      <t>Instructions</t>
    </r>
    <r>
      <rPr>
        <sz val="10"/>
        <rFont val="Arial"/>
        <family val="0"/>
      </rPr>
      <t>" sheet for details on using this spreadsheet.</t>
    </r>
  </si>
  <si>
    <t>Applicable Parts</t>
  </si>
  <si>
    <t>FCO actual</t>
  </si>
  <si>
    <t>Enter data in relevant cells on sheet titled "Input and Results"</t>
  </si>
  <si>
    <t>All data is entered and results viewed on the "Input and Results" worksheet</t>
  </si>
  <si>
    <t>P/N</t>
  </si>
  <si>
    <t>Vout (nom)</t>
  </si>
  <si>
    <t>Override IC Parameters</t>
  </si>
  <si>
    <t>Output Electrolytic Capacitor</t>
  </si>
  <si>
    <t>This spreadsheet will help the engineer calculate the compensation network for a voltage mode continuous current non isolated buck converter using type III compensation network.</t>
  </si>
  <si>
    <t>Calculated Zero's, Pole's, R's and C's:</t>
  </si>
  <si>
    <t>R's &amp; C's:</t>
  </si>
  <si>
    <t>Manually enter</t>
  </si>
  <si>
    <t>P's and Z's:</t>
  </si>
  <si>
    <t>μH</t>
  </si>
  <si>
    <t>μF</t>
  </si>
  <si>
    <t>mΩ</t>
  </si>
  <si>
    <t>Set "Manually input R's &amp; C's:" to "No" (Cell K4)</t>
  </si>
  <si>
    <t>Cross over frequency in kHz, recommend 1/5th to 1/10th the switching frequency</t>
  </si>
  <si>
    <t>Phase margin in degrees, recommend 60°</t>
  </si>
  <si>
    <t>User can also manually input zero and pole locations by using cells J14 to J17 and selecting K13 = Yes</t>
  </si>
  <si>
    <t>Select IC part number from pull down menu (Cell B18)</t>
  </si>
  <si>
    <t>LC Double Pole</t>
  </si>
  <si>
    <t>Ceramic ESR Zero</t>
  </si>
  <si>
    <t>Electrolytic ESR Zero</t>
  </si>
  <si>
    <t>Power Train Poles and Zeros</t>
  </si>
  <si>
    <t>The user can now modify the power supply parameters with a fixed compensation network</t>
  </si>
  <si>
    <r>
      <t>b.</t>
    </r>
    <r>
      <rPr>
        <sz val="10"/>
        <rFont val="Arial"/>
        <family val="0"/>
      </rPr>
      <t xml:space="preserve"> Sets "Manually input R's &amp; C's:" to "Yes"</t>
    </r>
  </si>
  <si>
    <r>
      <t>a.</t>
    </r>
    <r>
      <rPr>
        <sz val="10"/>
        <rFont val="Arial"/>
        <family val="0"/>
      </rPr>
      <t xml:space="preserve"> Copy the R's and C's from Cells G13-G19 to cells J5-J11.</t>
    </r>
  </si>
  <si>
    <t>ZC1(s)</t>
  </si>
  <si>
    <t>ZC2(s)</t>
  </si>
  <si>
    <t>ZC(s)</t>
  </si>
  <si>
    <t>Z2(s)</t>
  </si>
  <si>
    <t>Z1(s)</t>
  </si>
  <si>
    <t>X_LC</t>
  </si>
  <si>
    <t>RT</t>
  </si>
  <si>
    <t>RKFF</t>
  </si>
  <si>
    <t>TPS40077</t>
  </si>
  <si>
    <t>Qty:</t>
  </si>
  <si>
    <t>Output electrolytic capacitor value in micro Farads (set Qty. to 0 if not used)</t>
  </si>
  <si>
    <t>Electrolytic capacitor equivalent series resistance in milliohms</t>
  </si>
  <si>
    <t>Output ceramic capacitor value in micro Farads (set Qty. to 0 if not used)</t>
  </si>
  <si>
    <t>Xea_ol(f)</t>
  </si>
  <si>
    <t>X1(f)</t>
  </si>
  <si>
    <t>X2(f)</t>
  </si>
  <si>
    <t>X3(f)</t>
  </si>
  <si>
    <t>Zf(f)</t>
  </si>
  <si>
    <t>Zi(f)</t>
  </si>
  <si>
    <t>Xea_cl(f)</t>
  </si>
  <si>
    <t>Error Amp pole</t>
  </si>
  <si>
    <t>GBWP Phase</t>
  </si>
  <si>
    <t>DCGAIN</t>
  </si>
  <si>
    <t>MHz</t>
  </si>
  <si>
    <t>Phase</t>
  </si>
  <si>
    <t>FCO</t>
  </si>
  <si>
    <t>TPS40192</t>
  </si>
  <si>
    <t>TPS40193</t>
  </si>
  <si>
    <t>Results are shown in the blue cells</t>
  </si>
  <si>
    <t>To keep these calculated results click on green box "Copy Std. Values to Man. Values" this will</t>
  </si>
  <si>
    <t>Select IC</t>
  </si>
  <si>
    <t>Nancy's Values</t>
  </si>
  <si>
    <t>TPS5130</t>
  </si>
  <si>
    <t>dVagc</t>
  </si>
  <si>
    <t>I1max</t>
  </si>
  <si>
    <t>I1min</t>
  </si>
  <si>
    <t>TPS5130 Ramp calculations</t>
  </si>
  <si>
    <t>TPS53311</t>
  </si>
  <si>
    <t>TPS40322</t>
  </si>
  <si>
    <t>TPS40007</t>
  </si>
  <si>
    <t>TPS40009</t>
  </si>
  <si>
    <t>TPS40021</t>
  </si>
  <si>
    <t>TPS40055</t>
  </si>
  <si>
    <t>TPS40057</t>
  </si>
  <si>
    <t>TPS40075</t>
  </si>
  <si>
    <t>TPS40170</t>
  </si>
  <si>
    <t>TPS40303</t>
  </si>
  <si>
    <t>TPS40304</t>
  </si>
  <si>
    <t>TPS40305</t>
  </si>
  <si>
    <t>TPS56121</t>
  </si>
  <si>
    <t>TPS56221</t>
  </si>
  <si>
    <r>
      <t xml:space="preserve">a. </t>
    </r>
    <r>
      <rPr>
        <sz val="10"/>
        <rFont val="Arial"/>
        <family val="2"/>
      </rPr>
      <t>if using the TPS4005X or TPS4007x you should enter the RT and RKFF values in cells B21 and B22</t>
    </r>
  </si>
  <si>
    <t>TPS40400</t>
  </si>
  <si>
    <t xml:space="preserve">fsw = </t>
  </si>
  <si>
    <r>
      <t xml:space="preserve">b. </t>
    </r>
    <r>
      <rPr>
        <sz val="10"/>
        <rFont val="Arial"/>
        <family val="2"/>
      </rPr>
      <t>if using the TPS40400 you need to enter the switching frequency (in kHz) is cell B21</t>
    </r>
  </si>
  <si>
    <t>TPS51113</t>
  </si>
  <si>
    <t>TPS53316</t>
  </si>
  <si>
    <t>TPS53313</t>
  </si>
  <si>
    <t>TPS40007, TPS40009, TPS40021, TPS40040, TPS40041, TPS40055, TPS40057, TPS40075, TPS40077, TPS40101, TPS40170, TPS40190, TPS40192, TPS40193, TPS40195, TPS40200, TPS40303, TPS40304, TPS40305, TPS40322, TPS40400, TPS51113, TPS5130, TPS53311, TPS56121, TPS56221, TPS53316, TPS53313</t>
  </si>
  <si>
    <t>TPS40422</t>
  </si>
  <si>
    <t>For two-phase operation, choose LOUT = Lx/2, where Lx is the inducance per phase.</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</si>
</sst>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0.000E+00"/>
    <numFmt numFmtId="166" formatCode="0.000"/>
    <numFmt numFmtId="167" formatCode="0.0000"/>
    <numFmt numFmtId="168" formatCode="0.0"/>
    <numFmt numFmtId="169" formatCode="0.0000000"/>
    <numFmt numFmtId="170" formatCode="0.000000"/>
    <numFmt numFmtId="171" formatCode="0.00000"/>
    <numFmt numFmtId="172" formatCode="0.00000000"/>
    <numFmt numFmtId="173" formatCode="0.000000000"/>
    <numFmt numFmtId="174" formatCode="0.000000000000000"/>
    <numFmt numFmtId="175" formatCode="0.00000000000000"/>
    <numFmt numFmtId="176" formatCode="0.0000000000000"/>
    <numFmt numFmtId="177" formatCode="0.000000000000"/>
    <numFmt numFmtId="178" formatCode="0.00000000000"/>
    <numFmt numFmtId="179" formatCode="0.0000000000"/>
    <numFmt numFmtId="180" formatCode="0\ &quot;W&quot;"/>
    <numFmt numFmtId="181" formatCode="0\ &quot;pF&quot;"/>
    <numFmt numFmtId="182" formatCode="0\ &quot;Ω&quot;"/>
    <numFmt numFmtId="183" formatCode="0\ &quot;Hz&quot;"/>
    <numFmt numFmtId="184" formatCode="0.00\ &quot;dB&quot;"/>
    <numFmt numFmtId="185" formatCode="0.0\°"/>
    <numFmt numFmtId="186" formatCode="0.000\ &quot;V&quot;"/>
    <numFmt numFmtId="187" formatCode="0.0\ \V"/>
    <numFmt numFmtId="188" formatCode="0.00\ \V"/>
    <numFmt numFmtId="189" formatCode="0.000\ \V"/>
    <numFmt numFmtId="190" formatCode="General\ &quot;V&quot;"/>
    <numFmt numFmtId="191" formatCode="General\ &quot;MHz&quot;"/>
    <numFmt numFmtId="192" formatCode="General\ &quot;dB&quot;"/>
    <numFmt numFmtId="193" formatCode="0.0E+00"/>
    <numFmt numFmtId="194" formatCode="0E+00"/>
    <numFmt numFmtId="195" formatCode="0\+0E+00"/>
    <numFmt numFmtId="196" formatCode="0\ &quot;KΩ&quot;"/>
    <numFmt numFmtId="197" formatCode="&quot;Yes&quot;;&quot;Yes&quot;;&quot;No&quot;"/>
    <numFmt numFmtId="198" formatCode="&quot;True&quot;;&quot;True&quot;;&quot;False&quot;"/>
    <numFmt numFmtId="199" formatCode="&quot;On&quot;;&quot;On&quot;;&quot;Off&quot;"/>
    <numFmt numFmtId="200" formatCode="[$€-2]\ #,##0.00_);[Red]\([$€-2]\ #,##0.00\)"/>
    <numFmt numFmtId="201" formatCode="0\ \V"/>
    <numFmt numFmtId="202" formatCode="General\ &quot;pF&quot;"/>
    <numFmt numFmtId="203" formatCode="General\ &quot;KΩ&quot;"/>
    <numFmt numFmtId="204" formatCode="0.000000E+00"/>
    <numFmt numFmtId="205" formatCode="0.00000E+00"/>
  </numFmts>
  <fonts count="66">
    <font>
      <sz val="10"/>
      <name val="Arial"/>
      <family val="0"/>
    </font>
    <font>
      <sz val="8"/>
      <name val="Arial"/>
      <family val="2"/>
    </font>
    <font>
      <b/>
      <sz val="14"/>
      <name val="Arial"/>
      <family val="2"/>
    </font>
    <font>
      <b/>
      <sz val="10"/>
      <name val="Arial"/>
      <family val="2"/>
    </font>
    <font>
      <b/>
      <sz val="9"/>
      <name val="Arial"/>
      <family val="2"/>
    </font>
    <font>
      <b/>
      <sz val="10"/>
      <color indexed="12"/>
      <name val="Arial"/>
      <family val="2"/>
    </font>
    <font>
      <sz val="10"/>
      <color indexed="10"/>
      <name val="Arial"/>
      <family val="2"/>
    </font>
    <font>
      <b/>
      <sz val="10"/>
      <color indexed="17"/>
      <name val="Arial"/>
      <family val="2"/>
    </font>
    <font>
      <b/>
      <sz val="12"/>
      <name val="Arial"/>
      <family val="2"/>
    </font>
    <font>
      <sz val="10"/>
      <name val="Symbol"/>
      <family val="1"/>
    </font>
    <font>
      <sz val="10"/>
      <color indexed="9"/>
      <name val="Arial"/>
      <family val="2"/>
    </font>
    <font>
      <b/>
      <sz val="10"/>
      <color indexed="9"/>
      <name val="Arial"/>
      <family val="2"/>
    </font>
    <font>
      <b/>
      <sz val="10"/>
      <color indexed="10"/>
      <name val="Arial"/>
      <family val="2"/>
    </font>
    <font>
      <b/>
      <sz val="8"/>
      <color indexed="9"/>
      <name val="Arial"/>
      <family val="2"/>
    </font>
    <font>
      <sz val="8"/>
      <color indexed="9"/>
      <name val="Verdana"/>
      <family val="2"/>
    </font>
    <font>
      <sz val="9"/>
      <color indexed="9"/>
      <name val="Verdana"/>
      <family val="2"/>
    </font>
    <font>
      <b/>
      <sz val="8"/>
      <name val="Arial"/>
      <family val="2"/>
    </font>
    <font>
      <u val="single"/>
      <sz val="10"/>
      <color indexed="12"/>
      <name val="Arial"/>
      <family val="2"/>
    </font>
    <font>
      <u val="single"/>
      <sz val="10"/>
      <color indexed="36"/>
      <name val="Arial"/>
      <family val="2"/>
    </font>
    <font>
      <b/>
      <i/>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25"/>
      <color indexed="8"/>
      <name val="Arial"/>
      <family val="0"/>
    </font>
    <font>
      <b/>
      <sz val="8"/>
      <color indexed="8"/>
      <name val="Arial"/>
      <family val="0"/>
    </font>
    <font>
      <b/>
      <sz val="10"/>
      <color indexed="8"/>
      <name val="Arial"/>
      <family val="0"/>
    </font>
    <font>
      <sz val="7.35"/>
      <color indexed="8"/>
      <name val="Arial"/>
      <family val="0"/>
    </font>
    <font>
      <sz val="6.5"/>
      <color indexed="8"/>
      <name val="Arial"/>
      <family val="0"/>
    </font>
    <font>
      <sz val="6"/>
      <color indexed="8"/>
      <name val="Arial"/>
      <family val="0"/>
    </font>
    <font>
      <sz val="16"/>
      <color indexed="8"/>
      <name val="Arial"/>
      <family val="0"/>
    </font>
    <font>
      <sz val="8"/>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medium"/>
      <top style="medium"/>
      <bottom style="medium"/>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style="thin"/>
      <right>
        <color indexed="63"/>
      </right>
      <top style="thin"/>
      <bottom style="thin"/>
    </border>
    <border>
      <left style="medium"/>
      <right style="thin"/>
      <top>
        <color indexed="63"/>
      </top>
      <bottom>
        <color indexed="63"/>
      </bottom>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
      <left style="thin"/>
      <right style="thin"/>
      <top style="thin"/>
      <bottom>
        <color indexed="63"/>
      </bottom>
    </border>
    <border>
      <left style="thin"/>
      <right style="medium"/>
      <top style="medium"/>
      <bottom>
        <color indexed="63"/>
      </botto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2">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pplyProtection="1">
      <alignment/>
      <protection hidden="1"/>
    </xf>
    <xf numFmtId="0" fontId="0" fillId="33" borderId="10" xfId="0" applyFill="1" applyBorder="1" applyAlignment="1" applyProtection="1">
      <alignment/>
      <protection hidden="1"/>
    </xf>
    <xf numFmtId="0" fontId="0" fillId="33" borderId="0" xfId="0" applyFill="1" applyBorder="1" applyAlignment="1" applyProtection="1">
      <alignment/>
      <protection hidden="1"/>
    </xf>
    <xf numFmtId="0" fontId="0" fillId="33" borderId="0" xfId="0" applyFill="1" applyAlignment="1" applyProtection="1">
      <alignment horizontal="right"/>
      <protection hidden="1"/>
    </xf>
    <xf numFmtId="0" fontId="0" fillId="34" borderId="11" xfId="0" applyFill="1" applyBorder="1" applyAlignment="1" applyProtection="1">
      <alignment/>
      <protection hidden="1"/>
    </xf>
    <xf numFmtId="0" fontId="0" fillId="34" borderId="10" xfId="0" applyFill="1" applyBorder="1" applyAlignment="1" applyProtection="1">
      <alignment/>
      <protection hidden="1"/>
    </xf>
    <xf numFmtId="0" fontId="0" fillId="34" borderId="12" xfId="0" applyFill="1" applyBorder="1" applyAlignment="1" applyProtection="1">
      <alignment/>
      <protection hidden="1"/>
    </xf>
    <xf numFmtId="0" fontId="0" fillId="35" borderId="13" xfId="0" applyFill="1" applyBorder="1" applyAlignment="1" applyProtection="1">
      <alignment/>
      <protection hidden="1"/>
    </xf>
    <xf numFmtId="0" fontId="9" fillId="35" borderId="13" xfId="0" applyFont="1" applyFill="1" applyBorder="1" applyAlignment="1" applyProtection="1">
      <alignment/>
      <protection hidden="1"/>
    </xf>
    <xf numFmtId="166" fontId="6" fillId="33" borderId="10" xfId="0" applyNumberFormat="1" applyFont="1" applyFill="1" applyBorder="1" applyAlignment="1" applyProtection="1">
      <alignment/>
      <protection hidden="1"/>
    </xf>
    <xf numFmtId="0" fontId="10" fillId="33" borderId="0" xfId="0" applyFont="1" applyFill="1" applyBorder="1" applyAlignment="1" applyProtection="1">
      <alignment/>
      <protection hidden="1"/>
    </xf>
    <xf numFmtId="0" fontId="7" fillId="35" borderId="10" xfId="0" applyFont="1" applyFill="1" applyBorder="1" applyAlignment="1" applyProtection="1">
      <alignment/>
      <protection locked="0"/>
    </xf>
    <xf numFmtId="1" fontId="7" fillId="35" borderId="11" xfId="0" applyNumberFormat="1" applyFont="1" applyFill="1" applyBorder="1" applyAlignment="1" applyProtection="1">
      <alignment/>
      <protection locked="0"/>
    </xf>
    <xf numFmtId="0" fontId="3" fillId="33" borderId="14" xfId="0" applyFont="1" applyFill="1" applyBorder="1" applyAlignment="1">
      <alignment/>
    </xf>
    <xf numFmtId="0" fontId="6" fillId="33" borderId="0" xfId="0" applyFont="1" applyFill="1" applyAlignment="1">
      <alignment/>
    </xf>
    <xf numFmtId="0" fontId="10" fillId="33" borderId="0" xfId="0" applyFont="1" applyFill="1" applyAlignment="1">
      <alignment/>
    </xf>
    <xf numFmtId="0" fontId="0" fillId="34" borderId="15" xfId="0" applyFill="1" applyBorder="1" applyAlignment="1" applyProtection="1">
      <alignment/>
      <protection hidden="1"/>
    </xf>
    <xf numFmtId="0" fontId="0" fillId="33" borderId="0" xfId="0" applyFont="1" applyFill="1" applyAlignment="1">
      <alignment/>
    </xf>
    <xf numFmtId="0" fontId="0" fillId="33" borderId="0" xfId="0" applyFont="1" applyFill="1" applyBorder="1" applyAlignment="1" applyProtection="1">
      <alignment/>
      <protection hidden="1"/>
    </xf>
    <xf numFmtId="0" fontId="0" fillId="33" borderId="0" xfId="0" applyFont="1" applyFill="1" applyAlignment="1">
      <alignment/>
    </xf>
    <xf numFmtId="0" fontId="6" fillId="33" borderId="0" xfId="0" applyFont="1" applyFill="1" applyBorder="1" applyAlignment="1" applyProtection="1">
      <alignment/>
      <protection hidden="1"/>
    </xf>
    <xf numFmtId="0" fontId="0" fillId="33" borderId="11" xfId="0" applyFill="1" applyBorder="1" applyAlignment="1" applyProtection="1">
      <alignment/>
      <protection hidden="1"/>
    </xf>
    <xf numFmtId="0" fontId="3" fillId="33" borderId="16" xfId="0" applyFont="1" applyFill="1" applyBorder="1" applyAlignment="1">
      <alignment/>
    </xf>
    <xf numFmtId="0" fontId="0" fillId="33" borderId="17" xfId="0" applyFill="1" applyBorder="1" applyAlignment="1">
      <alignment/>
    </xf>
    <xf numFmtId="0" fontId="0" fillId="33" borderId="17" xfId="0" applyFill="1" applyBorder="1" applyAlignment="1" applyProtection="1">
      <alignment/>
      <protection hidden="1"/>
    </xf>
    <xf numFmtId="0" fontId="0" fillId="33" borderId="18" xfId="0" applyFill="1" applyBorder="1" applyAlignment="1">
      <alignment/>
    </xf>
    <xf numFmtId="0" fontId="0" fillId="33" borderId="19" xfId="0" applyFill="1" applyBorder="1" applyAlignment="1" applyProtection="1">
      <alignment/>
      <protection hidden="1"/>
    </xf>
    <xf numFmtId="0" fontId="0" fillId="33" borderId="20" xfId="0" applyFill="1" applyBorder="1" applyAlignment="1" applyProtection="1">
      <alignment/>
      <protection hidden="1"/>
    </xf>
    <xf numFmtId="0" fontId="0" fillId="33" borderId="21" xfId="0" applyFill="1" applyBorder="1" applyAlignment="1" applyProtection="1">
      <alignment/>
      <protection hidden="1"/>
    </xf>
    <xf numFmtId="0" fontId="0" fillId="33" borderId="10" xfId="0" applyFont="1" applyFill="1" applyBorder="1" applyAlignment="1" applyProtection="1">
      <alignment/>
      <protection hidden="1"/>
    </xf>
    <xf numFmtId="0" fontId="0" fillId="33" borderId="22" xfId="0" applyFill="1" applyBorder="1" applyAlignment="1">
      <alignment/>
    </xf>
    <xf numFmtId="0" fontId="0" fillId="33" borderId="23" xfId="0" applyFill="1" applyBorder="1" applyAlignment="1">
      <alignment/>
    </xf>
    <xf numFmtId="0" fontId="0" fillId="35" borderId="11" xfId="0" applyFill="1" applyBorder="1" applyAlignment="1" applyProtection="1">
      <alignment/>
      <protection hidden="1"/>
    </xf>
    <xf numFmtId="0" fontId="0" fillId="35" borderId="13" xfId="0" applyFont="1" applyFill="1" applyBorder="1" applyAlignment="1" applyProtection="1">
      <alignment/>
      <protection hidden="1"/>
    </xf>
    <xf numFmtId="0" fontId="0" fillId="33" borderId="24" xfId="0" applyFill="1" applyBorder="1" applyAlignment="1">
      <alignment/>
    </xf>
    <xf numFmtId="0" fontId="2" fillId="33" borderId="0" xfId="0" applyFont="1" applyFill="1" applyAlignment="1" applyProtection="1">
      <alignment/>
      <protection hidden="1"/>
    </xf>
    <xf numFmtId="0" fontId="0" fillId="33" borderId="0" xfId="0" applyFill="1" applyAlignment="1" applyProtection="1">
      <alignment wrapText="1"/>
      <protection hidden="1"/>
    </xf>
    <xf numFmtId="0" fontId="8" fillId="33" borderId="25" xfId="0" applyFont="1" applyFill="1" applyBorder="1" applyAlignment="1" applyProtection="1">
      <alignment/>
      <protection hidden="1"/>
    </xf>
    <xf numFmtId="0" fontId="3" fillId="33" borderId="0" xfId="0" applyFont="1" applyFill="1" applyAlignment="1" applyProtection="1">
      <alignment/>
      <protection hidden="1"/>
    </xf>
    <xf numFmtId="0" fontId="3" fillId="33" borderId="0" xfId="0" applyFont="1" applyFill="1" applyAlignment="1" applyProtection="1">
      <alignment horizontal="left" indent="1"/>
      <protection hidden="1"/>
    </xf>
    <xf numFmtId="0" fontId="0" fillId="33" borderId="0" xfId="0" applyFill="1" applyAlignment="1" applyProtection="1">
      <alignment horizontal="left" indent="2"/>
      <protection hidden="1"/>
    </xf>
    <xf numFmtId="182" fontId="5" fillId="34" borderId="10" xfId="0" applyNumberFormat="1" applyFont="1" applyFill="1" applyBorder="1" applyAlignment="1" applyProtection="1">
      <alignment/>
      <protection hidden="1"/>
    </xf>
    <xf numFmtId="183" fontId="6" fillId="33" borderId="10" xfId="0" applyNumberFormat="1" applyFont="1" applyFill="1" applyBorder="1" applyAlignment="1" applyProtection="1">
      <alignment/>
      <protection hidden="1"/>
    </xf>
    <xf numFmtId="185" fontId="5" fillId="34" borderId="26" xfId="0" applyNumberFormat="1" applyFont="1" applyFill="1" applyBorder="1" applyAlignment="1" applyProtection="1">
      <alignment/>
      <protection hidden="1"/>
    </xf>
    <xf numFmtId="186" fontId="5" fillId="34" borderId="27" xfId="0" applyNumberFormat="1" applyFont="1" applyFill="1" applyBorder="1" applyAlignment="1" applyProtection="1">
      <alignment/>
      <protection hidden="1"/>
    </xf>
    <xf numFmtId="0" fontId="0" fillId="35" borderId="26" xfId="0" applyFill="1" applyBorder="1" applyAlignment="1" applyProtection="1">
      <alignment/>
      <protection hidden="1"/>
    </xf>
    <xf numFmtId="0" fontId="0" fillId="33" borderId="28" xfId="0" applyFill="1" applyBorder="1" applyAlignment="1">
      <alignment/>
    </xf>
    <xf numFmtId="182" fontId="6" fillId="33" borderId="13" xfId="0" applyNumberFormat="1" applyFont="1" applyFill="1" applyBorder="1" applyAlignment="1">
      <alignment/>
    </xf>
    <xf numFmtId="182" fontId="6" fillId="33" borderId="13" xfId="0" applyNumberFormat="1" applyFont="1" applyFill="1" applyBorder="1" applyAlignment="1" applyProtection="1">
      <alignment/>
      <protection hidden="1"/>
    </xf>
    <xf numFmtId="181" fontId="6" fillId="33" borderId="13" xfId="0" applyNumberFormat="1" applyFont="1" applyFill="1" applyBorder="1" applyAlignment="1" applyProtection="1">
      <alignment/>
      <protection hidden="1"/>
    </xf>
    <xf numFmtId="181" fontId="6" fillId="33" borderId="27" xfId="0" applyNumberFormat="1" applyFont="1" applyFill="1" applyBorder="1" applyAlignment="1" applyProtection="1">
      <alignment/>
      <protection hidden="1"/>
    </xf>
    <xf numFmtId="183" fontId="5" fillId="34" borderId="29" xfId="0" applyNumberFormat="1" applyFont="1" applyFill="1" applyBorder="1" applyAlignment="1" applyProtection="1">
      <alignment/>
      <protection hidden="1"/>
    </xf>
    <xf numFmtId="0" fontId="7" fillId="35" borderId="30" xfId="0" applyFont="1" applyFill="1" applyBorder="1" applyAlignment="1" applyProtection="1">
      <alignment/>
      <protection locked="0"/>
    </xf>
    <xf numFmtId="0" fontId="9" fillId="35" borderId="31" xfId="0" applyFont="1" applyFill="1" applyBorder="1" applyAlignment="1" applyProtection="1">
      <alignment/>
      <protection hidden="1"/>
    </xf>
    <xf numFmtId="0" fontId="7" fillId="35" borderId="13" xfId="0" applyFont="1" applyFill="1" applyBorder="1" applyAlignment="1" applyProtection="1">
      <alignment/>
      <protection locked="0"/>
    </xf>
    <xf numFmtId="0" fontId="0" fillId="35" borderId="13" xfId="0" applyFill="1" applyBorder="1" applyAlignment="1">
      <alignment/>
    </xf>
    <xf numFmtId="0" fontId="0" fillId="35" borderId="27" xfId="0" applyFill="1" applyBorder="1" applyAlignment="1">
      <alignment/>
    </xf>
    <xf numFmtId="0" fontId="7" fillId="35" borderId="13" xfId="0" applyFont="1" applyFill="1" applyBorder="1" applyAlignment="1" applyProtection="1">
      <alignment horizontal="left"/>
      <protection locked="0"/>
    </xf>
    <xf numFmtId="0" fontId="7" fillId="35" borderId="32" xfId="0" applyFont="1" applyFill="1" applyBorder="1" applyAlignment="1" applyProtection="1">
      <alignment/>
      <protection locked="0"/>
    </xf>
    <xf numFmtId="0" fontId="7" fillId="35" borderId="11" xfId="0" applyFont="1" applyFill="1" applyBorder="1" applyAlignment="1" applyProtection="1">
      <alignment/>
      <protection locked="0"/>
    </xf>
    <xf numFmtId="0" fontId="7" fillId="35" borderId="12" xfId="0" applyFont="1" applyFill="1" applyBorder="1" applyAlignment="1" applyProtection="1">
      <alignment/>
      <protection locked="0"/>
    </xf>
    <xf numFmtId="0" fontId="3" fillId="33" borderId="33" xfId="0" applyFont="1" applyFill="1" applyBorder="1" applyAlignment="1">
      <alignment horizontal="right"/>
    </xf>
    <xf numFmtId="0" fontId="3" fillId="33" borderId="18" xfId="0" applyFont="1" applyFill="1" applyBorder="1" applyAlignment="1">
      <alignment/>
    </xf>
    <xf numFmtId="0" fontId="3" fillId="33" borderId="32" xfId="0" applyFont="1" applyFill="1" applyBorder="1" applyAlignment="1">
      <alignment horizontal="right"/>
    </xf>
    <xf numFmtId="0" fontId="4" fillId="33" borderId="16" xfId="0" applyFont="1" applyFill="1" applyBorder="1" applyAlignment="1" applyProtection="1">
      <alignment/>
      <protection hidden="1"/>
    </xf>
    <xf numFmtId="0" fontId="1" fillId="33" borderId="0" xfId="0" applyFont="1" applyFill="1" applyAlignment="1" applyProtection="1">
      <alignment horizontal="right"/>
      <protection hidden="1"/>
    </xf>
    <xf numFmtId="0" fontId="7" fillId="35" borderId="34" xfId="0" applyFont="1" applyFill="1" applyBorder="1" applyAlignment="1" applyProtection="1">
      <alignment/>
      <protection locked="0"/>
    </xf>
    <xf numFmtId="0" fontId="0" fillId="35" borderId="15" xfId="0" applyFill="1" applyBorder="1" applyAlignment="1" applyProtection="1">
      <alignment/>
      <protection hidden="1"/>
    </xf>
    <xf numFmtId="0" fontId="0" fillId="35" borderId="26" xfId="0" applyFont="1" applyFill="1" applyBorder="1" applyAlignment="1" applyProtection="1">
      <alignment/>
      <protection hidden="1"/>
    </xf>
    <xf numFmtId="0" fontId="0" fillId="34" borderId="21" xfId="0" applyFill="1" applyBorder="1" applyAlignment="1" applyProtection="1">
      <alignment/>
      <protection hidden="1"/>
    </xf>
    <xf numFmtId="0" fontId="0" fillId="34" borderId="11" xfId="0" applyFill="1" applyBorder="1" applyAlignment="1">
      <alignment/>
    </xf>
    <xf numFmtId="166" fontId="5" fillId="34" borderId="10" xfId="0" applyNumberFormat="1" applyFont="1" applyFill="1" applyBorder="1" applyAlignment="1">
      <alignment/>
    </xf>
    <xf numFmtId="0" fontId="0" fillId="34" borderId="13" xfId="0" applyFill="1" applyBorder="1" applyAlignment="1">
      <alignment/>
    </xf>
    <xf numFmtId="0" fontId="0" fillId="34" borderId="12" xfId="0" applyFill="1" applyBorder="1" applyAlignment="1">
      <alignment/>
    </xf>
    <xf numFmtId="0" fontId="0" fillId="34" borderId="27" xfId="0" applyFill="1" applyBorder="1" applyAlignment="1">
      <alignment/>
    </xf>
    <xf numFmtId="0" fontId="7" fillId="35" borderId="13" xfId="0" applyFont="1" applyFill="1" applyBorder="1" applyAlignment="1" applyProtection="1">
      <alignment horizontal="center" wrapText="1"/>
      <protection locked="0"/>
    </xf>
    <xf numFmtId="0" fontId="3" fillId="35" borderId="26" xfId="0" applyFont="1" applyFill="1" applyBorder="1" applyAlignment="1" applyProtection="1">
      <alignment/>
      <protection hidden="1"/>
    </xf>
    <xf numFmtId="0" fontId="3" fillId="33" borderId="14" xfId="0" applyFont="1" applyFill="1" applyBorder="1" applyAlignment="1" applyProtection="1">
      <alignment/>
      <protection hidden="1"/>
    </xf>
    <xf numFmtId="0" fontId="0" fillId="33" borderId="22" xfId="0" applyFill="1" applyBorder="1" applyAlignment="1" applyProtection="1">
      <alignment/>
      <protection hidden="1"/>
    </xf>
    <xf numFmtId="0" fontId="0" fillId="33" borderId="23" xfId="0" applyFill="1" applyBorder="1" applyAlignment="1" applyProtection="1">
      <alignment/>
      <protection hidden="1"/>
    </xf>
    <xf numFmtId="0" fontId="0" fillId="35" borderId="12" xfId="0" applyFill="1" applyBorder="1" applyAlignment="1" applyProtection="1">
      <alignment/>
      <protection hidden="1"/>
    </xf>
    <xf numFmtId="0" fontId="7" fillId="35" borderId="21" xfId="0" applyFont="1" applyFill="1" applyBorder="1" applyAlignment="1" applyProtection="1">
      <alignment/>
      <protection locked="0"/>
    </xf>
    <xf numFmtId="0" fontId="0" fillId="35" borderId="10" xfId="0" applyFont="1" applyFill="1" applyBorder="1" applyAlignment="1" applyProtection="1">
      <alignment/>
      <protection hidden="1"/>
    </xf>
    <xf numFmtId="0" fontId="0" fillId="35" borderId="21" xfId="0" applyFont="1" applyFill="1" applyBorder="1" applyAlignment="1" applyProtection="1">
      <alignment/>
      <protection hidden="1"/>
    </xf>
    <xf numFmtId="0" fontId="3" fillId="33" borderId="23" xfId="0" applyFont="1" applyFill="1" applyBorder="1" applyAlignment="1">
      <alignment horizontal="center"/>
    </xf>
    <xf numFmtId="0" fontId="0" fillId="35" borderId="34" xfId="0" applyFont="1" applyFill="1" applyBorder="1" applyAlignment="1" applyProtection="1">
      <alignment/>
      <protection hidden="1"/>
    </xf>
    <xf numFmtId="0" fontId="7" fillId="33" borderId="26" xfId="0" applyFont="1" applyFill="1" applyBorder="1" applyAlignment="1">
      <alignment horizontal="center"/>
    </xf>
    <xf numFmtId="0" fontId="7" fillId="35" borderId="13" xfId="0" applyFont="1" applyFill="1" applyBorder="1" applyAlignment="1" applyProtection="1">
      <alignment horizontal="center"/>
      <protection locked="0"/>
    </xf>
    <xf numFmtId="0" fontId="0" fillId="33" borderId="27" xfId="0" applyFill="1" applyBorder="1" applyAlignment="1">
      <alignment/>
    </xf>
    <xf numFmtId="0" fontId="10" fillId="33" borderId="0" xfId="0" applyFont="1" applyFill="1" applyBorder="1" applyAlignment="1" applyProtection="1">
      <alignment horizontal="center"/>
      <protection hidden="1"/>
    </xf>
    <xf numFmtId="202" fontId="5" fillId="34" borderId="10" xfId="0" applyNumberFormat="1" applyFont="1" applyFill="1" applyBorder="1" applyAlignment="1" applyProtection="1">
      <alignment/>
      <protection hidden="1"/>
    </xf>
    <xf numFmtId="202" fontId="5" fillId="34" borderId="13" xfId="0" applyNumberFormat="1" applyFont="1" applyFill="1" applyBorder="1" applyAlignment="1" applyProtection="1">
      <alignment/>
      <protection hidden="1"/>
    </xf>
    <xf numFmtId="202" fontId="5" fillId="34" borderId="27" xfId="0" applyNumberFormat="1" applyFont="1" applyFill="1" applyBorder="1" applyAlignment="1" applyProtection="1">
      <alignment/>
      <protection hidden="1"/>
    </xf>
    <xf numFmtId="0" fontId="7" fillId="35" borderId="11" xfId="0" applyNumberFormat="1" applyFont="1" applyFill="1" applyBorder="1" applyAlignment="1" applyProtection="1">
      <alignment/>
      <protection locked="0"/>
    </xf>
    <xf numFmtId="0" fontId="7" fillId="35" borderId="15" xfId="0" applyNumberFormat="1" applyFont="1" applyFill="1" applyBorder="1" applyAlignment="1" applyProtection="1">
      <alignment/>
      <protection locked="0"/>
    </xf>
    <xf numFmtId="183" fontId="5" fillId="34" borderId="13" xfId="0" applyNumberFormat="1" applyFont="1" applyFill="1" applyBorder="1" applyAlignment="1" applyProtection="1">
      <alignment horizontal="right"/>
      <protection hidden="1"/>
    </xf>
    <xf numFmtId="0" fontId="12" fillId="33" borderId="0" xfId="0" applyFont="1" applyFill="1" applyAlignment="1">
      <alignment/>
    </xf>
    <xf numFmtId="0" fontId="6" fillId="33" borderId="0" xfId="0" applyFont="1" applyFill="1" applyAlignment="1" applyProtection="1">
      <alignment/>
      <protection hidden="1"/>
    </xf>
    <xf numFmtId="0" fontId="6" fillId="33" borderId="0" xfId="0" applyFont="1" applyFill="1" applyBorder="1" applyAlignment="1" applyProtection="1">
      <alignment/>
      <protection hidden="1"/>
    </xf>
    <xf numFmtId="0" fontId="10" fillId="33" borderId="0" xfId="0" applyFont="1" applyFill="1" applyBorder="1" applyAlignment="1">
      <alignment/>
    </xf>
    <xf numFmtId="2" fontId="5" fillId="34" borderId="10" xfId="0" applyNumberFormat="1" applyFont="1" applyFill="1" applyBorder="1" applyAlignment="1">
      <alignment horizontal="right"/>
    </xf>
    <xf numFmtId="166" fontId="5" fillId="34" borderId="21" xfId="0" applyNumberFormat="1" applyFont="1" applyFill="1" applyBorder="1" applyAlignment="1">
      <alignment horizontal="right"/>
    </xf>
    <xf numFmtId="0" fontId="10" fillId="33" borderId="16" xfId="0" applyFont="1" applyFill="1" applyBorder="1" applyAlignment="1" applyProtection="1">
      <alignment/>
      <protection hidden="1"/>
    </xf>
    <xf numFmtId="0" fontId="11" fillId="33" borderId="17" xfId="0" applyFont="1" applyFill="1" applyBorder="1" applyAlignment="1" applyProtection="1">
      <alignment horizontal="center"/>
      <protection hidden="1"/>
    </xf>
    <xf numFmtId="165" fontId="10" fillId="33" borderId="0" xfId="0" applyNumberFormat="1" applyFont="1" applyFill="1" applyBorder="1" applyAlignment="1" applyProtection="1">
      <alignment horizontal="center"/>
      <protection hidden="1"/>
    </xf>
    <xf numFmtId="0" fontId="10" fillId="33" borderId="0" xfId="0" applyFont="1" applyFill="1" applyBorder="1" applyAlignment="1" applyProtection="1">
      <alignment/>
      <protection hidden="1"/>
    </xf>
    <xf numFmtId="0" fontId="14" fillId="33" borderId="0" xfId="0" applyFont="1" applyFill="1" applyBorder="1" applyAlignment="1" applyProtection="1">
      <alignment horizontal="center" wrapText="1"/>
      <protection hidden="1"/>
    </xf>
    <xf numFmtId="2" fontId="10" fillId="33" borderId="0" xfId="0" applyNumberFormat="1" applyFont="1" applyFill="1" applyBorder="1" applyAlignment="1" applyProtection="1">
      <alignment/>
      <protection hidden="1"/>
    </xf>
    <xf numFmtId="0" fontId="15" fillId="33" borderId="0" xfId="0" applyFont="1" applyFill="1" applyBorder="1" applyAlignment="1" applyProtection="1">
      <alignment horizontal="center" wrapText="1"/>
      <protection hidden="1"/>
    </xf>
    <xf numFmtId="179" fontId="0" fillId="33" borderId="0" xfId="0" applyNumberFormat="1" applyFill="1" applyAlignment="1">
      <alignment/>
    </xf>
    <xf numFmtId="205" fontId="0" fillId="33" borderId="0" xfId="0" applyNumberFormat="1" applyFill="1" applyAlignment="1">
      <alignment/>
    </xf>
    <xf numFmtId="164" fontId="0" fillId="33" borderId="0" xfId="0" applyNumberFormat="1" applyFill="1" applyAlignment="1">
      <alignment/>
    </xf>
    <xf numFmtId="0" fontId="0" fillId="33" borderId="0" xfId="0" applyFill="1" applyAlignment="1">
      <alignment horizontal="left"/>
    </xf>
    <xf numFmtId="11" fontId="1" fillId="33" borderId="0" xfId="0" applyNumberFormat="1" applyFont="1" applyFill="1" applyBorder="1" applyAlignment="1">
      <alignment horizontal="left" vertical="center" wrapText="1"/>
    </xf>
    <xf numFmtId="11" fontId="0" fillId="33" borderId="0" xfId="0" applyNumberFormat="1" applyFill="1" applyBorder="1" applyAlignment="1">
      <alignment horizontal="center" vertical="center" wrapText="1"/>
    </xf>
    <xf numFmtId="0" fontId="0" fillId="33" borderId="11" xfId="0" applyFont="1" applyFill="1" applyBorder="1" applyAlignment="1">
      <alignment/>
    </xf>
    <xf numFmtId="0" fontId="0" fillId="33" borderId="12" xfId="0" applyFont="1" applyFill="1" applyBorder="1" applyAlignment="1">
      <alignment/>
    </xf>
    <xf numFmtId="0" fontId="3" fillId="33" borderId="16" xfId="0" applyFont="1" applyFill="1" applyBorder="1" applyAlignment="1" applyProtection="1">
      <alignment/>
      <protection hidden="1"/>
    </xf>
    <xf numFmtId="0" fontId="7" fillId="35" borderId="35" xfId="0" applyFont="1" applyFill="1" applyBorder="1" applyAlignment="1" applyProtection="1">
      <alignment horizontal="center"/>
      <protection locked="0"/>
    </xf>
    <xf numFmtId="0" fontId="7" fillId="35" borderId="10" xfId="0" applyNumberFormat="1" applyFont="1" applyFill="1" applyBorder="1" applyAlignment="1" applyProtection="1">
      <alignment/>
      <protection locked="0"/>
    </xf>
    <xf numFmtId="0" fontId="0" fillId="35" borderId="27" xfId="0" applyFont="1" applyFill="1" applyBorder="1" applyAlignment="1" applyProtection="1">
      <alignment/>
      <protection hidden="1"/>
    </xf>
    <xf numFmtId="0" fontId="7" fillId="33" borderId="0" xfId="0" applyFont="1" applyFill="1" applyBorder="1" applyAlignment="1">
      <alignment/>
    </xf>
    <xf numFmtId="0" fontId="0" fillId="33" borderId="0" xfId="0" applyFont="1" applyFill="1" applyBorder="1" applyAlignment="1" applyProtection="1">
      <alignment/>
      <protection hidden="1"/>
    </xf>
    <xf numFmtId="0" fontId="7" fillId="35" borderId="21" xfId="0" applyNumberFormat="1" applyFont="1" applyFill="1" applyBorder="1" applyAlignment="1" applyProtection="1">
      <alignment/>
      <protection locked="0"/>
    </xf>
    <xf numFmtId="0" fontId="0" fillId="33" borderId="0" xfId="0" applyFont="1" applyFill="1" applyAlignment="1" applyProtection="1">
      <alignment wrapText="1"/>
      <protection hidden="1"/>
    </xf>
    <xf numFmtId="0" fontId="10" fillId="36" borderId="0" xfId="0" applyFont="1" applyFill="1" applyBorder="1" applyAlignment="1">
      <alignment/>
    </xf>
    <xf numFmtId="0" fontId="11" fillId="36" borderId="0" xfId="0" applyFont="1" applyFill="1" applyBorder="1" applyAlignment="1" applyProtection="1">
      <alignment/>
      <protection hidden="1"/>
    </xf>
    <xf numFmtId="0" fontId="10" fillId="36" borderId="0" xfId="0" applyFont="1" applyFill="1" applyBorder="1" applyAlignment="1" applyProtection="1">
      <alignment/>
      <protection hidden="1"/>
    </xf>
    <xf numFmtId="0" fontId="11" fillId="36" borderId="0" xfId="0" applyFont="1" applyFill="1" applyBorder="1" applyAlignment="1" applyProtection="1">
      <alignment/>
      <protection hidden="1"/>
    </xf>
    <xf numFmtId="0" fontId="10" fillId="36" borderId="0" xfId="0" applyFont="1" applyFill="1" applyBorder="1" applyAlignment="1" applyProtection="1">
      <alignment horizontal="center"/>
      <protection hidden="1"/>
    </xf>
    <xf numFmtId="0" fontId="11" fillId="36" borderId="0" xfId="0" applyFont="1" applyFill="1" applyBorder="1" applyAlignment="1" applyProtection="1">
      <alignment horizontal="center" wrapText="1"/>
      <protection hidden="1"/>
    </xf>
    <xf numFmtId="0" fontId="63" fillId="36" borderId="0" xfId="0" applyFont="1" applyFill="1" applyBorder="1" applyAlignment="1" applyProtection="1">
      <alignment horizontal="center"/>
      <protection hidden="1"/>
    </xf>
    <xf numFmtId="0" fontId="63" fillId="36" borderId="0" xfId="0" applyFont="1" applyFill="1" applyBorder="1" applyAlignment="1" applyProtection="1">
      <alignment/>
      <protection hidden="1"/>
    </xf>
    <xf numFmtId="1" fontId="10" fillId="36" borderId="0" xfId="0" applyNumberFormat="1" applyFont="1" applyFill="1" applyBorder="1" applyAlignment="1" applyProtection="1">
      <alignment/>
      <protection hidden="1"/>
    </xf>
    <xf numFmtId="166" fontId="10" fillId="36" borderId="0" xfId="0" applyNumberFormat="1" applyFont="1" applyFill="1" applyBorder="1" applyAlignment="1" applyProtection="1">
      <alignment horizontal="center"/>
      <protection hidden="1"/>
    </xf>
    <xf numFmtId="2" fontId="10" fillId="36" borderId="0" xfId="0" applyNumberFormat="1" applyFont="1" applyFill="1" applyBorder="1" applyAlignment="1" applyProtection="1">
      <alignment horizontal="center"/>
      <protection hidden="1"/>
    </xf>
    <xf numFmtId="0" fontId="13" fillId="36" borderId="0" xfId="0" applyFont="1" applyFill="1" applyBorder="1" applyAlignment="1" applyProtection="1">
      <alignment/>
      <protection hidden="1"/>
    </xf>
    <xf numFmtId="0" fontId="14" fillId="36" borderId="0" xfId="0" applyFont="1" applyFill="1" applyBorder="1" applyAlignment="1" applyProtection="1">
      <alignment horizontal="center" wrapText="1"/>
      <protection hidden="1"/>
    </xf>
    <xf numFmtId="2" fontId="63" fillId="36" borderId="0" xfId="0" applyNumberFormat="1" applyFont="1" applyFill="1" applyBorder="1" applyAlignment="1" applyProtection="1">
      <alignment horizontal="center"/>
      <protection hidden="1"/>
    </xf>
    <xf numFmtId="1" fontId="10" fillId="36" borderId="0" xfId="0" applyNumberFormat="1" applyFont="1" applyFill="1" applyBorder="1" applyAlignment="1" applyProtection="1">
      <alignment/>
      <protection/>
    </xf>
    <xf numFmtId="1" fontId="10" fillId="36" borderId="0" xfId="0" applyNumberFormat="1" applyFont="1" applyFill="1" applyBorder="1" applyAlignment="1" applyProtection="1">
      <alignment horizontal="right"/>
      <protection/>
    </xf>
    <xf numFmtId="166" fontId="63" fillId="36" borderId="0" xfId="0" applyNumberFormat="1" applyFont="1" applyFill="1" applyBorder="1" applyAlignment="1" applyProtection="1">
      <alignment horizontal="center"/>
      <protection hidden="1"/>
    </xf>
    <xf numFmtId="0" fontId="11" fillId="36" borderId="0" xfId="0" applyFont="1" applyFill="1" applyBorder="1" applyAlignment="1" applyProtection="1">
      <alignment/>
      <protection locked="0"/>
    </xf>
    <xf numFmtId="1" fontId="10" fillId="36" borderId="0" xfId="0" applyNumberFormat="1" applyFont="1" applyFill="1" applyBorder="1" applyAlignment="1" applyProtection="1">
      <alignment horizontal="center"/>
      <protection hidden="1"/>
    </xf>
    <xf numFmtId="1" fontId="11" fillId="36" borderId="0" xfId="0" applyNumberFormat="1" applyFont="1" applyFill="1" applyBorder="1" applyAlignment="1" applyProtection="1">
      <alignment/>
      <protection locked="0"/>
    </xf>
    <xf numFmtId="0" fontId="63" fillId="36" borderId="0" xfId="0" applyFont="1" applyFill="1" applyAlignment="1">
      <alignment/>
    </xf>
    <xf numFmtId="0" fontId="11" fillId="36" borderId="0" xfId="0" applyNumberFormat="1" applyFont="1" applyFill="1" applyBorder="1" applyAlignment="1" applyProtection="1">
      <alignment/>
      <protection locked="0"/>
    </xf>
    <xf numFmtId="0" fontId="63" fillId="36" borderId="0" xfId="0" applyFont="1" applyFill="1" applyAlignment="1">
      <alignment horizontal="center"/>
    </xf>
    <xf numFmtId="166" fontId="63" fillId="36" borderId="0" xfId="0" applyNumberFormat="1" applyFont="1" applyFill="1" applyBorder="1" applyAlignment="1">
      <alignment horizontal="center" vertical="center" wrapText="1"/>
    </xf>
    <xf numFmtId="0" fontId="15" fillId="36" borderId="0" xfId="0" applyFont="1" applyFill="1" applyBorder="1" applyAlignment="1" applyProtection="1">
      <alignment horizontal="center" wrapText="1"/>
      <protection hidden="1"/>
    </xf>
    <xf numFmtId="0" fontId="63" fillId="36" borderId="0" xfId="0" applyFont="1" applyFill="1" applyBorder="1" applyAlignment="1">
      <alignment/>
    </xf>
    <xf numFmtId="0" fontId="64" fillId="36" borderId="0" xfId="0" applyFont="1" applyFill="1" applyAlignment="1">
      <alignment horizontal="center"/>
    </xf>
    <xf numFmtId="0" fontId="64" fillId="36" borderId="0" xfId="0" applyFont="1" applyFill="1" applyBorder="1" applyAlignment="1">
      <alignment/>
    </xf>
    <xf numFmtId="0" fontId="64" fillId="36" borderId="0" xfId="0" applyFont="1" applyFill="1" applyBorder="1" applyAlignment="1">
      <alignment horizontal="center"/>
    </xf>
    <xf numFmtId="166" fontId="10" fillId="36" borderId="0" xfId="0" applyNumberFormat="1" applyFont="1" applyFill="1" applyBorder="1" applyAlignment="1" applyProtection="1">
      <alignment/>
      <protection hidden="1"/>
    </xf>
    <xf numFmtId="168" fontId="11" fillId="36" borderId="0" xfId="0" applyNumberFormat="1" applyFont="1" applyFill="1" applyBorder="1" applyAlignment="1" applyProtection="1">
      <alignment/>
      <protection/>
    </xf>
    <xf numFmtId="11" fontId="19" fillId="36" borderId="0" xfId="0" applyNumberFormat="1" applyFont="1" applyFill="1" applyBorder="1" applyAlignment="1">
      <alignment horizontal="center" vertical="center" wrapText="1"/>
    </xf>
    <xf numFmtId="11" fontId="10" fillId="36" borderId="0" xfId="0" applyNumberFormat="1" applyFont="1" applyFill="1" applyBorder="1" applyAlignment="1">
      <alignment horizontal="center" vertical="center" wrapText="1"/>
    </xf>
    <xf numFmtId="0" fontId="11" fillId="36" borderId="0" xfId="0" applyFont="1" applyFill="1" applyBorder="1" applyAlignment="1">
      <alignment/>
    </xf>
    <xf numFmtId="0" fontId="11" fillId="36" borderId="0" xfId="0" applyFont="1" applyFill="1" applyBorder="1" applyAlignment="1" applyProtection="1">
      <alignment horizontal="center"/>
      <protection hidden="1"/>
    </xf>
    <xf numFmtId="0" fontId="11" fillId="36" borderId="0" xfId="0" applyFont="1" applyFill="1" applyBorder="1" applyAlignment="1" applyProtection="1">
      <alignment horizontal="center"/>
      <protection hidden="1"/>
    </xf>
    <xf numFmtId="166" fontId="10" fillId="36" borderId="0" xfId="0" applyNumberFormat="1" applyFont="1" applyFill="1" applyBorder="1" applyAlignment="1" applyProtection="1">
      <alignment horizontal="left"/>
      <protection hidden="1"/>
    </xf>
    <xf numFmtId="0" fontId="10" fillId="36" borderId="0" xfId="0" applyFont="1" applyFill="1" applyBorder="1" applyAlignment="1" applyProtection="1">
      <alignment horizontal="left"/>
      <protection hidden="1"/>
    </xf>
    <xf numFmtId="0" fontId="10" fillId="36" borderId="0" xfId="0" applyFont="1" applyFill="1" applyAlignment="1">
      <alignment/>
    </xf>
    <xf numFmtId="168" fontId="10" fillId="36" borderId="0" xfId="0" applyNumberFormat="1" applyFont="1" applyFill="1" applyBorder="1" applyAlignment="1" applyProtection="1">
      <alignment horizontal="center"/>
      <protection hidden="1"/>
    </xf>
    <xf numFmtId="0" fontId="10" fillId="36" borderId="0" xfId="0" applyFont="1" applyFill="1" applyBorder="1" applyAlignment="1">
      <alignment horizontal="left"/>
    </xf>
    <xf numFmtId="0" fontId="10" fillId="36" borderId="0" xfId="0" applyFont="1" applyFill="1" applyBorder="1" applyAlignment="1">
      <alignment horizontal="center"/>
    </xf>
    <xf numFmtId="166" fontId="11" fillId="36" borderId="0" xfId="0" applyNumberFormat="1" applyFont="1" applyFill="1" applyBorder="1" applyAlignment="1" applyProtection="1">
      <alignment horizontal="left"/>
      <protection hidden="1"/>
    </xf>
    <xf numFmtId="0" fontId="65" fillId="36" borderId="0" xfId="0" applyFont="1" applyFill="1" applyBorder="1" applyAlignment="1">
      <alignment horizontal="right"/>
    </xf>
    <xf numFmtId="0" fontId="65" fillId="36" borderId="0" xfId="0" applyFont="1" applyFill="1" applyBorder="1" applyAlignment="1" applyProtection="1">
      <alignment horizontal="center"/>
      <protection hidden="1"/>
    </xf>
    <xf numFmtId="188" fontId="63" fillId="36" borderId="0" xfId="0" applyNumberFormat="1" applyFont="1" applyFill="1" applyBorder="1" applyAlignment="1" applyProtection="1">
      <alignment/>
      <protection hidden="1"/>
    </xf>
    <xf numFmtId="188" fontId="65" fillId="36" borderId="0" xfId="0" applyNumberFormat="1" applyFont="1" applyFill="1" applyBorder="1" applyAlignment="1" applyProtection="1">
      <alignment/>
      <protection hidden="1"/>
    </xf>
    <xf numFmtId="190" fontId="63" fillId="36" borderId="0" xfId="0" applyNumberFormat="1" applyFont="1" applyFill="1" applyBorder="1" applyAlignment="1" applyProtection="1">
      <alignment/>
      <protection hidden="1"/>
    </xf>
    <xf numFmtId="0" fontId="65" fillId="36" borderId="0" xfId="0" applyFont="1" applyFill="1" applyBorder="1" applyAlignment="1" applyProtection="1">
      <alignment/>
      <protection hidden="1"/>
    </xf>
    <xf numFmtId="191" fontId="63" fillId="36" borderId="0" xfId="0" applyNumberFormat="1" applyFont="1" applyFill="1" applyBorder="1" applyAlignment="1" applyProtection="1">
      <alignment/>
      <protection hidden="1"/>
    </xf>
    <xf numFmtId="192" fontId="63" fillId="36" borderId="0" xfId="0" applyNumberFormat="1" applyFont="1" applyFill="1" applyBorder="1" applyAlignment="1" applyProtection="1">
      <alignment/>
      <protection hidden="1"/>
    </xf>
    <xf numFmtId="2" fontId="10" fillId="36" borderId="0" xfId="0" applyNumberFormat="1" applyFont="1" applyFill="1" applyAlignment="1">
      <alignment/>
    </xf>
    <xf numFmtId="171" fontId="10" fillId="36" borderId="0" xfId="0" applyNumberFormat="1" applyFont="1" applyFill="1" applyAlignment="1">
      <alignment/>
    </xf>
    <xf numFmtId="167" fontId="10" fillId="36" borderId="0" xfId="0" applyNumberFormat="1" applyFont="1" applyFill="1" applyAlignment="1">
      <alignment/>
    </xf>
    <xf numFmtId="171" fontId="11" fillId="36" borderId="0" xfId="0" applyNumberFormat="1" applyFont="1" applyFill="1" applyBorder="1" applyAlignment="1" applyProtection="1">
      <alignment horizontal="center"/>
      <protection hidden="1"/>
    </xf>
    <xf numFmtId="0" fontId="11" fillId="36" borderId="0" xfId="0" applyFont="1" applyFill="1" applyAlignment="1">
      <alignment horizontal="center"/>
    </xf>
    <xf numFmtId="195" fontId="10" fillId="36" borderId="0" xfId="0" applyNumberFormat="1" applyFont="1" applyFill="1" applyBorder="1" applyAlignment="1" applyProtection="1">
      <alignment horizontal="center"/>
      <protection hidden="1"/>
    </xf>
    <xf numFmtId="167" fontId="10" fillId="36" borderId="0" xfId="0" applyNumberFormat="1" applyFont="1" applyFill="1" applyBorder="1" applyAlignment="1" applyProtection="1">
      <alignment horizontal="center"/>
      <protection hidden="1"/>
    </xf>
    <xf numFmtId="0" fontId="10" fillId="36" borderId="0" xfId="0" applyFont="1" applyFill="1" applyAlignment="1">
      <alignment horizontal="center"/>
    </xf>
    <xf numFmtId="167" fontId="10" fillId="36" borderId="0" xfId="0" applyNumberFormat="1" applyFont="1" applyFill="1" applyBorder="1" applyAlignment="1" applyProtection="1">
      <alignment/>
      <protection hidden="1"/>
    </xf>
    <xf numFmtId="0" fontId="11" fillId="36" borderId="0" xfId="0" applyFont="1" applyFill="1" applyAlignment="1">
      <alignment/>
    </xf>
    <xf numFmtId="0" fontId="11" fillId="36" borderId="0" xfId="0" applyFont="1" applyFill="1" applyAlignment="1">
      <alignment/>
    </xf>
    <xf numFmtId="0" fontId="6" fillId="36" borderId="0" xfId="0" applyFont="1" applyFill="1" applyBorder="1" applyAlignment="1" applyProtection="1">
      <alignment/>
      <protection hidden="1"/>
    </xf>
    <xf numFmtId="0" fontId="6" fillId="36" borderId="0" xfId="0" applyFont="1" applyFill="1" applyAlignment="1">
      <alignment/>
    </xf>
    <xf numFmtId="0" fontId="1" fillId="33" borderId="0" xfId="0" applyFont="1" applyFill="1" applyBorder="1" applyAlignment="1">
      <alignment/>
    </xf>
    <xf numFmtId="11" fontId="16" fillId="33" borderId="0" xfId="0" applyNumberFormat="1" applyFont="1" applyFill="1" applyBorder="1" applyAlignment="1">
      <alignment horizontal="center" vertical="center" wrapText="1"/>
    </xf>
    <xf numFmtId="0" fontId="0" fillId="33" borderId="0" xfId="0" applyFill="1" applyBorder="1" applyAlignment="1">
      <alignment horizontal="center" vertical="center" wrapText="1"/>
    </xf>
    <xf numFmtId="0" fontId="3" fillId="33" borderId="14" xfId="0" applyFont="1" applyFill="1" applyBorder="1" applyAlignment="1" applyProtection="1">
      <alignment horizontal="left" wrapText="1"/>
      <protection hidden="1"/>
    </xf>
    <xf numFmtId="0" fontId="3" fillId="33" borderId="22" xfId="0" applyFont="1" applyFill="1" applyBorder="1" applyAlignment="1" applyProtection="1">
      <alignment horizontal="left" wrapText="1"/>
      <protection hidden="1"/>
    </xf>
    <xf numFmtId="0" fontId="3" fillId="33" borderId="36" xfId="0" applyFont="1" applyFill="1" applyBorder="1" applyAlignment="1" applyProtection="1">
      <alignment horizontal="center"/>
      <protection hidden="1"/>
    </xf>
    <xf numFmtId="0" fontId="3" fillId="33" borderId="37" xfId="0" applyFont="1" applyFill="1" applyBorder="1" applyAlignment="1" applyProtection="1">
      <alignment horizontal="center"/>
      <protection hidden="1"/>
    </xf>
    <xf numFmtId="0" fontId="3" fillId="33" borderId="14" xfId="0" applyFont="1" applyFill="1" applyBorder="1" applyAlignment="1">
      <alignment horizontal="center"/>
    </xf>
    <xf numFmtId="0" fontId="3" fillId="33" borderId="22" xfId="0" applyFont="1" applyFill="1" applyBorder="1" applyAlignment="1">
      <alignment horizontal="center"/>
    </xf>
    <xf numFmtId="0" fontId="3" fillId="33" borderId="2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9"/>
        </patternFill>
      </fill>
    </dxf>
    <dxf>
      <fill>
        <patternFill>
          <bgColor indexed="42"/>
        </patternFill>
      </fill>
    </dxf>
    <dxf>
      <font>
        <color auto="1"/>
      </font>
      <fill>
        <patternFill>
          <bgColor indexed="42"/>
        </patternFill>
      </fill>
    </dxf>
    <dxf>
      <fill>
        <patternFill>
          <bgColor indexed="42"/>
        </patternFill>
      </fill>
    </dxf>
    <dxf>
      <font>
        <color auto="1"/>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Control to Output Bode</a:t>
            </a:r>
          </a:p>
        </c:rich>
      </c:tx>
      <c:layout>
        <c:manualLayout>
          <c:xMode val="factor"/>
          <c:yMode val="factor"/>
          <c:x val="0.011"/>
          <c:y val="0"/>
        </c:manualLayout>
      </c:layout>
      <c:spPr>
        <a:noFill/>
        <a:ln>
          <a:noFill/>
        </a:ln>
      </c:spPr>
    </c:title>
    <c:plotArea>
      <c:layout>
        <c:manualLayout>
          <c:xMode val="edge"/>
          <c:yMode val="edge"/>
          <c:x val="0.08775"/>
          <c:y val="0.146"/>
          <c:w val="0.82475"/>
          <c:h val="0.66525"/>
        </c:manualLayout>
      </c:layout>
      <c:scatterChart>
        <c:scatterStyle val="smoothMarker"/>
        <c:varyColors val="0"/>
        <c:ser>
          <c:idx val="0"/>
          <c:order val="0"/>
          <c:tx>
            <c:v>Gain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and Results'!$C$80:$C$330</c:f>
              <c:numCache/>
            </c:numRef>
          </c:xVal>
          <c:yVal>
            <c:numRef>
              <c:f>'Input and Results'!$S$80:$S$330</c:f>
              <c:numCache/>
            </c:numRef>
          </c:yVal>
          <c:smooth val="1"/>
        </c:ser>
        <c:axId val="24044342"/>
        <c:axId val="15072487"/>
      </c:scatterChart>
      <c:scatterChart>
        <c:scatterStyle val="lineMarker"/>
        <c:varyColors val="0"/>
        <c:ser>
          <c:idx val="1"/>
          <c:order val="1"/>
          <c:tx>
            <c:v>Phase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and Results'!$C$80:$C$330</c:f>
              <c:numCache/>
            </c:numRef>
          </c:xVal>
          <c:yVal>
            <c:numRef>
              <c:f>'Input and Results'!$P$80:$P$330</c:f>
              <c:numCache/>
            </c:numRef>
          </c:yVal>
          <c:smooth val="0"/>
        </c:ser>
        <c:axId val="1434656"/>
        <c:axId val="12911905"/>
      </c:scatterChart>
      <c:valAx>
        <c:axId val="24044342"/>
        <c:scaling>
          <c:logBase val="10"/>
          <c:orientation val="minMax"/>
          <c:max val="1000000"/>
          <c:min val="10"/>
        </c:scaling>
        <c:axPos val="b"/>
        <c:title>
          <c:tx>
            <c:rich>
              <a:bodyPr vert="horz" rot="0" anchor="ctr"/>
              <a:lstStyle/>
              <a:p>
                <a:pPr algn="ctr">
                  <a:defRPr/>
                </a:pPr>
                <a:r>
                  <a:rPr lang="en-US" cap="none" sz="800" b="1" i="0" u="none" baseline="0">
                    <a:solidFill>
                      <a:srgbClr val="000000"/>
                    </a:solidFill>
                    <a:latin typeface="Arial"/>
                    <a:ea typeface="Arial"/>
                    <a:cs typeface="Arial"/>
                  </a:rPr>
                  <a:t>Frequency - Hz</a:t>
                </a:r>
              </a:p>
            </c:rich>
          </c:tx>
          <c:layout>
            <c:manualLayout>
              <c:xMode val="factor"/>
              <c:yMode val="factor"/>
              <c:x val="0"/>
              <c:y val="0"/>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15072487"/>
        <c:crossesAt val="-100"/>
        <c:crossBetween val="midCat"/>
        <c:dispUnits/>
      </c:valAx>
      <c:valAx>
        <c:axId val="150724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Gain - dB</a:t>
                </a:r>
              </a:p>
            </c:rich>
          </c:tx>
          <c:layout>
            <c:manualLayout>
              <c:xMode val="factor"/>
              <c:yMode val="factor"/>
              <c:x val="-0.0042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044342"/>
        <c:crosses val="autoZero"/>
        <c:crossBetween val="midCat"/>
        <c:dispUnits/>
        <c:majorUnit val="10"/>
        <c:minorUnit val="2"/>
      </c:valAx>
      <c:valAx>
        <c:axId val="1434656"/>
        <c:scaling>
          <c:logBase val="10"/>
          <c:orientation val="minMax"/>
        </c:scaling>
        <c:axPos val="b"/>
        <c:delete val="1"/>
        <c:majorTickMark val="out"/>
        <c:minorTickMark val="none"/>
        <c:tickLblPos val="none"/>
        <c:crossAx val="12911905"/>
        <c:crosses val="max"/>
        <c:crossBetween val="midCat"/>
        <c:dispUnits/>
      </c:valAx>
      <c:valAx>
        <c:axId val="1291190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Phase - °</a:t>
                </a:r>
              </a:p>
            </c:rich>
          </c:tx>
          <c:layout>
            <c:manualLayout>
              <c:xMode val="factor"/>
              <c:yMode val="factor"/>
              <c:x val="0"/>
              <c:y val="0"/>
            </c:manualLayout>
          </c:layout>
          <c:overlay val="0"/>
          <c:spPr>
            <a:noFill/>
            <a:ln>
              <a:noFill/>
            </a:ln>
          </c:spPr>
        </c:title>
        <c:delete val="0"/>
        <c:numFmt formatCode="0" sourceLinked="0"/>
        <c:majorTickMark val="cross"/>
        <c:minorTickMark val="none"/>
        <c:tickLblPos val="nextTo"/>
        <c:spPr>
          <a:ln w="3175">
            <a:solidFill>
              <a:srgbClr val="000000"/>
            </a:solidFill>
          </a:ln>
        </c:spPr>
        <c:crossAx val="1434656"/>
        <c:crosses val="max"/>
        <c:crossBetween val="midCat"/>
        <c:dispUnits/>
        <c:majorUnit val="45"/>
      </c:valAx>
      <c:spPr>
        <a:noFill/>
        <a:ln>
          <a:noFill/>
        </a:ln>
      </c:spPr>
    </c:plotArea>
    <c:legend>
      <c:legendPos val="b"/>
      <c:layout>
        <c:manualLayout>
          <c:xMode val="edge"/>
          <c:yMode val="edge"/>
          <c:x val="0.326"/>
          <c:y val="0.91875"/>
          <c:w val="0.348"/>
          <c:h val="0.06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Error Amp Bode</a:t>
            </a:r>
          </a:p>
        </c:rich>
      </c:tx>
      <c:layout>
        <c:manualLayout>
          <c:xMode val="factor"/>
          <c:yMode val="factor"/>
          <c:x val="0.0075"/>
          <c:y val="0"/>
        </c:manualLayout>
      </c:layout>
      <c:spPr>
        <a:noFill/>
        <a:ln>
          <a:noFill/>
        </a:ln>
      </c:spPr>
    </c:title>
    <c:plotArea>
      <c:layout>
        <c:manualLayout>
          <c:xMode val="edge"/>
          <c:yMode val="edge"/>
          <c:x val="0.0795"/>
          <c:y val="0.146"/>
          <c:w val="0.84125"/>
          <c:h val="0.66525"/>
        </c:manualLayout>
      </c:layout>
      <c:scatterChart>
        <c:scatterStyle val="smoothMarker"/>
        <c:varyColors val="0"/>
        <c:ser>
          <c:idx val="0"/>
          <c:order val="0"/>
          <c:tx>
            <c:v>Gain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and Results'!$C$80:$C$330</c:f>
              <c:numCache/>
            </c:numRef>
          </c:xVal>
          <c:yVal>
            <c:numRef>
              <c:f>'Input and Results'!$U$80:$U$330</c:f>
              <c:numCache/>
            </c:numRef>
          </c:yVal>
          <c:smooth val="1"/>
        </c:ser>
        <c:ser>
          <c:idx val="2"/>
          <c:order val="2"/>
          <c:tx>
            <c:strRef>
              <c:f>'Input and Results'!$W$78</c:f>
              <c:strCache>
                <c:ptCount val="1"/>
                <c:pt idx="0">
                  <c:v>GBWP limit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and Results'!$C$80:$C$330</c:f>
              <c:numCache/>
            </c:numRef>
          </c:xVal>
          <c:yVal>
            <c:numRef>
              <c:f>'Input and Results'!$W$80:$W$330</c:f>
              <c:numCache/>
            </c:numRef>
          </c:yVal>
          <c:smooth val="1"/>
        </c:ser>
        <c:axId val="49098282"/>
        <c:axId val="39231355"/>
      </c:scatterChart>
      <c:scatterChart>
        <c:scatterStyle val="lineMarker"/>
        <c:varyColors val="0"/>
        <c:ser>
          <c:idx val="1"/>
          <c:order val="1"/>
          <c:tx>
            <c:v>Phase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and Results'!$C$80:$C$330</c:f>
              <c:numCache/>
            </c:numRef>
          </c:xVal>
          <c:yVal>
            <c:numRef>
              <c:f>'Input and Results'!$V$80:$V$330</c:f>
              <c:numCache/>
            </c:numRef>
          </c:yVal>
          <c:smooth val="1"/>
        </c:ser>
        <c:axId val="17537876"/>
        <c:axId val="23623157"/>
      </c:scatterChart>
      <c:valAx>
        <c:axId val="49098282"/>
        <c:scaling>
          <c:logBase val="10"/>
          <c:orientation val="minMax"/>
          <c:max val="1000000"/>
          <c:min val="10"/>
        </c:scaling>
        <c:axPos val="b"/>
        <c:title>
          <c:tx>
            <c:rich>
              <a:bodyPr vert="horz" rot="0" anchor="ctr"/>
              <a:lstStyle/>
              <a:p>
                <a:pPr algn="ctr">
                  <a:defRPr/>
                </a:pPr>
                <a:r>
                  <a:rPr lang="en-US" cap="none" sz="800" b="1" i="0" u="none" baseline="0">
                    <a:solidFill>
                      <a:srgbClr val="000000"/>
                    </a:solidFill>
                    <a:latin typeface="Arial"/>
                    <a:ea typeface="Arial"/>
                    <a:cs typeface="Arial"/>
                  </a:rPr>
                  <a:t>Frequency - Hz</a:t>
                </a:r>
              </a:p>
            </c:rich>
          </c:tx>
          <c:layout>
            <c:manualLayout>
              <c:xMode val="factor"/>
              <c:yMode val="factor"/>
              <c:x val="0"/>
              <c:y val="0"/>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39231355"/>
        <c:crossesAt val="-100"/>
        <c:crossBetween val="midCat"/>
        <c:dispUnits/>
      </c:valAx>
      <c:valAx>
        <c:axId val="3923135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Gain - dB</a:t>
                </a:r>
              </a:p>
            </c:rich>
          </c:tx>
          <c:layout>
            <c:manualLayout>
              <c:xMode val="factor"/>
              <c:yMode val="factor"/>
              <c:x val="-0.0037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9098282"/>
        <c:crosses val="autoZero"/>
        <c:crossBetween val="midCat"/>
        <c:dispUnits/>
        <c:majorUnit val="10"/>
        <c:minorUnit val="2"/>
      </c:valAx>
      <c:valAx>
        <c:axId val="17537876"/>
        <c:scaling>
          <c:logBase val="10"/>
          <c:orientation val="minMax"/>
        </c:scaling>
        <c:axPos val="b"/>
        <c:delete val="1"/>
        <c:majorTickMark val="out"/>
        <c:minorTickMark val="none"/>
        <c:tickLblPos val="none"/>
        <c:crossAx val="23623157"/>
        <c:crosses val="max"/>
        <c:crossBetween val="midCat"/>
        <c:dispUnits/>
      </c:valAx>
      <c:valAx>
        <c:axId val="2362315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Phase - °</a:t>
                </a:r>
              </a:p>
            </c:rich>
          </c:tx>
          <c:layout>
            <c:manualLayout>
              <c:xMode val="factor"/>
              <c:yMode val="factor"/>
              <c:x val="0"/>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7537876"/>
        <c:crosses val="max"/>
        <c:crossBetween val="midCat"/>
        <c:dispUnits/>
        <c:majorUnit val="45"/>
      </c:valAx>
      <c:spPr>
        <a:noFill/>
        <a:ln>
          <a:noFill/>
        </a:ln>
      </c:spPr>
    </c:plotArea>
    <c:legend>
      <c:legendPos val="b"/>
      <c:layout>
        <c:manualLayout>
          <c:xMode val="edge"/>
          <c:yMode val="edge"/>
          <c:x val="0.24575"/>
          <c:y val="0.91875"/>
          <c:w val="0.50625"/>
          <c:h val="0.06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Total System Bode</a:t>
            </a:r>
          </a:p>
        </c:rich>
      </c:tx>
      <c:layout>
        <c:manualLayout>
          <c:xMode val="factor"/>
          <c:yMode val="factor"/>
          <c:x val="0.00825"/>
          <c:y val="0"/>
        </c:manualLayout>
      </c:layout>
      <c:spPr>
        <a:noFill/>
        <a:ln>
          <a:noFill/>
        </a:ln>
      </c:spPr>
    </c:title>
    <c:plotArea>
      <c:layout>
        <c:manualLayout>
          <c:xMode val="edge"/>
          <c:yMode val="edge"/>
          <c:x val="0.08775"/>
          <c:y val="0.146"/>
          <c:w val="0.82475"/>
          <c:h val="0.66525"/>
        </c:manualLayout>
      </c:layout>
      <c:scatterChart>
        <c:scatterStyle val="smoothMarker"/>
        <c:varyColors val="0"/>
        <c:ser>
          <c:idx val="0"/>
          <c:order val="0"/>
          <c:tx>
            <c:v>Gain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and Results'!$C$80:$C$330</c:f>
              <c:numCache/>
            </c:numRef>
          </c:xVal>
          <c:yVal>
            <c:numRef>
              <c:f>'Input and Results'!$D$80:$D$330</c:f>
              <c:numCache/>
            </c:numRef>
          </c:yVal>
          <c:smooth val="1"/>
        </c:ser>
        <c:axId val="11281822"/>
        <c:axId val="34427535"/>
      </c:scatterChart>
      <c:scatterChart>
        <c:scatterStyle val="lineMarker"/>
        <c:varyColors val="0"/>
        <c:ser>
          <c:idx val="1"/>
          <c:order val="1"/>
          <c:tx>
            <c:v>Phase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'Input and Results'!$C$80:$C$330</c:f>
              <c:numCache/>
            </c:numRef>
          </c:xVal>
          <c:yVal>
            <c:numRef>
              <c:f>'Input and Results'!$E$80:$E$330</c:f>
              <c:numCache/>
            </c:numRef>
          </c:yVal>
          <c:smooth val="1"/>
        </c:ser>
        <c:axId val="41412360"/>
        <c:axId val="37166921"/>
      </c:scatterChart>
      <c:valAx>
        <c:axId val="11281822"/>
        <c:scaling>
          <c:logBase val="10"/>
          <c:orientation val="minMax"/>
          <c:max val="1000000"/>
          <c:min val="10"/>
        </c:scaling>
        <c:axPos val="b"/>
        <c:title>
          <c:tx>
            <c:rich>
              <a:bodyPr vert="horz" rot="0" anchor="ctr"/>
              <a:lstStyle/>
              <a:p>
                <a:pPr algn="ctr">
                  <a:defRPr/>
                </a:pPr>
                <a:r>
                  <a:rPr lang="en-US" cap="none" sz="800" b="1" i="0" u="none" baseline="0">
                    <a:solidFill>
                      <a:srgbClr val="000000"/>
                    </a:solidFill>
                    <a:latin typeface="Arial"/>
                    <a:ea typeface="Arial"/>
                    <a:cs typeface="Arial"/>
                  </a:rPr>
                  <a:t>Frequency - Hz</a:t>
                </a:r>
              </a:p>
            </c:rich>
          </c:tx>
          <c:layout>
            <c:manualLayout>
              <c:xMode val="factor"/>
              <c:yMode val="factor"/>
              <c:x val="0"/>
              <c:y val="0"/>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34427535"/>
        <c:crossesAt val="-100"/>
        <c:crossBetween val="midCat"/>
        <c:dispUnits/>
      </c:valAx>
      <c:valAx>
        <c:axId val="3442753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Gain - dB</a:t>
                </a:r>
              </a:p>
            </c:rich>
          </c:tx>
          <c:layout>
            <c:manualLayout>
              <c:xMode val="factor"/>
              <c:yMode val="factor"/>
              <c:x val="-0.00425"/>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281822"/>
        <c:crosses val="autoZero"/>
        <c:crossBetween val="midCat"/>
        <c:dispUnits/>
        <c:majorUnit val="20"/>
        <c:minorUnit val="4"/>
      </c:valAx>
      <c:valAx>
        <c:axId val="41412360"/>
        <c:scaling>
          <c:logBase val="10"/>
          <c:orientation val="minMax"/>
        </c:scaling>
        <c:axPos val="b"/>
        <c:delete val="1"/>
        <c:majorTickMark val="out"/>
        <c:minorTickMark val="none"/>
        <c:tickLblPos val="none"/>
        <c:crossAx val="37166921"/>
        <c:crosses val="max"/>
        <c:crossBetween val="midCat"/>
        <c:dispUnits/>
      </c:valAx>
      <c:valAx>
        <c:axId val="3716692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Phase - °</a:t>
                </a:r>
              </a:p>
            </c:rich>
          </c:tx>
          <c:layout>
            <c:manualLayout>
              <c:xMode val="factor"/>
              <c:yMode val="factor"/>
              <c:x val="0"/>
              <c:y val="0"/>
            </c:manualLayout>
          </c:layout>
          <c:overlay val="0"/>
          <c:spPr>
            <a:noFill/>
            <a:ln>
              <a:noFill/>
            </a:ln>
          </c:spPr>
        </c:title>
        <c:delete val="0"/>
        <c:numFmt formatCode="0" sourceLinked="0"/>
        <c:majorTickMark val="cross"/>
        <c:minorTickMark val="none"/>
        <c:tickLblPos val="nextTo"/>
        <c:spPr>
          <a:ln w="3175">
            <a:solidFill>
              <a:srgbClr val="000000"/>
            </a:solidFill>
          </a:ln>
        </c:spPr>
        <c:crossAx val="41412360"/>
        <c:crosses val="max"/>
        <c:crossBetween val="midCat"/>
        <c:dispUnits/>
        <c:majorUnit val="45"/>
      </c:valAx>
      <c:spPr>
        <a:noFill/>
        <a:ln>
          <a:noFill/>
        </a:ln>
      </c:spPr>
    </c:plotArea>
    <c:legend>
      <c:legendPos val="b"/>
      <c:layout>
        <c:manualLayout>
          <c:xMode val="edge"/>
          <c:yMode val="edge"/>
          <c:x val="0.33425"/>
          <c:y val="0.91875"/>
          <c:w val="0.3315"/>
          <c:h val="0.06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47625</xdr:rowOff>
    </xdr:from>
    <xdr:to>
      <xdr:col>5</xdr:col>
      <xdr:colOff>819150</xdr:colOff>
      <xdr:row>41</xdr:row>
      <xdr:rowOff>152400</xdr:rowOff>
    </xdr:to>
    <xdr:graphicFrame>
      <xdr:nvGraphicFramePr>
        <xdr:cNvPr id="1" name="Chart 14"/>
        <xdr:cNvGraphicFramePr/>
      </xdr:nvGraphicFramePr>
      <xdr:xfrm>
        <a:off x="0" y="4000500"/>
        <a:ext cx="3562350" cy="3019425"/>
      </xdr:xfrm>
      <a:graphic>
        <a:graphicData uri="http://schemas.openxmlformats.org/drawingml/2006/chart">
          <c:chart xmlns:c="http://schemas.openxmlformats.org/drawingml/2006/chart" r:id="rId1"/>
        </a:graphicData>
      </a:graphic>
    </xdr:graphicFrame>
    <xdr:clientData/>
  </xdr:twoCellAnchor>
  <xdr:twoCellAnchor>
    <xdr:from>
      <xdr:col>5</xdr:col>
      <xdr:colOff>704850</xdr:colOff>
      <xdr:row>23</xdr:row>
      <xdr:rowOff>47625</xdr:rowOff>
    </xdr:from>
    <xdr:to>
      <xdr:col>11</xdr:col>
      <xdr:colOff>180975</xdr:colOff>
      <xdr:row>41</xdr:row>
      <xdr:rowOff>152400</xdr:rowOff>
    </xdr:to>
    <xdr:graphicFrame>
      <xdr:nvGraphicFramePr>
        <xdr:cNvPr id="2" name="Chart 16"/>
        <xdr:cNvGraphicFramePr/>
      </xdr:nvGraphicFramePr>
      <xdr:xfrm>
        <a:off x="3448050" y="4000500"/>
        <a:ext cx="3924300" cy="3019425"/>
      </xdr:xfrm>
      <a:graphic>
        <a:graphicData uri="http://schemas.openxmlformats.org/drawingml/2006/chart">
          <c:chart xmlns:c="http://schemas.openxmlformats.org/drawingml/2006/chart" r:id="rId2"/>
        </a:graphicData>
      </a:graphic>
    </xdr:graphicFrame>
    <xdr:clientData/>
  </xdr:twoCellAnchor>
  <xdr:oneCellAnchor>
    <xdr:from>
      <xdr:col>11</xdr:col>
      <xdr:colOff>66675</xdr:colOff>
      <xdr:row>23</xdr:row>
      <xdr:rowOff>47625</xdr:rowOff>
    </xdr:from>
    <xdr:ext cx="3562350" cy="3019425"/>
    <xdr:graphicFrame>
      <xdr:nvGraphicFramePr>
        <xdr:cNvPr id="3" name="Chart 17"/>
        <xdr:cNvGraphicFramePr/>
      </xdr:nvGraphicFramePr>
      <xdr:xfrm>
        <a:off x="7258050" y="4000500"/>
        <a:ext cx="3562350" cy="3019425"/>
      </xdr:xfrm>
      <a:graphic>
        <a:graphicData uri="http://schemas.openxmlformats.org/drawingml/2006/chart">
          <c:chart xmlns:c="http://schemas.openxmlformats.org/drawingml/2006/chart" r:id="rId3"/>
        </a:graphicData>
      </a:graphic>
    </xdr:graphicFrame>
    <xdr:clientData/>
  </xdr:oneCellAnchor>
  <xdr:twoCellAnchor>
    <xdr:from>
      <xdr:col>0</xdr:col>
      <xdr:colOff>57150</xdr:colOff>
      <xdr:row>1</xdr:row>
      <xdr:rowOff>19050</xdr:rowOff>
    </xdr:from>
    <xdr:to>
      <xdr:col>11</xdr:col>
      <xdr:colOff>247650</xdr:colOff>
      <xdr:row>2</xdr:row>
      <xdr:rowOff>38100</xdr:rowOff>
    </xdr:to>
    <xdr:sp fLocksText="0">
      <xdr:nvSpPr>
        <xdr:cNvPr id="4" name="Text Box 23"/>
        <xdr:cNvSpPr txBox="1">
          <a:spLocks noChangeArrowheads="1"/>
        </xdr:cNvSpPr>
      </xdr:nvSpPr>
      <xdr:spPr>
        <a:xfrm>
          <a:off x="57150" y="180975"/>
          <a:ext cx="7381875" cy="323850"/>
        </a:xfrm>
        <a:prstGeom prst="rect">
          <a:avLst/>
        </a:prstGeom>
        <a:noFill/>
        <a:ln w="9525" cmpd="sng">
          <a:noFill/>
        </a:ln>
      </xdr:spPr>
      <xdr:txBody>
        <a:bodyPr vertOverflow="clip" wrap="square" lIns="36576" tIns="32004" rIns="0" bIns="0"/>
        <a:p>
          <a:pPr algn="l">
            <a:defRPr/>
          </a:pPr>
          <a:r>
            <a:rPr lang="en-US" cap="none" sz="1600" b="0" i="0" u="none" baseline="0">
              <a:solidFill>
                <a:srgbClr val="000000"/>
              </a:solidFill>
              <a:latin typeface="Arial"/>
              <a:ea typeface="Arial"/>
              <a:cs typeface="Arial"/>
            </a:rPr>
            <a:t>Votage Mode Continuous Current Non Isolated Buck Loop Compensation</a:t>
          </a:r>
        </a:p>
      </xdr:txBody>
    </xdr:sp>
    <xdr:clientData fLocksWithSheet="0"/>
  </xdr:twoCellAnchor>
  <xdr:twoCellAnchor>
    <xdr:from>
      <xdr:col>11</xdr:col>
      <xdr:colOff>38100</xdr:colOff>
      <xdr:row>6</xdr:row>
      <xdr:rowOff>28575</xdr:rowOff>
    </xdr:from>
    <xdr:to>
      <xdr:col>12</xdr:col>
      <xdr:colOff>381000</xdr:colOff>
      <xdr:row>8</xdr:row>
      <xdr:rowOff>142875</xdr:rowOff>
    </xdr:to>
    <xdr:sp macro="[0]!Copy_resistors">
      <xdr:nvSpPr>
        <xdr:cNvPr id="5" name="Text Box 79"/>
        <xdr:cNvSpPr txBox="1">
          <a:spLocks noChangeArrowheads="1"/>
        </xdr:cNvSpPr>
      </xdr:nvSpPr>
      <xdr:spPr>
        <a:xfrm>
          <a:off x="7229475" y="1152525"/>
          <a:ext cx="676275" cy="447675"/>
        </a:xfrm>
        <a:prstGeom prst="rect">
          <a:avLst/>
        </a:prstGeom>
        <a:solidFill>
          <a:srgbClr val="CCFFCC"/>
        </a:solidFill>
        <a:ln w="19050" cmpd="sng">
          <a:solidFill>
            <a:srgbClr val="008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Copy Std. Values to Man. Values</a:t>
          </a:r>
        </a:p>
      </xdr:txBody>
    </xdr:sp>
    <xdr:clientData/>
  </xdr:twoCellAnchor>
  <xdr:twoCellAnchor>
    <xdr:from>
      <xdr:col>12</xdr:col>
      <xdr:colOff>438150</xdr:colOff>
      <xdr:row>6</xdr:row>
      <xdr:rowOff>19050</xdr:rowOff>
    </xdr:from>
    <xdr:to>
      <xdr:col>14</xdr:col>
      <xdr:colOff>352425</xdr:colOff>
      <xdr:row>9</xdr:row>
      <xdr:rowOff>104775</xdr:rowOff>
    </xdr:to>
    <xdr:sp>
      <xdr:nvSpPr>
        <xdr:cNvPr id="6" name="Text Box 81"/>
        <xdr:cNvSpPr txBox="1">
          <a:spLocks noChangeArrowheads="1"/>
        </xdr:cNvSpPr>
      </xdr:nvSpPr>
      <xdr:spPr>
        <a:xfrm>
          <a:off x="7962900" y="1143000"/>
          <a:ext cx="2057400" cy="581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Green button to the left allows the user to fix the compensation network to the calculated values so that analysis can be done when the PSU parameters are varied.</a:t>
          </a:r>
        </a:p>
      </xdr:txBody>
    </xdr:sp>
    <xdr:clientData/>
  </xdr:twoCellAnchor>
  <xdr:twoCellAnchor editAs="oneCell">
    <xdr:from>
      <xdr:col>11</xdr:col>
      <xdr:colOff>152400</xdr:colOff>
      <xdr:row>9</xdr:row>
      <xdr:rowOff>123825</xdr:rowOff>
    </xdr:from>
    <xdr:to>
      <xdr:col>14</xdr:col>
      <xdr:colOff>76200</xdr:colOff>
      <xdr:row>20</xdr:row>
      <xdr:rowOff>38100</xdr:rowOff>
    </xdr:to>
    <xdr:pic>
      <xdr:nvPicPr>
        <xdr:cNvPr id="7" name="Picture 117"/>
        <xdr:cNvPicPr preferRelativeResize="1">
          <a:picLocks noChangeAspect="1"/>
        </xdr:cNvPicPr>
      </xdr:nvPicPr>
      <xdr:blipFill>
        <a:blip r:embed="rId4"/>
        <a:stretch>
          <a:fillRect/>
        </a:stretch>
      </xdr:blipFill>
      <xdr:spPr>
        <a:xfrm>
          <a:off x="7343775" y="1743075"/>
          <a:ext cx="2400300" cy="1752600"/>
        </a:xfrm>
        <a:prstGeom prst="rect">
          <a:avLst/>
        </a:prstGeom>
        <a:solidFill>
          <a:srgbClr val="FFFF99"/>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8</xdr:col>
      <xdr:colOff>542925</xdr:colOff>
      <xdr:row>42</xdr:row>
      <xdr:rowOff>66675</xdr:rowOff>
    </xdr:to>
    <xdr:sp>
      <xdr:nvSpPr>
        <xdr:cNvPr id="1" name="Text Box 1"/>
        <xdr:cNvSpPr txBox="1">
          <a:spLocks noChangeArrowheads="1"/>
        </xdr:cNvSpPr>
      </xdr:nvSpPr>
      <xdr:spPr>
        <a:xfrm>
          <a:off x="66675" y="76200"/>
          <a:ext cx="5353050" cy="6791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PROGRAM IS PROVIDED "AS IS". TI MAKES NO WARRANTIES OR REPRESENTATIONS, EITHER EXPRESS, IMPLIED OR STATUTORY, INCLUDING ANY IMPLIED WARRANTIES OF MERCHANTABILITY, FITNESS FOR A PARTICULAR PURPOSE, LACK OF VIRUSES, ACCURACY OR COMPLETENESS OF RESPONSES, RESULTS AND LACK OF NEGLIGENCE. TI DISCLAIMS ANY WARRANTY OF TITLE, QUIET ENJOYMENT, QUIET POSSESSION, AND NON-INFRINGEMENT OF ANY THIRD PARTY INTELLECTUAL PROPERTY RIGHTS WITH REGARD TO THE PROGRAM OR YOUR USE OF THE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NO EVENT SHALL TI BE LIABLE FOR ANY SPECIAL, INCIDENTAL, CONSEQUENTIAL OR INDIRECT DAMAGES, HOWEVER CAUSED, ON ANY THEORY OF LIABILITY AND WHETHER OR NOT TI HAS BEEN ADVISED OF THE POSSIBILITY OF SUCH DAMAGES, ARISING IN ANY WAY OUT OF THIS AGREEMENT, THE PROGRAM, OR YOUR USE OF THE PROGRAM.  EXCLUDED DAMAGES INCLUDE, BUT ARE NOT LIMITED TO, COST OF REMOVAL OR REINSTALLATION, COMPUTER TIME, LABOR COSTS, LOSS OF GOODWILL, LOSS OF PROFITS, LOSS OF SAVINGS, OR LOSS OF USE OR INTERRUPTION OF BUSINESS. IN NO EVENT WILL TI'S AGGREGATE LIABILITY UNDER THIS AGREEMENT OR ARISING OUT OF YOUR USE OF THE PROGRAM EXCEED FIVE HUNDRED DOLLARS (U.S.$500).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Unless otherwise stated, the Program written and copyrighted by Texas Instruments is distributed as "freeware".  You may, only under TI's copyright in the Program, use and modify the Program without any charge or restriction.  You may distribute to third parties, provided that you transfer a copy of this license to the third party and the third party agrees to these terms by its first use of the Program. You must reproduce the copyright notice and any other legend of ownership on each copy or partial copy, of the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acknowledge and agree that the Program contains copyrighted material, trade secrets and other TI proprietary information and is protected by copyright laws, international copyright treaties, and trade secret laws, as well as other intellectual property laws.  To protect TI's rights in the Program, you agree not to decompile, reverse engineer, disassemble or otherwise translate any object code versions of the Program to a human-readable form.  You agree that in no event will you alter, remove or destroy any copyright notice included in the Program.  TI reserves all rights not specifically granted under this license. Except as specifically provided herein, nothing in this agreement shall be construed as conferring by implication, estoppel, or otherwise, upon you, any license or other right under any TI patents, copyrights or trade secrets.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may not use the Program in non-TI devices.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B46"/>
  <sheetViews>
    <sheetView zoomScalePageLayoutView="0" workbookViewId="0" topLeftCell="A1">
      <selection activeCell="B3" sqref="B3"/>
    </sheetView>
  </sheetViews>
  <sheetFormatPr defaultColWidth="9.140625" defaultRowHeight="12.75"/>
  <cols>
    <col min="1" max="1" width="9.140625" style="1" customWidth="1"/>
    <col min="2" max="2" width="85.57421875" style="1" bestFit="1" customWidth="1"/>
    <col min="3" max="16384" width="9.140625" style="1" customWidth="1"/>
  </cols>
  <sheetData>
    <row r="1" spans="1:2" ht="18">
      <c r="A1" s="38" t="s">
        <v>80</v>
      </c>
      <c r="B1" s="3"/>
    </row>
    <row r="2" spans="1:2" ht="26.25" thickBot="1">
      <c r="A2" s="3"/>
      <c r="B2" s="39" t="s">
        <v>108</v>
      </c>
    </row>
    <row r="3" spans="1:2" ht="16.5" thickBot="1">
      <c r="A3" s="3"/>
      <c r="B3" s="40" t="s">
        <v>86</v>
      </c>
    </row>
    <row r="4" spans="1:2" ht="12.75">
      <c r="A4" s="41">
        <v>1</v>
      </c>
      <c r="B4" s="3" t="s">
        <v>65</v>
      </c>
    </row>
    <row r="5" spans="1:2" ht="12.75">
      <c r="A5" s="41">
        <v>2</v>
      </c>
      <c r="B5" s="3" t="s">
        <v>89</v>
      </c>
    </row>
    <row r="6" spans="1:2" ht="12.75">
      <c r="A6" s="41">
        <v>3</v>
      </c>
      <c r="B6" s="3" t="s">
        <v>85</v>
      </c>
    </row>
    <row r="7" spans="1:2" ht="12.75">
      <c r="A7" s="41">
        <v>4</v>
      </c>
      <c r="B7" s="3" t="s">
        <v>81</v>
      </c>
    </row>
    <row r="8" spans="1:2" ht="12.75">
      <c r="A8" s="41">
        <v>5</v>
      </c>
      <c r="B8" s="3" t="s">
        <v>103</v>
      </c>
    </row>
    <row r="9" spans="1:2" ht="5.25" customHeight="1" thickBot="1">
      <c r="A9" s="3"/>
      <c r="B9" s="3"/>
    </row>
    <row r="10" spans="1:2" ht="16.5" thickBot="1">
      <c r="A10" s="3"/>
      <c r="B10" s="40" t="s">
        <v>87</v>
      </c>
    </row>
    <row r="11" spans="1:2" ht="12.75">
      <c r="A11" s="3"/>
      <c r="B11" s="42" t="s">
        <v>82</v>
      </c>
    </row>
    <row r="12" spans="1:2" ht="12.75">
      <c r="A12" s="3"/>
      <c r="B12" s="43" t="s">
        <v>90</v>
      </c>
    </row>
    <row r="13" spans="1:2" ht="12.75">
      <c r="A13" s="3"/>
      <c r="B13" s="43" t="s">
        <v>91</v>
      </c>
    </row>
    <row r="14" spans="1:2" ht="12.75">
      <c r="A14" s="3"/>
      <c r="B14" s="43" t="s">
        <v>92</v>
      </c>
    </row>
    <row r="15" spans="1:2" ht="12.75">
      <c r="A15" s="3"/>
      <c r="B15" s="42" t="s">
        <v>83</v>
      </c>
    </row>
    <row r="16" spans="1:2" ht="12.75">
      <c r="A16" s="3"/>
      <c r="B16" s="43" t="s">
        <v>117</v>
      </c>
    </row>
    <row r="17" spans="1:2" ht="12.75">
      <c r="A17" s="3"/>
      <c r="B17" s="43" t="s">
        <v>118</v>
      </c>
    </row>
    <row r="18" spans="1:2" ht="12.75">
      <c r="A18" s="3"/>
      <c r="B18" s="42" t="s">
        <v>84</v>
      </c>
    </row>
    <row r="19" spans="1:2" ht="12.75">
      <c r="A19" s="3"/>
      <c r="B19" s="43" t="s">
        <v>93</v>
      </c>
    </row>
    <row r="20" spans="1:2" ht="12.75">
      <c r="A20" s="3"/>
      <c r="B20" s="43" t="s">
        <v>96</v>
      </c>
    </row>
    <row r="21" spans="1:2" ht="12.75">
      <c r="A21" s="3"/>
      <c r="B21" s="43" t="s">
        <v>138</v>
      </c>
    </row>
    <row r="22" spans="1:2" ht="12.75">
      <c r="A22" s="3"/>
      <c r="B22" s="43" t="s">
        <v>139</v>
      </c>
    </row>
    <row r="23" spans="1:2" ht="12.75">
      <c r="A23" s="3"/>
      <c r="B23" s="43" t="s">
        <v>140</v>
      </c>
    </row>
    <row r="24" spans="1:2" ht="12.75">
      <c r="A24" s="3"/>
      <c r="B24" s="43" t="s">
        <v>97</v>
      </c>
    </row>
    <row r="25" spans="1:2" ht="12.75">
      <c r="A25" s="3"/>
      <c r="B25" s="42" t="s">
        <v>95</v>
      </c>
    </row>
    <row r="26" spans="1:2" ht="3.75" customHeight="1" thickBot="1">
      <c r="A26" s="3"/>
      <c r="B26" s="3"/>
    </row>
    <row r="27" spans="1:2" ht="16.5" thickBot="1">
      <c r="A27" s="3"/>
      <c r="B27" s="40" t="s">
        <v>88</v>
      </c>
    </row>
    <row r="28" spans="1:2" ht="12.75">
      <c r="A28" s="41">
        <v>1</v>
      </c>
      <c r="B28" s="3" t="s">
        <v>102</v>
      </c>
    </row>
    <row r="29" spans="1:2" ht="12.75">
      <c r="A29" s="41">
        <v>2</v>
      </c>
      <c r="B29" s="3" t="s">
        <v>120</v>
      </c>
    </row>
    <row r="30" spans="1:2" ht="12.75">
      <c r="A30" s="41"/>
      <c r="B30" s="41" t="s">
        <v>179</v>
      </c>
    </row>
    <row r="31" spans="1:2" ht="12.75">
      <c r="A31" s="41"/>
      <c r="B31" s="41" t="s">
        <v>182</v>
      </c>
    </row>
    <row r="32" spans="1:2" ht="12.75">
      <c r="A32" s="41">
        <v>3</v>
      </c>
      <c r="B32" s="3" t="s">
        <v>116</v>
      </c>
    </row>
    <row r="33" spans="1:2" ht="12.75">
      <c r="A33" s="41">
        <v>4</v>
      </c>
      <c r="B33" s="3" t="s">
        <v>156</v>
      </c>
    </row>
    <row r="34" spans="1:2" ht="12.75">
      <c r="A34" s="41">
        <v>5</v>
      </c>
      <c r="B34" s="3" t="s">
        <v>157</v>
      </c>
    </row>
    <row r="35" spans="1:2" ht="12.75">
      <c r="A35" s="41"/>
      <c r="B35" s="41" t="s">
        <v>127</v>
      </c>
    </row>
    <row r="36" spans="1:2" ht="12.75">
      <c r="A36" s="41"/>
      <c r="B36" s="41" t="s">
        <v>126</v>
      </c>
    </row>
    <row r="37" spans="1:2" ht="12.75">
      <c r="A37" s="41"/>
      <c r="B37" s="3" t="s">
        <v>125</v>
      </c>
    </row>
    <row r="38" spans="1:2" ht="12.75">
      <c r="A38" s="41">
        <v>6</v>
      </c>
      <c r="B38" s="3" t="s">
        <v>119</v>
      </c>
    </row>
    <row r="39" spans="1:2" ht="6" customHeight="1" thickBot="1">
      <c r="A39" s="41"/>
      <c r="B39" s="3"/>
    </row>
    <row r="40" spans="1:2" ht="16.5" thickBot="1">
      <c r="A40" s="41"/>
      <c r="B40" s="40" t="s">
        <v>100</v>
      </c>
    </row>
    <row r="41" spans="1:2" ht="51">
      <c r="A41" s="3"/>
      <c r="B41" s="127" t="s">
        <v>186</v>
      </c>
    </row>
    <row r="42" ht="12.75">
      <c r="A42" s="3"/>
    </row>
    <row r="43" spans="1:2" ht="12.75">
      <c r="A43" s="3"/>
      <c r="B43" s="3"/>
    </row>
    <row r="44" spans="1:2" ht="12.75">
      <c r="A44" s="3"/>
      <c r="B44" s="3"/>
    </row>
    <row r="45" ht="12.75">
      <c r="A45" s="3"/>
    </row>
    <row r="46" ht="12.75">
      <c r="A46" s="3"/>
    </row>
  </sheetData>
  <sheetProtection password="CCF2" sheet="1" objects="1" scenarios="1" select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IN472"/>
  <sheetViews>
    <sheetView tabSelected="1" zoomScaleSheetLayoutView="100" zoomScalePageLayoutView="0" workbookViewId="0" topLeftCell="A1">
      <selection activeCell="B16" sqref="B16"/>
    </sheetView>
  </sheetViews>
  <sheetFormatPr defaultColWidth="9.140625" defaultRowHeight="12.75"/>
  <cols>
    <col min="1" max="1" width="13.8515625" style="1" customWidth="1"/>
    <col min="2" max="2" width="10.421875" style="1" customWidth="1"/>
    <col min="3" max="3" width="8.8515625" style="1" customWidth="1"/>
    <col min="4" max="4" width="6.57421875" style="1" customWidth="1"/>
    <col min="5" max="5" width="1.421875" style="1" customWidth="1"/>
    <col min="6" max="6" width="13.140625" style="1" customWidth="1"/>
    <col min="7" max="7" width="13.57421875" style="1" customWidth="1"/>
    <col min="8" max="8" width="10.28125" style="1" customWidth="1"/>
    <col min="9" max="9" width="12.7109375" style="1" customWidth="1"/>
    <col min="10" max="10" width="11.00390625" style="1" customWidth="1"/>
    <col min="11" max="11" width="6.00390625" style="1" customWidth="1"/>
    <col min="12" max="12" width="5.00390625" style="1" bestFit="1" customWidth="1"/>
    <col min="13" max="13" width="18.8515625" style="1" customWidth="1"/>
    <col min="14" max="14" width="13.28125" style="1" customWidth="1"/>
    <col min="15" max="15" width="5.421875" style="1" customWidth="1"/>
    <col min="16" max="16" width="10.421875" style="17" bestFit="1" customWidth="1"/>
    <col min="17" max="17" width="12.00390625" style="102" customWidth="1"/>
    <col min="18" max="18" width="16.8515625" style="128" customWidth="1"/>
    <col min="19" max="19" width="13.140625" style="130" customWidth="1"/>
    <col min="20" max="20" width="15.140625" style="165" customWidth="1"/>
    <col min="21" max="21" width="10.00390625" style="130" customWidth="1"/>
    <col min="22" max="22" width="13.8515625" style="130" customWidth="1"/>
    <col min="23" max="23" width="39.57421875" style="130" bestFit="1" customWidth="1"/>
    <col min="24" max="24" width="22.28125" style="130" bestFit="1" customWidth="1"/>
    <col min="25" max="26" width="39.00390625" style="130" bestFit="1" customWidth="1"/>
    <col min="27" max="27" width="22.140625" style="130" customWidth="1"/>
    <col min="28" max="28" width="17.8515625" style="130" customWidth="1"/>
    <col min="29" max="29" width="7.28125" style="130" customWidth="1"/>
    <col min="30" max="30" width="14.421875" style="130" customWidth="1"/>
    <col min="31" max="31" width="11.421875" style="130" customWidth="1"/>
    <col min="32" max="32" width="23.00390625" style="13" bestFit="1" customWidth="1"/>
    <col min="33" max="34" width="34.00390625" style="13" bestFit="1" customWidth="1"/>
    <col min="35" max="35" width="34.140625" style="13" bestFit="1" customWidth="1"/>
    <col min="36" max="36" width="40.140625" style="13" bestFit="1" customWidth="1"/>
    <col min="37" max="42" width="9.140625" style="13" customWidth="1"/>
    <col min="43" max="49" width="9.140625" style="23" customWidth="1"/>
    <col min="50" max="68" width="9.140625" style="21" customWidth="1"/>
    <col min="69" max="69" width="9.140625" style="22" customWidth="1"/>
    <col min="70" max="80" width="9.140625" style="1" customWidth="1"/>
    <col min="81" max="81" width="12.421875" style="1" bestFit="1" customWidth="1"/>
    <col min="82" max="82" width="12.57421875" style="1" bestFit="1" customWidth="1"/>
    <col min="83" max="90" width="12.421875" style="1" bestFit="1" customWidth="1"/>
    <col min="91" max="16384" width="9.140625" style="1" customWidth="1"/>
  </cols>
  <sheetData>
    <row r="1" spans="1:74" ht="12.75">
      <c r="A1" s="1" t="s">
        <v>99</v>
      </c>
      <c r="S1" s="128"/>
      <c r="T1" s="128"/>
      <c r="U1" s="128"/>
      <c r="V1" s="128"/>
      <c r="W1" s="128"/>
      <c r="X1" s="129" t="s">
        <v>56</v>
      </c>
      <c r="AB1" s="129" t="s">
        <v>57</v>
      </c>
      <c r="AG1" s="107"/>
      <c r="AH1" s="108"/>
      <c r="AX1" s="23"/>
      <c r="AY1" s="23"/>
      <c r="AZ1" s="23"/>
      <c r="BA1" s="23"/>
      <c r="BB1" s="23"/>
      <c r="BQ1" s="21"/>
      <c r="BR1" s="21"/>
      <c r="BS1" s="21"/>
      <c r="BT1" s="21"/>
      <c r="BU1" s="21"/>
      <c r="BV1" s="20"/>
    </row>
    <row r="2" spans="18:74" ht="24" customHeight="1" thickBot="1">
      <c r="R2" s="131" t="s">
        <v>60</v>
      </c>
      <c r="S2" s="132"/>
      <c r="T2" s="130"/>
      <c r="Y2" s="133"/>
      <c r="AA2" s="133"/>
      <c r="AG2" s="92"/>
      <c r="AX2" s="23"/>
      <c r="AY2" s="23"/>
      <c r="AZ2" s="23"/>
      <c r="BA2" s="23"/>
      <c r="BB2" s="23"/>
      <c r="BQ2" s="21"/>
      <c r="BR2" s="21"/>
      <c r="BS2" s="21"/>
      <c r="BT2" s="21"/>
      <c r="BU2" s="21"/>
      <c r="BV2" s="20"/>
    </row>
    <row r="3" spans="1:74" ht="12.75">
      <c r="A3" s="16" t="s">
        <v>33</v>
      </c>
      <c r="B3" s="33"/>
      <c r="C3" s="34"/>
      <c r="F3" s="25" t="s">
        <v>109</v>
      </c>
      <c r="G3" s="26"/>
      <c r="H3" s="27"/>
      <c r="I3" s="28"/>
      <c r="J3" s="25" t="s">
        <v>111</v>
      </c>
      <c r="K3" s="65"/>
      <c r="M3" s="25" t="s">
        <v>124</v>
      </c>
      <c r="N3" s="26"/>
      <c r="O3" s="28"/>
      <c r="R3" s="134" t="s">
        <v>104</v>
      </c>
      <c r="S3" s="134" t="s">
        <v>1</v>
      </c>
      <c r="T3" s="134" t="s">
        <v>21</v>
      </c>
      <c r="U3" s="134" t="s">
        <v>27</v>
      </c>
      <c r="V3" s="134" t="s">
        <v>150</v>
      </c>
      <c r="W3" s="135"/>
      <c r="X3" s="136" t="str">
        <f>'Input and Results'!H6</f>
        <v>R_2</v>
      </c>
      <c r="Y3" s="137" t="e">
        <f>'Input and Results'!I6</f>
        <v>#NUM!</v>
      </c>
      <c r="Z3" s="138" t="e">
        <f>IF((10^(LOG(Y3)-INT(LOG(Y3)))*100)-VLOOKUP((10^(LOG(Y3)-INT(LOG(Y3)))*100),X$7:X$75,1)&lt;VLOOKUP((10^(LOG(Y3)-INT(LOG(Y3)))*100),X$7:Y$75,2)-(10^(LOG(Y3)-INT(LOG(Y3)))*100),VLOOKUP((10^(LOG(Y3)-INT(LOG(Y3)))*100),X$7:X$75,1),VLOOKUP((10^(LOG(Y3)-INT(LOG(Y3)))*100),X$7:Y$75,2))</f>
        <v>#NUM!</v>
      </c>
      <c r="AA3" s="132" t="e">
        <f>Z3*10^INT(LOG(Y3))/100</f>
        <v>#NUM!</v>
      </c>
      <c r="AB3" s="136" t="str">
        <f>'Input and Results'!H9</f>
        <v>C_1</v>
      </c>
      <c r="AC3" s="137" t="e">
        <f>'Input and Results'!I9</f>
        <v>#NUM!</v>
      </c>
      <c r="AD3" s="138" t="e">
        <f>IF((10^(LOG(AC3)-INT(LOG(AC3))))-VLOOKUP((10^(LOG(AC3)-INT(LOG(AC3)))),AB$7:AB$18,1)&lt;VLOOKUP((10^(LOG(AC3)-INT(LOG(AC3)))),AB$7:AC$18,2)-(10^(LOG(AC3)-INT(LOG(AC3)))),VLOOKUP((10^(LOG(AC3)-INT(LOG(AC3)))),AB$7:AB$18,1),VLOOKUP((10^(LOG(AC3)-INT(LOG(AC3)))),AB$7:AC$18,2))</f>
        <v>#NUM!</v>
      </c>
      <c r="AE3" s="132" t="e">
        <f>IF(I9&gt;10000,AD6*10^INT(LOG(AC3)),AD3*10^INT(LOG(AC3)))</f>
        <v>#NUM!</v>
      </c>
      <c r="AX3" s="23"/>
      <c r="AY3" s="23"/>
      <c r="AZ3" s="23"/>
      <c r="BA3" s="23"/>
      <c r="BB3" s="23"/>
      <c r="BQ3" s="21"/>
      <c r="BR3" s="21"/>
      <c r="BS3" s="21"/>
      <c r="BT3" s="21"/>
      <c r="BU3" s="21"/>
      <c r="BV3" s="20"/>
    </row>
    <row r="4" spans="1:74" ht="12.75">
      <c r="A4" s="35" t="s">
        <v>0</v>
      </c>
      <c r="B4" s="14"/>
      <c r="C4" s="10" t="s">
        <v>3</v>
      </c>
      <c r="E4" s="3"/>
      <c r="F4" s="37"/>
      <c r="G4" s="2"/>
      <c r="H4" s="2"/>
      <c r="I4" s="49"/>
      <c r="J4" s="66" t="s">
        <v>110</v>
      </c>
      <c r="K4" s="57" t="s">
        <v>79</v>
      </c>
      <c r="M4" s="73" t="s">
        <v>121</v>
      </c>
      <c r="N4" s="74" t="e">
        <f>1/(2*PI()*SQRT(LOUT*10^-6*(COUT+MLCC)*10^-6))*10^-3</f>
        <v>#DIV/0!</v>
      </c>
      <c r="O4" s="75" t="s">
        <v>36</v>
      </c>
      <c r="R4" s="134"/>
      <c r="S4" s="134" t="s">
        <v>3</v>
      </c>
      <c r="T4" s="134" t="s">
        <v>3</v>
      </c>
      <c r="U4" s="134" t="s">
        <v>151</v>
      </c>
      <c r="V4" s="134" t="s">
        <v>31</v>
      </c>
      <c r="W4" s="135"/>
      <c r="X4" s="136" t="str">
        <f>'Input and Results'!H7</f>
        <v>R_3</v>
      </c>
      <c r="Y4" s="137" t="e">
        <f>'Input and Results'!I7</f>
        <v>#NUM!</v>
      </c>
      <c r="Z4" s="138" t="e">
        <f>IF((10^(LOG(Y4)-INT(LOG(Y4)))*100)-VLOOKUP((10^(LOG(Y4)-INT(LOG(Y4)))*100),X$7:X$75,1)&lt;VLOOKUP((10^(LOG(Y4)-INT(LOG(Y4)))*100),X$7:Y$75,2)-(10^(LOG(Y4)-INT(LOG(Y4)))*100),VLOOKUP((10^(LOG(Y4)-INT(LOG(Y4)))*100),X$7:X$75,1),VLOOKUP((10^(LOG(Y4)-INT(LOG(Y4)))*100),X$7:Y$75,2))</f>
        <v>#NUM!</v>
      </c>
      <c r="AA4" s="132" t="e">
        <f>Z4*10^INT(LOG(Y4))/100</f>
        <v>#NUM!</v>
      </c>
      <c r="AB4" s="136" t="str">
        <f>'Input and Results'!H10</f>
        <v>C_2</v>
      </c>
      <c r="AC4" s="137" t="e">
        <f>'Input and Results'!I10</f>
        <v>#NUM!</v>
      </c>
      <c r="AD4" s="138" t="e">
        <f>IF((10^(LOG(AC4)-INT(LOG(AC4))))-VLOOKUP((10^(LOG(AC4)-INT(LOG(AC4)))),AB$7:AB$18,1)&lt;VLOOKUP((10^(LOG(AC4)-INT(LOG(AC4)))),AB$7:AC$18,2)-(10^(LOG(AC4)-INT(LOG(AC4)))),VLOOKUP((10^(LOG(AC4)-INT(LOG(AC4)))),AB$7:AB$18,1),VLOOKUP((10^(LOG(AC4)-INT(LOG(AC4)))),AB$7:AC$18,2))</f>
        <v>#NUM!</v>
      </c>
      <c r="AE4" s="132" t="e">
        <f>IF(I10&gt;10000,AD7*10^INT(LOG(AC4)),AD4*10^INT(LOG(AC4)))</f>
        <v>#NUM!</v>
      </c>
      <c r="AX4" s="23"/>
      <c r="AY4" s="23"/>
      <c r="AZ4" s="23"/>
      <c r="BA4" s="23"/>
      <c r="BB4" s="23"/>
      <c r="BQ4" s="21"/>
      <c r="BR4" s="21"/>
      <c r="BS4" s="21"/>
      <c r="BT4" s="21"/>
      <c r="BU4" s="21"/>
      <c r="BV4" s="20"/>
    </row>
    <row r="5" spans="1:74" ht="12.75">
      <c r="A5" s="35" t="s">
        <v>9</v>
      </c>
      <c r="B5" s="14"/>
      <c r="C5" s="10" t="s">
        <v>3</v>
      </c>
      <c r="E5" s="3"/>
      <c r="F5" s="24" t="s">
        <v>14</v>
      </c>
      <c r="G5" s="45" t="e">
        <f>IF(K13="NO",Fco/G9*1000,J14)</f>
        <v>#NUM!</v>
      </c>
      <c r="H5" s="32" t="s">
        <v>15</v>
      </c>
      <c r="I5" s="50">
        <f>J5</f>
        <v>10000</v>
      </c>
      <c r="J5" s="55">
        <v>10000</v>
      </c>
      <c r="K5" s="56" t="s">
        <v>94</v>
      </c>
      <c r="M5" s="73" t="s">
        <v>123</v>
      </c>
      <c r="N5" s="103" t="str">
        <f>IF(D13=0,"None",1/(2*PI()*COUT*10^-6*ESR*10^-3)*10^-3)</f>
        <v>None</v>
      </c>
      <c r="O5" s="75" t="s">
        <v>36</v>
      </c>
      <c r="R5" s="134" t="s">
        <v>167</v>
      </c>
      <c r="S5" s="134">
        <v>0.87</v>
      </c>
      <c r="T5" s="134">
        <v>0.7</v>
      </c>
      <c r="U5" s="134">
        <v>5</v>
      </c>
      <c r="V5" s="134">
        <v>55</v>
      </c>
      <c r="W5" s="135"/>
      <c r="X5" s="136" t="str">
        <f>'Input and Results'!H8</f>
        <v>R_bias</v>
      </c>
      <c r="Y5" s="137">
        <f>'Input and Results'!I8</f>
        <v>-10000</v>
      </c>
      <c r="Z5" s="138" t="e">
        <f>IF((10^(LOG(Y5)-INT(LOG(Y5)))*100)-VLOOKUP((10^(LOG(Y5)-INT(LOG(Y5)))*100),X$7:X$75,1)&lt;VLOOKUP((10^(LOG(Y5)-INT(LOG(Y5)))*100),X$7:Y$75,2)-(10^(LOG(Y5)-INT(LOG(Y5)))*100),VLOOKUP((10^(LOG(Y5)-INT(LOG(Y5)))*100),X$7:X$75,1),VLOOKUP((10^(LOG(Y5)-INT(LOG(Y5)))*100),X$7:Y$75,2))</f>
        <v>#NUM!</v>
      </c>
      <c r="AA5" s="132" t="e">
        <f>Z5*10^INT(LOG(Y5))/100</f>
        <v>#NUM!</v>
      </c>
      <c r="AB5" s="136" t="str">
        <f>'Input and Results'!H11</f>
        <v>C_3</v>
      </c>
      <c r="AC5" s="137" t="e">
        <f>'Input and Results'!I11</f>
        <v>#NUM!</v>
      </c>
      <c r="AD5" s="138" t="e">
        <f>IF((10^(LOG(AC5)-INT(LOG(AC5))))-VLOOKUP((10^(LOG(AC5)-INT(LOG(AC5)))),AB$7:AB$18,1)&lt;VLOOKUP((10^(LOG(AC5)-INT(LOG(AC5)))),AB$7:AC$18,2)-(10^(LOG(AC5)-INT(LOG(AC5)))),VLOOKUP((10^(LOG(AC5)-INT(LOG(AC5)))),AB$7:AB$18,1),VLOOKUP((10^(LOG(AC5)-INT(LOG(AC5)))),AB$7:AC$18,2))</f>
        <v>#NUM!</v>
      </c>
      <c r="AE5" s="132" t="e">
        <f>IF(I11&gt;10000,AD8*10^INT(LOG(AC5)),AD5*10^INT(LOG(AC5)))</f>
        <v>#NUM!</v>
      </c>
      <c r="AX5" s="23"/>
      <c r="AY5" s="23"/>
      <c r="AZ5" s="23"/>
      <c r="BA5" s="23"/>
      <c r="BB5" s="23"/>
      <c r="BQ5" s="21"/>
      <c r="BR5" s="21"/>
      <c r="BS5" s="21"/>
      <c r="BT5" s="21"/>
      <c r="BU5" s="21"/>
      <c r="BV5" s="20"/>
    </row>
    <row r="6" spans="1:74" ht="13.5" thickBot="1">
      <c r="A6" s="35" t="s">
        <v>8</v>
      </c>
      <c r="B6" s="14"/>
      <c r="C6" s="10" t="s">
        <v>32</v>
      </c>
      <c r="E6" s="3"/>
      <c r="F6" s="24" t="s">
        <v>13</v>
      </c>
      <c r="G6" s="45" t="e">
        <f>IF(K13="NO",Fco/G9*1000,J15)</f>
        <v>#NUM!</v>
      </c>
      <c r="H6" s="4" t="s">
        <v>16</v>
      </c>
      <c r="I6" s="51" t="e">
        <f>1/(2*PI()*Fp_1*I9*10^-12)</f>
        <v>#NUM!</v>
      </c>
      <c r="J6" s="15"/>
      <c r="K6" s="11" t="s">
        <v>94</v>
      </c>
      <c r="M6" s="76" t="s">
        <v>122</v>
      </c>
      <c r="N6" s="104" t="str">
        <f>IF(D16=0,"None",1/(2*PI()*MLCC*10^-6*MLCC_ESR*10^-3)*10^-3)</f>
        <v>None</v>
      </c>
      <c r="O6" s="77" t="s">
        <v>36</v>
      </c>
      <c r="R6" s="134" t="s">
        <v>168</v>
      </c>
      <c r="S6" s="134">
        <v>0.87</v>
      </c>
      <c r="T6" s="134">
        <v>0.7</v>
      </c>
      <c r="U6" s="134">
        <v>5</v>
      </c>
      <c r="V6" s="134">
        <v>55</v>
      </c>
      <c r="W6" s="135"/>
      <c r="Y6" s="133"/>
      <c r="AA6" s="133"/>
      <c r="AB6" s="139" t="s">
        <v>69</v>
      </c>
      <c r="AC6" s="140"/>
      <c r="AD6" s="138" t="e">
        <f>IF((10^(LOG(AC3)-INT(LOG(AC3))))-VLOOKUP((10^(LOG(AC3)-INT(LOG(AC3)))),AB$20:AB$25,1)&lt;VLOOKUP((10^(LOG(AC3)-INT(LOG(AC3)))),AB$20:AC$25,2)-(10^(LOG(AC3)-INT(LOG(AC3)))),VLOOKUP((10^(LOG(AC3)-INT(LOG(AC3)))),AB$20:AB$25,1),VLOOKUP((10^(LOG(AC3)-INT(LOG(AC3)))),AB$20:AC$25,2))</f>
        <v>#NUM!</v>
      </c>
      <c r="AX6" s="23"/>
      <c r="AY6" s="23"/>
      <c r="AZ6" s="23"/>
      <c r="BA6" s="23"/>
      <c r="BB6" s="23"/>
      <c r="BQ6" s="21"/>
      <c r="BR6" s="21"/>
      <c r="BS6" s="21"/>
      <c r="BT6" s="21"/>
      <c r="BU6" s="21"/>
      <c r="BV6" s="20"/>
    </row>
    <row r="7" spans="1:74" ht="12.75">
      <c r="A7" s="35" t="s">
        <v>37</v>
      </c>
      <c r="B7" s="14"/>
      <c r="C7" s="10" t="s">
        <v>36</v>
      </c>
      <c r="E7" s="3"/>
      <c r="F7" s="24" t="s">
        <v>12</v>
      </c>
      <c r="G7" s="45" t="e">
        <f>IF(K13="NO",Fco*G9*1000,J16)</f>
        <v>#NUM!</v>
      </c>
      <c r="H7" s="4" t="s">
        <v>17</v>
      </c>
      <c r="I7" s="51" t="e">
        <f>1/(2*PI()*Fz_2*I10*10^-12)</f>
        <v>#NUM!</v>
      </c>
      <c r="J7" s="15"/>
      <c r="K7" s="11" t="s">
        <v>94</v>
      </c>
      <c r="R7" s="134" t="s">
        <v>169</v>
      </c>
      <c r="S7" s="134">
        <v>0.87</v>
      </c>
      <c r="T7" s="134">
        <v>0.7</v>
      </c>
      <c r="U7" s="134">
        <v>5</v>
      </c>
      <c r="V7" s="134">
        <v>55</v>
      </c>
      <c r="W7" s="135"/>
      <c r="X7" s="133">
        <v>100</v>
      </c>
      <c r="Y7" s="133">
        <v>105</v>
      </c>
      <c r="Z7" s="133" t="s">
        <v>58</v>
      </c>
      <c r="AA7" s="133"/>
      <c r="AB7" s="140">
        <v>1</v>
      </c>
      <c r="AC7" s="140">
        <v>1.2</v>
      </c>
      <c r="AD7" s="138" t="e">
        <f>IF((10^(LOG(AC4)-INT(LOG(AC4))))-VLOOKUP((10^(LOG(AC4)-INT(LOG(AC4)))),AB$20:AB$25,1)&lt;VLOOKUP((10^(LOG(AC4)-INT(LOG(AC4)))),AB$20:AC$25,2)-(10^(LOG(AC4)-INT(LOG(AC4)))),VLOOKUP((10^(LOG(AC4)-INT(LOG(AC4)))),AB$20:AB$25,1),VLOOKUP((10^(LOG(AC4)-INT(LOG(AC4)))),AB$20:AC$25,2))</f>
        <v>#NUM!</v>
      </c>
      <c r="AX7" s="23"/>
      <c r="AY7" s="23"/>
      <c r="AZ7" s="23"/>
      <c r="BA7" s="23"/>
      <c r="BB7" s="23"/>
      <c r="BQ7" s="21"/>
      <c r="BR7" s="21"/>
      <c r="BS7" s="21"/>
      <c r="BT7" s="21"/>
      <c r="BU7" s="21"/>
      <c r="BV7" s="20"/>
    </row>
    <row r="8" spans="1:74" ht="13.5" thickBot="1">
      <c r="A8" s="70" t="s">
        <v>39</v>
      </c>
      <c r="B8" s="69"/>
      <c r="C8" s="79" t="s">
        <v>35</v>
      </c>
      <c r="E8" s="3"/>
      <c r="F8" s="24" t="s">
        <v>11</v>
      </c>
      <c r="G8" s="45" t="e">
        <f>IF(K13="NO",Fco*G9*1000,J17)</f>
        <v>#NUM!</v>
      </c>
      <c r="H8" s="4" t="s">
        <v>68</v>
      </c>
      <c r="I8" s="51">
        <f>VREF*I5/(VOUT-VREF)</f>
        <v>-10000</v>
      </c>
      <c r="J8" s="15"/>
      <c r="K8" s="11" t="s">
        <v>94</v>
      </c>
      <c r="R8" s="134" t="s">
        <v>72</v>
      </c>
      <c r="S8" s="134">
        <v>0.87</v>
      </c>
      <c r="T8" s="134">
        <v>0.6</v>
      </c>
      <c r="U8" s="134">
        <v>5</v>
      </c>
      <c r="V8" s="134">
        <v>55</v>
      </c>
      <c r="W8" s="135"/>
      <c r="X8" s="133">
        <v>105</v>
      </c>
      <c r="Y8" s="133">
        <v>110</v>
      </c>
      <c r="Z8" s="133" t="s">
        <v>59</v>
      </c>
      <c r="AA8" s="133"/>
      <c r="AB8" s="140">
        <v>1.2</v>
      </c>
      <c r="AC8" s="140">
        <v>1.5</v>
      </c>
      <c r="AD8" s="138" t="e">
        <f>IF((10^(LOG(AC5)-INT(LOG(AC5))))-VLOOKUP((10^(LOG(AC5)-INT(LOG(AC5)))),AB$20:AB$25,1)&lt;VLOOKUP((10^(LOG(AC5)-INT(LOG(AC5)))),AB$20:AC$25,2)-(10^(LOG(AC5)-INT(LOG(AC5)))),VLOOKUP((10^(LOG(AC5)-INT(LOG(AC5)))),AB$20:AB$25,1),VLOOKUP((10^(LOG(AC5)-INT(LOG(AC5)))),AB$20:AC$25,2))</f>
        <v>#NUM!</v>
      </c>
      <c r="AX8" s="23"/>
      <c r="AY8" s="23"/>
      <c r="AZ8" s="23"/>
      <c r="BA8" s="23"/>
      <c r="BB8" s="23"/>
      <c r="BQ8" s="21"/>
      <c r="BR8" s="21"/>
      <c r="BS8" s="21"/>
      <c r="BT8" s="21"/>
      <c r="BU8" s="21"/>
      <c r="BV8" s="20"/>
    </row>
    <row r="9" spans="1:74" ht="12.75">
      <c r="A9" s="80" t="s">
        <v>34</v>
      </c>
      <c r="B9" s="81"/>
      <c r="C9" s="82"/>
      <c r="E9" s="3"/>
      <c r="F9" s="24" t="s">
        <v>49</v>
      </c>
      <c r="G9" s="12" t="e">
        <f>TAN(RADIANS((PM-'Input and Results'!F57-180)/2+45))+SQRT((TAN(RADIANS((PM-'Input and Results'!F57-180)/2+45)))^2+1)</f>
        <v>#NUM!</v>
      </c>
      <c r="H9" s="4" t="s">
        <v>18</v>
      </c>
      <c r="I9" s="52" t="e">
        <f>(Fp_1-Fz_1)/(2*PI()*Fp_1*Fz_1*I5)*10^12</f>
        <v>#NUM!</v>
      </c>
      <c r="J9" s="96"/>
      <c r="K9" s="10" t="s">
        <v>23</v>
      </c>
      <c r="R9" s="134" t="s">
        <v>75</v>
      </c>
      <c r="S9" s="134">
        <v>0.87</v>
      </c>
      <c r="T9" s="134">
        <v>0.6</v>
      </c>
      <c r="U9" s="134">
        <v>5</v>
      </c>
      <c r="V9" s="134">
        <v>55</v>
      </c>
      <c r="W9" s="135"/>
      <c r="X9" s="133">
        <v>110</v>
      </c>
      <c r="Y9" s="133">
        <v>115</v>
      </c>
      <c r="AA9" s="133"/>
      <c r="AB9" s="140">
        <v>1.5</v>
      </c>
      <c r="AC9" s="140">
        <v>1.8</v>
      </c>
      <c r="AX9" s="23"/>
      <c r="AY9" s="23"/>
      <c r="AZ9" s="23"/>
      <c r="BA9" s="23"/>
      <c r="BB9" s="23"/>
      <c r="BQ9" s="21"/>
      <c r="BR9" s="21"/>
      <c r="BS9" s="21"/>
      <c r="BT9" s="21"/>
      <c r="BU9" s="21"/>
      <c r="BV9" s="20"/>
    </row>
    <row r="10" spans="1:74" ht="12.75">
      <c r="A10" s="35" t="s">
        <v>10</v>
      </c>
      <c r="B10" s="14"/>
      <c r="C10" s="36" t="s">
        <v>113</v>
      </c>
      <c r="E10" s="3"/>
      <c r="F10" s="37"/>
      <c r="G10" s="2"/>
      <c r="H10" s="4" t="s">
        <v>19</v>
      </c>
      <c r="I10" s="52" t="e">
        <f>((Fco*1000)/(2*PI()*I5*Fz_2*Fz_1*F58)*(1-Fz_2/Fp_2))*10^12</f>
        <v>#NUM!</v>
      </c>
      <c r="J10" s="96"/>
      <c r="K10" s="10" t="s">
        <v>23</v>
      </c>
      <c r="R10" s="134" t="s">
        <v>170</v>
      </c>
      <c r="S10" s="141">
        <f>VIN/((B21*10^3/(58.14*B20+1340)+3.48)/2)</f>
        <v>0</v>
      </c>
      <c r="T10" s="134">
        <v>0.7</v>
      </c>
      <c r="U10" s="134">
        <v>3</v>
      </c>
      <c r="V10" s="134">
        <v>60</v>
      </c>
      <c r="W10" s="135"/>
      <c r="X10" s="133">
        <v>115</v>
      </c>
      <c r="Y10" s="133">
        <v>120</v>
      </c>
      <c r="AA10" s="133"/>
      <c r="AB10" s="140">
        <v>1.8</v>
      </c>
      <c r="AC10" s="140">
        <v>2.2</v>
      </c>
      <c r="AD10" s="142" t="e">
        <f>IF('Input and Results'!I9&lt;1,"1000",1)</f>
        <v>#NUM!</v>
      </c>
      <c r="AE10" s="130" t="e">
        <f>IF('Input and Results'!I9&lt;1,"pF","nF")</f>
        <v>#NUM!</v>
      </c>
      <c r="AX10" s="23"/>
      <c r="AY10" s="23"/>
      <c r="AZ10" s="23"/>
      <c r="BA10" s="23"/>
      <c r="BB10" s="23"/>
      <c r="BQ10" s="21"/>
      <c r="BR10" s="21"/>
      <c r="BS10" s="21"/>
      <c r="BT10" s="21"/>
      <c r="BU10" s="21"/>
      <c r="BV10" s="20"/>
    </row>
    <row r="11" spans="1:74" ht="13.5" thickBot="1">
      <c r="A11" s="70" t="s">
        <v>6</v>
      </c>
      <c r="B11" s="69"/>
      <c r="C11" s="71" t="s">
        <v>115</v>
      </c>
      <c r="E11" s="3"/>
      <c r="F11" s="29"/>
      <c r="G11" s="30"/>
      <c r="H11" s="31" t="s">
        <v>20</v>
      </c>
      <c r="I11" s="53" t="e">
        <f>((Fco*1000)/(2*PI()*I5*Fz_2*Fz_1*F58)-I10*10^-12)*10^12</f>
        <v>#NUM!</v>
      </c>
      <c r="J11" s="97"/>
      <c r="K11" s="48" t="s">
        <v>23</v>
      </c>
      <c r="R11" s="134" t="s">
        <v>171</v>
      </c>
      <c r="S11" s="141">
        <f>VIN/((B21*10^3/(58.14*B20+1340)+3.48)/2)</f>
        <v>0</v>
      </c>
      <c r="T11" s="134">
        <v>0.7</v>
      </c>
      <c r="U11" s="134">
        <v>3</v>
      </c>
      <c r="V11" s="134">
        <v>60</v>
      </c>
      <c r="W11" s="135"/>
      <c r="X11" s="133">
        <v>120</v>
      </c>
      <c r="Y11" s="133">
        <v>121</v>
      </c>
      <c r="AA11" s="133"/>
      <c r="AB11" s="140">
        <v>2.2</v>
      </c>
      <c r="AC11" s="140">
        <v>2.7</v>
      </c>
      <c r="AD11" s="143" t="e">
        <f>IF('Input and Results'!I10&lt;1,"1000",1)</f>
        <v>#NUM!</v>
      </c>
      <c r="AE11" s="130" t="e">
        <f>IF('Input and Results'!I10&lt;1,"pF","nF")</f>
        <v>#NUM!</v>
      </c>
      <c r="AX11" s="23"/>
      <c r="AY11" s="23"/>
      <c r="AZ11" s="23"/>
      <c r="BA11" s="23"/>
      <c r="BB11" s="23"/>
      <c r="BQ11" s="21"/>
      <c r="BR11" s="21"/>
      <c r="BS11" s="21"/>
      <c r="BT11" s="21"/>
      <c r="BU11" s="21"/>
      <c r="BV11" s="20"/>
    </row>
    <row r="12" spans="1:89" ht="13.5" customHeight="1">
      <c r="A12" s="195" t="s">
        <v>107</v>
      </c>
      <c r="B12" s="196"/>
      <c r="C12" s="196"/>
      <c r="D12" s="87" t="s">
        <v>137</v>
      </c>
      <c r="E12" s="6"/>
      <c r="F12" s="67" t="s">
        <v>76</v>
      </c>
      <c r="G12" s="27"/>
      <c r="H12" s="27"/>
      <c r="I12" s="27"/>
      <c r="J12" s="25" t="s">
        <v>111</v>
      </c>
      <c r="K12" s="65"/>
      <c r="L12" s="5"/>
      <c r="R12" s="134" t="s">
        <v>172</v>
      </c>
      <c r="S12" s="144">
        <f>(VIN-0.4)/((-((0.131*B20)+1.886)+SQRT(((0.131*B20)+1.886)^2-4*(-1.61*10^-3)*(-1.363-0.02*B20-4.87*10^-5*B20^2-B21)))/(2*(-1.61*10^-3))-0.4)</f>
        <v>-1.2378538066719595</v>
      </c>
      <c r="T12" s="134">
        <v>0.7</v>
      </c>
      <c r="U12" s="134">
        <v>5</v>
      </c>
      <c r="V12" s="134">
        <v>50</v>
      </c>
      <c r="W12" s="135"/>
      <c r="X12" s="133">
        <v>121</v>
      </c>
      <c r="Y12" s="133">
        <v>127</v>
      </c>
      <c r="AA12" s="133"/>
      <c r="AB12" s="140">
        <v>2.7</v>
      </c>
      <c r="AC12" s="140">
        <v>3.3</v>
      </c>
      <c r="AD12" s="143" t="e">
        <f>IF('Input and Results'!I11&lt;1,"1000",1)</f>
        <v>#NUM!</v>
      </c>
      <c r="AE12" s="130" t="e">
        <f>IF('Input and Results'!I11&lt;1,"pF","nF")</f>
        <v>#NUM!</v>
      </c>
      <c r="AX12" s="23"/>
      <c r="AY12" s="23"/>
      <c r="AZ12" s="23"/>
      <c r="BA12" s="23"/>
      <c r="BB12" s="23"/>
      <c r="BQ12" s="21"/>
      <c r="BR12" s="21"/>
      <c r="BS12" s="21"/>
      <c r="BT12" s="21"/>
      <c r="BU12" s="21"/>
      <c r="BV12" s="20"/>
      <c r="CE12" s="2"/>
      <c r="CF12" s="2"/>
      <c r="CG12" s="2"/>
      <c r="CH12" s="2"/>
      <c r="CI12" s="2"/>
      <c r="CJ12" s="2"/>
      <c r="CK12" s="2"/>
    </row>
    <row r="13" spans="1:89" ht="12.75" customHeight="1">
      <c r="A13" s="35" t="s">
        <v>61</v>
      </c>
      <c r="B13" s="14"/>
      <c r="C13" s="85" t="s">
        <v>114</v>
      </c>
      <c r="D13" s="78"/>
      <c r="E13" s="6"/>
      <c r="F13" s="7" t="s">
        <v>15</v>
      </c>
      <c r="G13" s="44">
        <f>I5</f>
        <v>10000</v>
      </c>
      <c r="H13" s="5"/>
      <c r="I13" s="5"/>
      <c r="J13" s="64" t="s">
        <v>112</v>
      </c>
      <c r="K13" s="60" t="s">
        <v>79</v>
      </c>
      <c r="L13" s="2"/>
      <c r="R13" s="134" t="s">
        <v>136</v>
      </c>
      <c r="S13" s="144">
        <f>(VIN-0.4)/((-((0.131*B20)+1.886)+SQRT(((0.131*B20)+1.886)^2-4*(-1.61*10^-3)*(-1.363-0.02*B20-4.87*10^-5*B20^2-B21)))/(2*(-1.61*10^-3))-0.4)</f>
        <v>-1.2378538066719595</v>
      </c>
      <c r="T13" s="134">
        <v>0.7</v>
      </c>
      <c r="U13" s="134">
        <v>5</v>
      </c>
      <c r="V13" s="134">
        <v>50</v>
      </c>
      <c r="W13" s="135"/>
      <c r="X13" s="133">
        <v>127</v>
      </c>
      <c r="Y13" s="133">
        <v>130</v>
      </c>
      <c r="AA13" s="133"/>
      <c r="AB13" s="140">
        <v>3.3</v>
      </c>
      <c r="AC13" s="140">
        <v>3.9</v>
      </c>
      <c r="AX13" s="23"/>
      <c r="AY13" s="23"/>
      <c r="AZ13" s="23"/>
      <c r="BA13" s="23"/>
      <c r="BB13" s="23"/>
      <c r="BQ13" s="21"/>
      <c r="BR13" s="21"/>
      <c r="BS13" s="21"/>
      <c r="BT13" s="21"/>
      <c r="BU13" s="21"/>
      <c r="BV13" s="20"/>
      <c r="CE13" s="2"/>
      <c r="CF13" s="193"/>
      <c r="CG13" s="194"/>
      <c r="CH13" s="194"/>
      <c r="CI13" s="194"/>
      <c r="CJ13" s="117"/>
      <c r="CK13" s="2"/>
    </row>
    <row r="14" spans="1:74" ht="13.5" thickBot="1">
      <c r="A14" s="70" t="s">
        <v>62</v>
      </c>
      <c r="B14" s="69"/>
      <c r="C14" s="88" t="s">
        <v>115</v>
      </c>
      <c r="D14" s="89"/>
      <c r="E14" s="6"/>
      <c r="F14" s="7" t="s">
        <v>16</v>
      </c>
      <c r="G14" s="44" t="e">
        <f>IF(K4="No",'Input and Results'!AA3,J6)</f>
        <v>#NUM!</v>
      </c>
      <c r="H14" s="8" t="s">
        <v>14</v>
      </c>
      <c r="I14" s="54" t="e">
        <f>1/(2*PI()*(R_1+R_2)*C_1*10^-12)</f>
        <v>#NUM!</v>
      </c>
      <c r="J14" s="61"/>
      <c r="K14" s="58" t="s">
        <v>24</v>
      </c>
      <c r="L14" s="2"/>
      <c r="R14" s="134" t="s">
        <v>73</v>
      </c>
      <c r="S14" s="134">
        <v>0.5</v>
      </c>
      <c r="T14" s="134">
        <v>0.696</v>
      </c>
      <c r="U14" s="134">
        <v>3.5</v>
      </c>
      <c r="V14" s="134">
        <v>60</v>
      </c>
      <c r="W14" s="135"/>
      <c r="X14" s="133">
        <v>130</v>
      </c>
      <c r="Y14" s="133">
        <v>133</v>
      </c>
      <c r="AA14" s="133"/>
      <c r="AB14" s="140">
        <v>3.9</v>
      </c>
      <c r="AC14" s="140">
        <v>4.7</v>
      </c>
      <c r="AX14" s="23"/>
      <c r="AY14" s="23"/>
      <c r="AZ14" s="23"/>
      <c r="BA14" s="23"/>
      <c r="BB14" s="23"/>
      <c r="BQ14" s="21"/>
      <c r="BR14" s="21"/>
      <c r="BS14" s="21"/>
      <c r="BT14" s="21"/>
      <c r="BU14" s="21"/>
      <c r="BV14" s="20"/>
    </row>
    <row r="15" spans="1:74" ht="12.75">
      <c r="A15" s="80" t="s">
        <v>38</v>
      </c>
      <c r="B15" s="81"/>
      <c r="C15" s="81"/>
      <c r="D15" s="87" t="s">
        <v>137</v>
      </c>
      <c r="E15" s="6"/>
      <c r="F15" s="7" t="s">
        <v>17</v>
      </c>
      <c r="G15" s="44" t="e">
        <f>IF(K4="No",'Input and Results'!AA4,J7)</f>
        <v>#NUM!</v>
      </c>
      <c r="H15" s="8" t="s">
        <v>13</v>
      </c>
      <c r="I15" s="54" t="e">
        <f>1/(2*PI()*(R_3)*C_2*10^-12)</f>
        <v>#NUM!</v>
      </c>
      <c r="J15" s="62"/>
      <c r="K15" s="58" t="s">
        <v>24</v>
      </c>
      <c r="L15" s="2"/>
      <c r="R15" s="134" t="s">
        <v>173</v>
      </c>
      <c r="S15" s="134">
        <f>VIN/15</f>
        <v>0</v>
      </c>
      <c r="T15" s="134">
        <v>0.6</v>
      </c>
      <c r="U15" s="134">
        <v>7</v>
      </c>
      <c r="V15" s="134">
        <v>80</v>
      </c>
      <c r="W15" s="135"/>
      <c r="X15" s="133">
        <v>133</v>
      </c>
      <c r="Y15" s="133">
        <v>140</v>
      </c>
      <c r="AA15" s="133"/>
      <c r="AB15" s="140">
        <v>4.7</v>
      </c>
      <c r="AC15" s="140">
        <v>5.6</v>
      </c>
      <c r="AX15" s="23"/>
      <c r="AY15" s="23"/>
      <c r="AZ15" s="23"/>
      <c r="BA15" s="23"/>
      <c r="BB15" s="23"/>
      <c r="BQ15" s="21"/>
      <c r="BR15" s="21"/>
      <c r="BS15" s="21"/>
      <c r="BT15" s="21"/>
      <c r="BU15" s="21"/>
      <c r="BV15" s="20"/>
    </row>
    <row r="16" spans="1:88" ht="12.75">
      <c r="A16" s="35" t="s">
        <v>63</v>
      </c>
      <c r="B16" s="14"/>
      <c r="C16" s="85" t="s">
        <v>114</v>
      </c>
      <c r="D16" s="90"/>
      <c r="E16" s="6"/>
      <c r="F16" s="7" t="s">
        <v>68</v>
      </c>
      <c r="G16" s="44" t="e">
        <f>IF(K4="No",'Input and Results'!AA5,J8)</f>
        <v>#NUM!</v>
      </c>
      <c r="H16" s="8" t="s">
        <v>12</v>
      </c>
      <c r="I16" s="54" t="e">
        <f>1/(2*PI()*R_2*C_1*10^-12)</f>
        <v>#NUM!</v>
      </c>
      <c r="J16" s="62"/>
      <c r="K16" s="58" t="s">
        <v>24</v>
      </c>
      <c r="L16" s="2"/>
      <c r="R16" s="134" t="s">
        <v>71</v>
      </c>
      <c r="S16" s="134">
        <v>0.75</v>
      </c>
      <c r="T16" s="134">
        <v>0.591</v>
      </c>
      <c r="U16" s="134">
        <v>5</v>
      </c>
      <c r="V16" s="134">
        <v>60</v>
      </c>
      <c r="W16" s="135"/>
      <c r="X16" s="133">
        <v>140</v>
      </c>
      <c r="Y16" s="133">
        <v>147</v>
      </c>
      <c r="AA16" s="133"/>
      <c r="AB16" s="140">
        <v>5.6</v>
      </c>
      <c r="AC16" s="140">
        <v>6.8</v>
      </c>
      <c r="AX16" s="23"/>
      <c r="AY16" s="23"/>
      <c r="AZ16" s="23"/>
      <c r="BA16" s="23"/>
      <c r="BB16" s="23"/>
      <c r="BQ16" s="21"/>
      <c r="BR16" s="21"/>
      <c r="BS16" s="21"/>
      <c r="BT16" s="21"/>
      <c r="BU16" s="21"/>
      <c r="BV16" s="20"/>
      <c r="CI16" s="112"/>
      <c r="CJ16" s="114"/>
    </row>
    <row r="17" spans="1:74" ht="13.5" thickBot="1">
      <c r="A17" s="83" t="s">
        <v>64</v>
      </c>
      <c r="B17" s="84"/>
      <c r="C17" s="86" t="s">
        <v>115</v>
      </c>
      <c r="D17" s="91"/>
      <c r="E17" s="6"/>
      <c r="F17" s="7" t="s">
        <v>18</v>
      </c>
      <c r="G17" s="93" t="e">
        <f>IF(K4="No",AE3,J9)</f>
        <v>#NUM!</v>
      </c>
      <c r="H17" s="72" t="s">
        <v>11</v>
      </c>
      <c r="I17" s="54" t="e">
        <f>(C_2*10^-12+C_3*10^-12)/(2*PI()*R_3*C_2*10^-12*C_3*10^-12)</f>
        <v>#NUM!</v>
      </c>
      <c r="J17" s="63"/>
      <c r="K17" s="59" t="s">
        <v>24</v>
      </c>
      <c r="L17" s="2"/>
      <c r="R17" s="134" t="s">
        <v>154</v>
      </c>
      <c r="S17" s="134">
        <v>1</v>
      </c>
      <c r="T17" s="134">
        <v>0.591</v>
      </c>
      <c r="U17" s="134">
        <v>7</v>
      </c>
      <c r="V17" s="134">
        <v>60</v>
      </c>
      <c r="W17" s="135"/>
      <c r="X17" s="133">
        <v>147</v>
      </c>
      <c r="Y17" s="133">
        <v>150</v>
      </c>
      <c r="AA17" s="133"/>
      <c r="AB17" s="140">
        <v>6.8</v>
      </c>
      <c r="AC17" s="140">
        <v>8.2</v>
      </c>
      <c r="AX17" s="23"/>
      <c r="AY17" s="23"/>
      <c r="AZ17" s="23"/>
      <c r="BA17" s="23"/>
      <c r="BB17" s="23"/>
      <c r="BQ17" s="21"/>
      <c r="BR17" s="21"/>
      <c r="BS17" s="21"/>
      <c r="BT17" s="21"/>
      <c r="BU17" s="21"/>
      <c r="BV17" s="20"/>
    </row>
    <row r="18" spans="1:88" ht="13.5" thickBot="1">
      <c r="A18" s="120" t="s">
        <v>158</v>
      </c>
      <c r="B18" s="121" t="s">
        <v>187</v>
      </c>
      <c r="C18" s="105"/>
      <c r="D18" s="106"/>
      <c r="E18" s="6"/>
      <c r="F18" s="7" t="s">
        <v>19</v>
      </c>
      <c r="G18" s="94" t="e">
        <f>IF(K4="No",AE4,J10)</f>
        <v>#NUM!</v>
      </c>
      <c r="I18" s="197" t="s">
        <v>52</v>
      </c>
      <c r="J18" s="198"/>
      <c r="L18" s="2"/>
      <c r="R18" s="134" t="s">
        <v>155</v>
      </c>
      <c r="S18" s="134">
        <v>1</v>
      </c>
      <c r="T18" s="134">
        <v>0.591</v>
      </c>
      <c r="U18" s="134">
        <v>7</v>
      </c>
      <c r="V18" s="134">
        <v>60</v>
      </c>
      <c r="W18" s="135"/>
      <c r="X18" s="133">
        <v>150</v>
      </c>
      <c r="Y18" s="133">
        <v>154</v>
      </c>
      <c r="AA18" s="133"/>
      <c r="AB18" s="140">
        <v>8.2</v>
      </c>
      <c r="AC18" s="140">
        <v>10</v>
      </c>
      <c r="AK18" s="92"/>
      <c r="AX18" s="23"/>
      <c r="AY18" s="23"/>
      <c r="AZ18" s="23"/>
      <c r="BA18" s="23"/>
      <c r="BB18" s="23"/>
      <c r="BQ18" s="21"/>
      <c r="BR18" s="21"/>
      <c r="BS18" s="21"/>
      <c r="BT18" s="21"/>
      <c r="BU18" s="21"/>
      <c r="BV18" s="20"/>
      <c r="CJ18" s="113"/>
    </row>
    <row r="19" spans="1:74" ht="13.5" thickBot="1">
      <c r="A19" s="199">
        <f>IF(A20="RT","Enter for circuit parameters:",IF(A20="fsw = ","Enter for circuit parameters:",""))</f>
      </c>
      <c r="B19" s="200"/>
      <c r="C19" s="201"/>
      <c r="E19" s="3"/>
      <c r="F19" s="9" t="s">
        <v>20</v>
      </c>
      <c r="G19" s="95" t="e">
        <f>IF(K4="No",AE5,J11)</f>
        <v>#NUM!</v>
      </c>
      <c r="I19" s="7" t="s">
        <v>101</v>
      </c>
      <c r="J19" s="98" t="e">
        <f>D76</f>
        <v>#DIV/0!</v>
      </c>
      <c r="K19" s="5"/>
      <c r="L19" s="5"/>
      <c r="R19" s="134" t="s">
        <v>74</v>
      </c>
      <c r="S19" s="134">
        <v>1</v>
      </c>
      <c r="T19" s="134">
        <v>0.591</v>
      </c>
      <c r="U19" s="134">
        <v>7</v>
      </c>
      <c r="V19" s="134">
        <v>60</v>
      </c>
      <c r="W19" s="135"/>
      <c r="X19" s="133">
        <v>154</v>
      </c>
      <c r="Y19" s="133">
        <v>160</v>
      </c>
      <c r="AA19" s="133"/>
      <c r="AB19" s="139" t="s">
        <v>77</v>
      </c>
      <c r="AD19" s="140"/>
      <c r="AE19" s="140"/>
      <c r="AX19" s="23"/>
      <c r="AY19" s="23"/>
      <c r="AZ19" s="23"/>
      <c r="BA19" s="23"/>
      <c r="BB19" s="23"/>
      <c r="BQ19" s="21"/>
      <c r="BR19" s="21"/>
      <c r="BS19" s="21"/>
      <c r="BT19" s="21"/>
      <c r="BU19" s="21"/>
      <c r="BV19" s="20"/>
    </row>
    <row r="20" spans="1:85" ht="12.75">
      <c r="A20" s="118">
        <f>IF(A21="RKFF","RT",IF(IC="TPS40400","fsw = ",""))</f>
      </c>
      <c r="B20" s="122"/>
      <c r="C20" s="36">
        <f>IF(A20="RT","kΩ",IF(A20="fsw = ","kHz",""))</f>
      </c>
      <c r="E20" s="3"/>
      <c r="I20" s="19" t="s">
        <v>53</v>
      </c>
      <c r="J20" s="46" t="e">
        <f>F48+F50</f>
        <v>#DIV/0!</v>
      </c>
      <c r="R20" s="141" t="s">
        <v>70</v>
      </c>
      <c r="S20" s="134">
        <f>VIN/10</f>
        <v>0</v>
      </c>
      <c r="T20" s="134">
        <v>0.696</v>
      </c>
      <c r="U20" s="134">
        <v>1.5</v>
      </c>
      <c r="V20" s="134">
        <v>60</v>
      </c>
      <c r="W20" s="135"/>
      <c r="X20" s="133">
        <v>160</v>
      </c>
      <c r="Y20" s="133">
        <v>162</v>
      </c>
      <c r="Z20" s="128" t="s">
        <v>159</v>
      </c>
      <c r="AA20" s="133"/>
      <c r="AB20" s="140">
        <v>1</v>
      </c>
      <c r="AC20" s="140">
        <v>1.5</v>
      </c>
      <c r="AX20" s="23"/>
      <c r="AY20" s="23"/>
      <c r="AZ20" s="23"/>
      <c r="BA20" s="23"/>
      <c r="BB20" s="23"/>
      <c r="BQ20" s="21"/>
      <c r="BR20" s="21"/>
      <c r="BS20" s="21"/>
      <c r="BT20" s="21"/>
      <c r="BU20" s="21"/>
      <c r="BV20" s="20"/>
      <c r="CG20" s="115"/>
    </row>
    <row r="21" spans="1:85" ht="13.5" thickBot="1">
      <c r="A21" s="119">
        <f>IF(IC="TPS40055","RKFF",IF(IC="TPS40057","RKFF",IF(IC="TPS40075","RKFF",IF(IC="TPS40077","RKFF",""))))</f>
      </c>
      <c r="B21" s="126"/>
      <c r="C21" s="123">
        <f>IF(A21="RKFF","kΩ","")</f>
      </c>
      <c r="E21" s="3"/>
      <c r="I21" s="9" t="s">
        <v>105</v>
      </c>
      <c r="J21" s="47" t="e">
        <f>VREF/R_4*R_1+VREF</f>
        <v>#NUM!</v>
      </c>
      <c r="K21" s="3"/>
      <c r="L21" s="3"/>
      <c r="R21" s="134" t="s">
        <v>174</v>
      </c>
      <c r="S21" s="134">
        <f>VIN/6</f>
        <v>0</v>
      </c>
      <c r="T21" s="134">
        <v>0.6</v>
      </c>
      <c r="U21" s="134">
        <v>10</v>
      </c>
      <c r="V21" s="134">
        <v>60</v>
      </c>
      <c r="W21" s="135"/>
      <c r="X21" s="133">
        <v>162</v>
      </c>
      <c r="Y21" s="133">
        <v>169</v>
      </c>
      <c r="Z21" s="145">
        <v>2000</v>
      </c>
      <c r="AA21" s="133"/>
      <c r="AB21" s="140">
        <v>1.5</v>
      </c>
      <c r="AC21" s="140">
        <v>2.2</v>
      </c>
      <c r="AE21" s="146"/>
      <c r="AX21" s="23"/>
      <c r="AY21" s="23"/>
      <c r="AZ21" s="23"/>
      <c r="BA21" s="23"/>
      <c r="BB21" s="23"/>
      <c r="BQ21" s="21"/>
      <c r="BR21" s="21"/>
      <c r="BS21" s="21"/>
      <c r="BT21" s="21"/>
      <c r="BU21" s="21"/>
      <c r="BV21" s="20"/>
      <c r="CG21" s="115"/>
    </row>
    <row r="22" spans="1:105" ht="12.75">
      <c r="A22" s="192" t="s">
        <v>188</v>
      </c>
      <c r="B22" s="124"/>
      <c r="C22" s="125"/>
      <c r="E22" s="3"/>
      <c r="R22" s="134" t="s">
        <v>175</v>
      </c>
      <c r="S22" s="134">
        <f>VIN/6</f>
        <v>0</v>
      </c>
      <c r="T22" s="134">
        <v>0.6</v>
      </c>
      <c r="U22" s="134">
        <v>10</v>
      </c>
      <c r="V22" s="134">
        <v>60</v>
      </c>
      <c r="W22" s="135"/>
      <c r="X22" s="133">
        <v>169</v>
      </c>
      <c r="Y22" s="133">
        <v>178</v>
      </c>
      <c r="Z22" s="147">
        <v>511</v>
      </c>
      <c r="AA22" s="133"/>
      <c r="AB22" s="140">
        <v>2.2</v>
      </c>
      <c r="AC22" s="140">
        <v>3.3</v>
      </c>
      <c r="AE22" s="146"/>
      <c r="AX22" s="23"/>
      <c r="AY22" s="23"/>
      <c r="AZ22" s="23"/>
      <c r="BA22" s="23"/>
      <c r="BB22" s="23"/>
      <c r="BQ22" s="21"/>
      <c r="BR22" s="21"/>
      <c r="BS22" s="21"/>
      <c r="BT22" s="21"/>
      <c r="BU22" s="21"/>
      <c r="BV22" s="20"/>
      <c r="CF22" s="17"/>
      <c r="CG22" s="116"/>
      <c r="CJ22" s="17"/>
      <c r="CK22" s="17"/>
      <c r="CL22" s="17"/>
      <c r="CM22" s="17"/>
      <c r="CN22" s="17"/>
      <c r="CO22" s="17"/>
      <c r="CP22" s="17"/>
      <c r="CQ22" s="17"/>
      <c r="CR22" s="17"/>
      <c r="CS22" s="17"/>
      <c r="CT22" s="17"/>
      <c r="CU22" s="17"/>
      <c r="CV22" s="17"/>
      <c r="CW22" s="17"/>
      <c r="CX22" s="17"/>
      <c r="CY22" s="17"/>
      <c r="CZ22" s="17"/>
      <c r="DA22" s="17"/>
    </row>
    <row r="23" spans="5:105" ht="12.75">
      <c r="E23" s="3"/>
      <c r="H23" s="5"/>
      <c r="K23" s="68"/>
      <c r="R23" s="134" t="s">
        <v>176</v>
      </c>
      <c r="S23" s="134">
        <f>VIN/6</f>
        <v>0</v>
      </c>
      <c r="T23" s="134">
        <v>0.6</v>
      </c>
      <c r="U23" s="134">
        <v>10</v>
      </c>
      <c r="V23" s="134">
        <v>60</v>
      </c>
      <c r="W23" s="135"/>
      <c r="X23" s="133">
        <v>178</v>
      </c>
      <c r="Y23" s="133">
        <v>180</v>
      </c>
      <c r="Z23" s="147">
        <v>750</v>
      </c>
      <c r="AA23" s="133"/>
      <c r="AB23" s="140">
        <v>3.3</v>
      </c>
      <c r="AC23" s="140">
        <v>4.7</v>
      </c>
      <c r="AE23" s="146"/>
      <c r="AX23" s="23"/>
      <c r="AY23" s="23"/>
      <c r="AZ23" s="23"/>
      <c r="BA23" s="23"/>
      <c r="BB23" s="23"/>
      <c r="BQ23" s="21"/>
      <c r="BR23" s="21"/>
      <c r="BS23" s="21"/>
      <c r="BT23" s="21"/>
      <c r="BU23" s="21"/>
      <c r="BV23" s="20"/>
      <c r="CF23" s="17"/>
      <c r="CG23" s="115"/>
      <c r="CI23" s="17"/>
      <c r="CJ23" s="17"/>
      <c r="CK23" s="17"/>
      <c r="CL23" s="17"/>
      <c r="CM23" s="17"/>
      <c r="CN23" s="17"/>
      <c r="CO23" s="17"/>
      <c r="CP23" s="17"/>
      <c r="CQ23" s="17"/>
      <c r="CR23" s="17"/>
      <c r="CS23" s="17"/>
      <c r="CT23" s="17"/>
      <c r="CU23" s="17"/>
      <c r="CV23" s="17"/>
      <c r="CW23" s="17"/>
      <c r="CX23" s="17"/>
      <c r="CY23" s="17"/>
      <c r="CZ23" s="17"/>
      <c r="DA23" s="17"/>
    </row>
    <row r="24" spans="5:86" s="17" customFormat="1" ht="12.75">
      <c r="E24" s="100"/>
      <c r="H24" s="23"/>
      <c r="Q24" s="102"/>
      <c r="R24" s="141" t="s">
        <v>166</v>
      </c>
      <c r="S24" s="144">
        <f>VIN/8.15</f>
        <v>0</v>
      </c>
      <c r="T24" s="134">
        <v>0.6</v>
      </c>
      <c r="U24" s="134">
        <v>24</v>
      </c>
      <c r="V24" s="134">
        <v>80</v>
      </c>
      <c r="W24" s="148"/>
      <c r="X24" s="133">
        <v>180</v>
      </c>
      <c r="Y24" s="133">
        <v>187</v>
      </c>
      <c r="Z24" s="147">
        <v>3010</v>
      </c>
      <c r="AA24" s="133"/>
      <c r="AB24" s="140">
        <v>4.7</v>
      </c>
      <c r="AC24" s="140">
        <v>6.8</v>
      </c>
      <c r="AD24" s="130"/>
      <c r="AE24" s="140"/>
      <c r="AF24" s="18"/>
      <c r="AG24" s="18"/>
      <c r="AH24" s="18"/>
      <c r="AI24" s="18"/>
      <c r="AJ24" s="18"/>
      <c r="AK24" s="13"/>
      <c r="AL24" s="13"/>
      <c r="AM24" s="13"/>
      <c r="AN24" s="13"/>
      <c r="AO24" s="13"/>
      <c r="AP24" s="1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CG24" s="115"/>
      <c r="CH24" s="1"/>
    </row>
    <row r="25" spans="5:73" s="17" customFormat="1" ht="12.75">
      <c r="E25" s="100"/>
      <c r="H25" s="101"/>
      <c r="Q25" s="102"/>
      <c r="R25" s="141" t="s">
        <v>180</v>
      </c>
      <c r="S25" s="144">
        <f>VIN*(-3*10^-5*B20+0.1615)</f>
        <v>0</v>
      </c>
      <c r="T25" s="134">
        <v>0.6</v>
      </c>
      <c r="U25" s="134">
        <v>15</v>
      </c>
      <c r="V25" s="134">
        <v>60</v>
      </c>
      <c r="W25" s="148"/>
      <c r="X25" s="133">
        <v>187</v>
      </c>
      <c r="Y25" s="133">
        <v>196</v>
      </c>
      <c r="Z25" s="149">
        <v>4700</v>
      </c>
      <c r="AA25" s="133"/>
      <c r="AB25" s="140">
        <v>6.8</v>
      </c>
      <c r="AC25" s="140">
        <v>10</v>
      </c>
      <c r="AD25" s="130"/>
      <c r="AE25" s="140"/>
      <c r="AF25" s="18"/>
      <c r="AG25" s="18"/>
      <c r="AH25" s="18"/>
      <c r="AI25" s="18"/>
      <c r="AJ25" s="18"/>
      <c r="AK25" s="13"/>
      <c r="AL25" s="13"/>
      <c r="AM25" s="13"/>
      <c r="AN25" s="13"/>
      <c r="AO25" s="13"/>
      <c r="AP25" s="1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row>
    <row r="26" spans="5:73" s="17" customFormat="1" ht="12.75">
      <c r="E26" s="100"/>
      <c r="F26" s="100"/>
      <c r="G26" s="100"/>
      <c r="H26" s="100"/>
      <c r="I26" s="100"/>
      <c r="Q26" s="102"/>
      <c r="R26" s="141" t="s">
        <v>187</v>
      </c>
      <c r="S26" s="144">
        <f>VIN/8.2</f>
        <v>0</v>
      </c>
      <c r="T26" s="134">
        <v>0.6</v>
      </c>
      <c r="U26" s="134">
        <v>24</v>
      </c>
      <c r="V26" s="134">
        <v>80</v>
      </c>
      <c r="W26" s="148"/>
      <c r="X26" s="133">
        <v>196</v>
      </c>
      <c r="Y26" s="133">
        <v>200</v>
      </c>
      <c r="Z26" s="149">
        <v>82000</v>
      </c>
      <c r="AA26" s="130"/>
      <c r="AB26" s="130"/>
      <c r="AC26" s="130"/>
      <c r="AD26" s="130"/>
      <c r="AE26" s="130"/>
      <c r="AF26" s="18"/>
      <c r="AG26" s="18"/>
      <c r="AH26" s="18"/>
      <c r="AI26" s="18"/>
      <c r="AJ26" s="18"/>
      <c r="AK26" s="13"/>
      <c r="AL26" s="13"/>
      <c r="AM26" s="13"/>
      <c r="AN26" s="13"/>
      <c r="AO26" s="13"/>
      <c r="AP26" s="1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row>
    <row r="27" spans="5:73" s="17" customFormat="1" ht="12.75">
      <c r="E27" s="100"/>
      <c r="F27" s="100"/>
      <c r="G27" s="100"/>
      <c r="H27" s="100"/>
      <c r="I27" s="100"/>
      <c r="Q27" s="102"/>
      <c r="R27" s="150" t="s">
        <v>183</v>
      </c>
      <c r="S27" s="150">
        <v>1.5</v>
      </c>
      <c r="T27" s="150">
        <v>0.8</v>
      </c>
      <c r="U27" s="150">
        <v>16</v>
      </c>
      <c r="V27" s="150">
        <v>89</v>
      </c>
      <c r="W27" s="148"/>
      <c r="X27" s="133">
        <v>200</v>
      </c>
      <c r="Y27" s="133">
        <v>205</v>
      </c>
      <c r="Z27" s="149">
        <v>2.2</v>
      </c>
      <c r="AA27" s="130"/>
      <c r="AB27" s="130"/>
      <c r="AC27" s="130"/>
      <c r="AD27" s="130"/>
      <c r="AE27" s="133"/>
      <c r="AF27" s="18"/>
      <c r="AG27" s="18"/>
      <c r="AH27" s="18"/>
      <c r="AI27" s="18"/>
      <c r="AJ27" s="18"/>
      <c r="AK27" s="13"/>
      <c r="AL27" s="13"/>
      <c r="AM27" s="13"/>
      <c r="AN27" s="13"/>
      <c r="AO27" s="13"/>
      <c r="AP27" s="1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row>
    <row r="28" spans="5:73" s="17" customFormat="1" ht="12.75">
      <c r="E28" s="100"/>
      <c r="Q28" s="102"/>
      <c r="R28" s="134" t="s">
        <v>160</v>
      </c>
      <c r="S28" s="151">
        <f>(S39-T39)*35000</f>
        <v>0.3500000000000001</v>
      </c>
      <c r="T28" s="134">
        <v>0.85</v>
      </c>
      <c r="U28" s="134">
        <v>2.5</v>
      </c>
      <c r="V28" s="134">
        <v>50</v>
      </c>
      <c r="W28" s="148"/>
      <c r="X28" s="133">
        <v>205</v>
      </c>
      <c r="Y28" s="133">
        <v>215</v>
      </c>
      <c r="Z28" s="136"/>
      <c r="AA28" s="130"/>
      <c r="AB28" s="130"/>
      <c r="AC28" s="130"/>
      <c r="AD28" s="130"/>
      <c r="AE28" s="130"/>
      <c r="AF28" s="18"/>
      <c r="AG28" s="18"/>
      <c r="AH28" s="18"/>
      <c r="AI28" s="18"/>
      <c r="AJ28" s="18"/>
      <c r="AK28" s="13"/>
      <c r="AL28" s="13"/>
      <c r="AM28" s="13"/>
      <c r="AN28" s="13"/>
      <c r="AO28" s="13"/>
      <c r="AP28" s="1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row>
    <row r="29" spans="5:73" s="17" customFormat="1" ht="12.75">
      <c r="E29" s="100"/>
      <c r="Q29" s="102"/>
      <c r="R29" s="134" t="s">
        <v>165</v>
      </c>
      <c r="S29" s="134">
        <f>VIN/4</f>
        <v>0</v>
      </c>
      <c r="T29" s="134">
        <v>0.6</v>
      </c>
      <c r="U29" s="134">
        <v>14</v>
      </c>
      <c r="V29" s="134">
        <v>80</v>
      </c>
      <c r="W29" s="148"/>
      <c r="X29" s="133">
        <v>215</v>
      </c>
      <c r="Y29" s="133">
        <v>220</v>
      </c>
      <c r="Z29" s="130"/>
      <c r="AA29" s="130"/>
      <c r="AB29" s="130"/>
      <c r="AC29" s="130"/>
      <c r="AD29" s="130"/>
      <c r="AE29" s="130"/>
      <c r="AF29" s="18"/>
      <c r="AG29" s="18"/>
      <c r="AH29" s="18"/>
      <c r="AI29" s="18"/>
      <c r="AJ29" s="18"/>
      <c r="AK29" s="13"/>
      <c r="AL29" s="13"/>
      <c r="AM29" s="13"/>
      <c r="AN29" s="13"/>
      <c r="AO29" s="13"/>
      <c r="AP29" s="1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row>
    <row r="30" spans="2:73" s="17" customFormat="1" ht="12.75">
      <c r="B30" s="99"/>
      <c r="C30" s="99"/>
      <c r="D30" s="99"/>
      <c r="Q30" s="102"/>
      <c r="R30" s="134" t="s">
        <v>177</v>
      </c>
      <c r="S30" s="134">
        <f>VIN/6</f>
        <v>0</v>
      </c>
      <c r="T30" s="134">
        <v>0.6</v>
      </c>
      <c r="U30" s="134">
        <v>24</v>
      </c>
      <c r="V30" s="134">
        <v>60</v>
      </c>
      <c r="W30" s="148"/>
      <c r="X30" s="133">
        <v>220</v>
      </c>
      <c r="Y30" s="133">
        <v>226</v>
      </c>
      <c r="Z30" s="130"/>
      <c r="AA30" s="130"/>
      <c r="AB30" s="130"/>
      <c r="AC30" s="130"/>
      <c r="AD30" s="130"/>
      <c r="AE30" s="130"/>
      <c r="AF30" s="18"/>
      <c r="AG30" s="18"/>
      <c r="AH30" s="18"/>
      <c r="AI30" s="18"/>
      <c r="AJ30" s="18"/>
      <c r="AK30" s="13"/>
      <c r="AL30" s="13"/>
      <c r="AM30" s="13"/>
      <c r="AN30" s="13"/>
      <c r="AO30" s="13"/>
      <c r="AP30" s="1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row>
    <row r="31" spans="17:73" s="17" customFormat="1" ht="12.75">
      <c r="Q31" s="102"/>
      <c r="R31" s="134" t="s">
        <v>178</v>
      </c>
      <c r="S31" s="134">
        <f>VIN/6</f>
        <v>0</v>
      </c>
      <c r="T31" s="134">
        <v>0.6</v>
      </c>
      <c r="U31" s="134">
        <v>24</v>
      </c>
      <c r="V31" s="134">
        <v>60</v>
      </c>
      <c r="W31" s="148"/>
      <c r="X31" s="133">
        <v>226</v>
      </c>
      <c r="Y31" s="133">
        <v>237</v>
      </c>
      <c r="Z31" s="130"/>
      <c r="AA31" s="130"/>
      <c r="AB31" s="130"/>
      <c r="AC31" s="152"/>
      <c r="AD31" s="130"/>
      <c r="AE31" s="130"/>
      <c r="AF31" s="18"/>
      <c r="AG31" s="18"/>
      <c r="AH31" s="18"/>
      <c r="AI31" s="18"/>
      <c r="AJ31" s="18"/>
      <c r="AK31" s="13"/>
      <c r="AL31" s="13"/>
      <c r="AM31" s="13"/>
      <c r="AN31" s="13"/>
      <c r="AO31" s="13"/>
      <c r="AP31" s="1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row>
    <row r="32" spans="17:73" s="17" customFormat="1" ht="12.75">
      <c r="Q32" s="102"/>
      <c r="R32" s="150" t="s">
        <v>184</v>
      </c>
      <c r="S32" s="150">
        <f>VIN/4</f>
        <v>0</v>
      </c>
      <c r="T32" s="150">
        <v>0.6</v>
      </c>
      <c r="U32" s="150">
        <v>14</v>
      </c>
      <c r="V32" s="150">
        <v>80</v>
      </c>
      <c r="W32" s="148"/>
      <c r="X32" s="133">
        <v>237</v>
      </c>
      <c r="Y32" s="133">
        <v>240</v>
      </c>
      <c r="Z32" s="130"/>
      <c r="AA32" s="130"/>
      <c r="AB32" s="130"/>
      <c r="AC32" s="152"/>
      <c r="AD32" s="130"/>
      <c r="AE32" s="130"/>
      <c r="AF32" s="18"/>
      <c r="AG32" s="18"/>
      <c r="AH32" s="18"/>
      <c r="AI32" s="18"/>
      <c r="AJ32" s="18"/>
      <c r="AK32" s="13"/>
      <c r="AL32" s="13"/>
      <c r="AM32" s="13"/>
      <c r="AN32" s="13"/>
      <c r="AO32" s="13"/>
      <c r="AP32" s="1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row>
    <row r="33" spans="4:73" s="17" customFormat="1" ht="12.75">
      <c r="D33" s="99"/>
      <c r="Q33" s="102"/>
      <c r="R33" s="150" t="s">
        <v>185</v>
      </c>
      <c r="S33" s="150">
        <f>VIN/9</f>
        <v>0</v>
      </c>
      <c r="T33" s="150">
        <v>0.6</v>
      </c>
      <c r="U33" s="150">
        <v>14</v>
      </c>
      <c r="V33" s="150">
        <v>80</v>
      </c>
      <c r="W33" s="148"/>
      <c r="X33" s="133">
        <v>240</v>
      </c>
      <c r="Y33" s="133">
        <v>249</v>
      </c>
      <c r="Z33" s="130"/>
      <c r="AA33" s="130"/>
      <c r="AB33" s="130"/>
      <c r="AC33" s="130"/>
      <c r="AD33" s="130"/>
      <c r="AE33" s="130"/>
      <c r="AF33" s="18"/>
      <c r="AG33" s="18"/>
      <c r="AH33" s="18"/>
      <c r="AI33" s="18"/>
      <c r="AJ33" s="18"/>
      <c r="AK33" s="13"/>
      <c r="AL33" s="13"/>
      <c r="AM33" s="13"/>
      <c r="AN33" s="13"/>
      <c r="AO33" s="13"/>
      <c r="AP33" s="1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row>
    <row r="34" spans="4:73" s="17" customFormat="1" ht="12.75">
      <c r="D34" s="99"/>
      <c r="Q34" s="102"/>
      <c r="R34" s="150"/>
      <c r="S34" s="150"/>
      <c r="T34" s="150"/>
      <c r="U34" s="150"/>
      <c r="V34" s="150"/>
      <c r="W34" s="153"/>
      <c r="X34" s="133">
        <v>249</v>
      </c>
      <c r="Y34" s="133">
        <v>261</v>
      </c>
      <c r="Z34" s="130"/>
      <c r="AA34" s="130"/>
      <c r="AB34" s="130"/>
      <c r="AC34" s="130"/>
      <c r="AD34" s="130"/>
      <c r="AE34" s="130"/>
      <c r="AF34" s="110"/>
      <c r="AG34" s="92"/>
      <c r="AH34" s="92"/>
      <c r="AI34" s="92"/>
      <c r="AJ34" s="92"/>
      <c r="AK34" s="13"/>
      <c r="AL34" s="13"/>
      <c r="AM34" s="13"/>
      <c r="AN34" s="13"/>
      <c r="AO34" s="13"/>
      <c r="AP34" s="1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row>
    <row r="35" spans="17:73" s="17" customFormat="1" ht="12.75">
      <c r="Q35" s="102"/>
      <c r="R35" s="154"/>
      <c r="S35" s="154"/>
      <c r="T35" s="154"/>
      <c r="U35" s="154"/>
      <c r="V35" s="154"/>
      <c r="W35" s="155"/>
      <c r="X35" s="133">
        <v>261</v>
      </c>
      <c r="Y35" s="133">
        <v>270</v>
      </c>
      <c r="Z35" s="130"/>
      <c r="AA35" s="130"/>
      <c r="AB35" s="130"/>
      <c r="AC35" s="130"/>
      <c r="AD35" s="130"/>
      <c r="AE35" s="130"/>
      <c r="AF35" s="111"/>
      <c r="AG35" s="111"/>
      <c r="AH35" s="92"/>
      <c r="AI35" s="13"/>
      <c r="AJ35" s="13"/>
      <c r="AK35" s="13"/>
      <c r="AL35" s="13"/>
      <c r="AM35" s="13"/>
      <c r="AN35" s="13"/>
      <c r="AO35" s="13"/>
      <c r="AP35" s="1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row>
    <row r="36" spans="17:73" s="17" customFormat="1" ht="12.75">
      <c r="Q36" s="102"/>
      <c r="R36" s="156"/>
      <c r="S36" s="156"/>
      <c r="T36" s="156"/>
      <c r="U36" s="156"/>
      <c r="V36" s="156"/>
      <c r="W36" s="155"/>
      <c r="X36" s="133">
        <v>270</v>
      </c>
      <c r="Y36" s="133">
        <v>274</v>
      </c>
      <c r="Z36" s="136"/>
      <c r="AA36" s="157"/>
      <c r="AB36" s="130"/>
      <c r="AC36" s="130"/>
      <c r="AD36" s="158"/>
      <c r="AE36" s="130"/>
      <c r="AF36" s="109"/>
      <c r="AG36" s="109"/>
      <c r="AH36" s="92"/>
      <c r="AI36" s="13"/>
      <c r="AJ36" s="13"/>
      <c r="AK36" s="13"/>
      <c r="AL36" s="13"/>
      <c r="AM36" s="13"/>
      <c r="AN36" s="13"/>
      <c r="AO36" s="13"/>
      <c r="AP36" s="1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row>
    <row r="37" spans="17:73" s="17" customFormat="1" ht="12.75">
      <c r="Q37" s="102"/>
      <c r="R37" s="130"/>
      <c r="S37" s="131" t="s">
        <v>164</v>
      </c>
      <c r="T37" s="132"/>
      <c r="U37" s="132"/>
      <c r="V37" s="132"/>
      <c r="W37" s="128"/>
      <c r="X37" s="133">
        <v>274</v>
      </c>
      <c r="Y37" s="133">
        <v>287</v>
      </c>
      <c r="Z37" s="130"/>
      <c r="AA37" s="130"/>
      <c r="AB37" s="130"/>
      <c r="AC37" s="130"/>
      <c r="AD37" s="158"/>
      <c r="AE37" s="130"/>
      <c r="AF37" s="111"/>
      <c r="AG37" s="111"/>
      <c r="AH37" s="92"/>
      <c r="AI37" s="13"/>
      <c r="AJ37" s="13"/>
      <c r="AK37" s="13"/>
      <c r="AL37" s="13"/>
      <c r="AM37" s="13"/>
      <c r="AN37" s="13"/>
      <c r="AO37" s="13"/>
      <c r="AP37" s="1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row>
    <row r="38" spans="17:73" s="17" customFormat="1" ht="12.75">
      <c r="Q38" s="102"/>
      <c r="R38" s="159" t="s">
        <v>161</v>
      </c>
      <c r="S38" s="159" t="s">
        <v>162</v>
      </c>
      <c r="T38" s="159" t="s">
        <v>163</v>
      </c>
      <c r="U38" s="132"/>
      <c r="V38" s="132"/>
      <c r="W38" s="128"/>
      <c r="X38" s="133">
        <v>287</v>
      </c>
      <c r="Y38" s="133">
        <v>300</v>
      </c>
      <c r="Z38" s="130"/>
      <c r="AA38" s="130"/>
      <c r="AB38" s="130"/>
      <c r="AC38" s="130"/>
      <c r="AD38" s="158"/>
      <c r="AE38" s="130"/>
      <c r="AF38" s="111"/>
      <c r="AG38" s="111"/>
      <c r="AH38" s="92"/>
      <c r="AI38" s="13"/>
      <c r="AJ38" s="13"/>
      <c r="AK38" s="13"/>
      <c r="AL38" s="13"/>
      <c r="AM38" s="13"/>
      <c r="AN38" s="13"/>
      <c r="AO38" s="13"/>
      <c r="AP38" s="1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row>
    <row r="39" spans="17:73" s="17" customFormat="1" ht="12.75">
      <c r="Q39" s="102"/>
      <c r="R39" s="160">
        <f>IF((VIN-8*0.65)/120&gt;0,(VIN-8*0.65)/120,0)</f>
        <v>0</v>
      </c>
      <c r="S39" s="160">
        <f>IF((R39*2.91223+1.185)&lt;2.37,(R39*9.67307+1.185)*10^-5,2.37*10^-5)</f>
        <v>1.1850000000000002E-05</v>
      </c>
      <c r="T39" s="160">
        <f>IF((R39*2.96+0.085)&lt;0.37,(R39*2.96+0.185)*10^-5,3.7*10^-6)</f>
        <v>1.85E-06</v>
      </c>
      <c r="U39" s="132"/>
      <c r="V39" s="132"/>
      <c r="W39" s="128"/>
      <c r="X39" s="133">
        <v>300</v>
      </c>
      <c r="Y39" s="133">
        <v>301</v>
      </c>
      <c r="Z39" s="130"/>
      <c r="AA39" s="130"/>
      <c r="AB39" s="130"/>
      <c r="AC39" s="152"/>
      <c r="AD39" s="130"/>
      <c r="AE39" s="130"/>
      <c r="AF39" s="13"/>
      <c r="AG39" s="111"/>
      <c r="AH39" s="92"/>
      <c r="AI39" s="13"/>
      <c r="AJ39" s="13"/>
      <c r="AK39" s="13"/>
      <c r="AL39" s="13"/>
      <c r="AM39" s="13"/>
      <c r="AN39" s="13"/>
      <c r="AO39" s="13"/>
      <c r="AP39" s="1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row>
    <row r="40" spans="17:73" s="17" customFormat="1" ht="12.75">
      <c r="Q40" s="102"/>
      <c r="R40" s="128"/>
      <c r="S40" s="128"/>
      <c r="T40" s="128"/>
      <c r="U40" s="128"/>
      <c r="V40" s="128"/>
      <c r="W40" s="128"/>
      <c r="X40" s="133">
        <v>301</v>
      </c>
      <c r="Y40" s="133">
        <v>316</v>
      </c>
      <c r="Z40" s="130"/>
      <c r="AA40" s="130"/>
      <c r="AB40" s="130"/>
      <c r="AC40" s="152"/>
      <c r="AD40" s="130"/>
      <c r="AE40" s="130"/>
      <c r="AF40" s="13"/>
      <c r="AG40" s="109"/>
      <c r="AH40" s="92"/>
      <c r="AI40" s="13"/>
      <c r="AJ40" s="13"/>
      <c r="AK40" s="13"/>
      <c r="AL40" s="13"/>
      <c r="AM40" s="13"/>
      <c r="AN40" s="13"/>
      <c r="AO40" s="13"/>
      <c r="AP40" s="1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row>
    <row r="41" spans="17:105" s="17" customFormat="1" ht="12.75">
      <c r="Q41" s="102"/>
      <c r="R41" s="128"/>
      <c r="S41" s="128"/>
      <c r="T41" s="128"/>
      <c r="U41" s="128"/>
      <c r="V41" s="128"/>
      <c r="W41" s="128"/>
      <c r="X41" s="133">
        <v>316</v>
      </c>
      <c r="Y41" s="133">
        <v>330</v>
      </c>
      <c r="Z41" s="130"/>
      <c r="AA41" s="130"/>
      <c r="AB41" s="130"/>
      <c r="AC41" s="152"/>
      <c r="AD41" s="130"/>
      <c r="AE41" s="130"/>
      <c r="AF41" s="13"/>
      <c r="AG41" s="111"/>
      <c r="AH41" s="92"/>
      <c r="AI41" s="13"/>
      <c r="AJ41" s="13"/>
      <c r="AK41" s="13"/>
      <c r="AL41" s="13"/>
      <c r="AM41" s="13"/>
      <c r="AN41" s="13"/>
      <c r="AO41" s="13"/>
      <c r="AP41" s="1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CF41" s="18"/>
      <c r="CG41" s="18"/>
      <c r="CH41" s="18"/>
      <c r="CI41" s="18"/>
      <c r="CJ41" s="18"/>
      <c r="CK41" s="18"/>
      <c r="CL41" s="18"/>
      <c r="CM41" s="18"/>
      <c r="CN41" s="18"/>
      <c r="CO41" s="18"/>
      <c r="CP41" s="18"/>
      <c r="CQ41" s="18"/>
      <c r="CR41" s="18"/>
      <c r="CS41" s="18"/>
      <c r="CT41" s="18"/>
      <c r="CU41" s="18"/>
      <c r="CV41" s="18"/>
      <c r="CW41" s="18"/>
      <c r="CX41" s="18"/>
      <c r="CY41" s="18"/>
      <c r="CZ41" s="18"/>
      <c r="DA41" s="18"/>
    </row>
    <row r="42" spans="17:105" s="17" customFormat="1" ht="12.75">
      <c r="Q42" s="102"/>
      <c r="R42" s="128"/>
      <c r="S42" s="128"/>
      <c r="T42" s="128"/>
      <c r="U42" s="128"/>
      <c r="V42" s="128"/>
      <c r="W42" s="128"/>
      <c r="X42" s="133">
        <v>330</v>
      </c>
      <c r="Y42" s="133">
        <v>332</v>
      </c>
      <c r="Z42" s="130"/>
      <c r="AA42" s="130"/>
      <c r="AB42" s="130"/>
      <c r="AC42" s="152"/>
      <c r="AD42" s="130"/>
      <c r="AE42" s="130"/>
      <c r="AF42" s="13"/>
      <c r="AG42" s="111"/>
      <c r="AH42" s="92"/>
      <c r="AI42" s="13"/>
      <c r="AJ42" s="13"/>
      <c r="AK42" s="13"/>
      <c r="AL42" s="13"/>
      <c r="AM42" s="13"/>
      <c r="AN42" s="13"/>
      <c r="AO42" s="13"/>
      <c r="AP42" s="1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CF42" s="18"/>
      <c r="CG42" s="18"/>
      <c r="CH42" s="18"/>
      <c r="CI42" s="18"/>
      <c r="CJ42" s="18"/>
      <c r="CK42" s="18"/>
      <c r="CL42" s="18"/>
      <c r="CM42" s="18"/>
      <c r="CN42" s="18"/>
      <c r="CO42" s="18"/>
      <c r="CP42" s="18"/>
      <c r="CQ42" s="18"/>
      <c r="CR42" s="18"/>
      <c r="CS42" s="18"/>
      <c r="CT42" s="18"/>
      <c r="CU42" s="18"/>
      <c r="CV42" s="18"/>
      <c r="CW42" s="18"/>
      <c r="CX42" s="18"/>
      <c r="CY42" s="18"/>
      <c r="CZ42" s="18"/>
      <c r="DA42" s="18"/>
    </row>
    <row r="43" spans="1:73" s="17" customFormat="1" ht="12.75">
      <c r="A43" s="18" t="s">
        <v>181</v>
      </c>
      <c r="B43" s="18"/>
      <c r="C43" s="18"/>
      <c r="D43" s="18"/>
      <c r="E43" s="18"/>
      <c r="F43" s="18"/>
      <c r="G43" s="18"/>
      <c r="H43" s="18"/>
      <c r="Q43" s="102"/>
      <c r="R43" s="128"/>
      <c r="S43" s="128"/>
      <c r="T43" s="128"/>
      <c r="U43" s="128"/>
      <c r="V43" s="128"/>
      <c r="W43" s="128"/>
      <c r="X43" s="133">
        <v>332</v>
      </c>
      <c r="Y43" s="133">
        <v>348</v>
      </c>
      <c r="Z43" s="130"/>
      <c r="AA43" s="130"/>
      <c r="AB43" s="130"/>
      <c r="AC43" s="130"/>
      <c r="AD43" s="130"/>
      <c r="AE43" s="130"/>
      <c r="AF43" s="13"/>
      <c r="AG43" s="111"/>
      <c r="AH43" s="92"/>
      <c r="AI43" s="13"/>
      <c r="AJ43" s="13"/>
      <c r="AK43" s="13"/>
      <c r="AL43" s="13"/>
      <c r="AM43" s="13"/>
      <c r="AN43" s="13"/>
      <c r="AO43" s="13"/>
      <c r="AP43" s="1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row>
    <row r="44" spans="1:73" s="166" customFormat="1" ht="14.25" customHeight="1">
      <c r="A44" s="128" t="s">
        <v>134</v>
      </c>
      <c r="B44" s="128"/>
      <c r="C44" s="128"/>
      <c r="D44" s="128"/>
      <c r="E44" s="128"/>
      <c r="F44" s="128"/>
      <c r="G44" s="128"/>
      <c r="H44" s="128"/>
      <c r="I44" s="128"/>
      <c r="Q44" s="128"/>
      <c r="R44" s="128"/>
      <c r="S44" s="128"/>
      <c r="T44" s="128"/>
      <c r="U44" s="128"/>
      <c r="V44" s="128"/>
      <c r="W44" s="128"/>
      <c r="X44" s="133">
        <v>348</v>
      </c>
      <c r="Y44" s="133">
        <v>360</v>
      </c>
      <c r="Z44" s="130"/>
      <c r="AA44" s="130"/>
      <c r="AB44" s="130"/>
      <c r="AC44" s="130"/>
      <c r="AD44" s="130"/>
      <c r="AE44" s="130"/>
      <c r="AF44" s="130"/>
      <c r="AG44" s="140"/>
      <c r="AH44" s="132"/>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row>
    <row r="45" spans="1:73" s="166" customFormat="1" ht="12.75">
      <c r="A45" s="128" t="s">
        <v>135</v>
      </c>
      <c r="B45" s="130"/>
      <c r="C45" s="128"/>
      <c r="D45" s="128"/>
      <c r="E45" s="128"/>
      <c r="F45" s="128"/>
      <c r="G45" s="128"/>
      <c r="H45" s="128"/>
      <c r="I45" s="128"/>
      <c r="Q45" s="128"/>
      <c r="R45" s="128"/>
      <c r="S45" s="128"/>
      <c r="T45" s="128"/>
      <c r="U45" s="128"/>
      <c r="V45" s="128"/>
      <c r="W45" s="128"/>
      <c r="X45" s="133">
        <v>360</v>
      </c>
      <c r="Y45" s="133">
        <v>365</v>
      </c>
      <c r="Z45" s="130"/>
      <c r="AA45" s="130"/>
      <c r="AB45" s="130"/>
      <c r="AC45" s="130"/>
      <c r="AD45" s="130"/>
      <c r="AE45" s="130"/>
      <c r="AF45" s="130"/>
      <c r="AG45" s="152"/>
      <c r="AH45" s="132"/>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row>
    <row r="46" spans="1:73" s="166" customFormat="1" ht="12.75">
      <c r="A46" s="130" t="s">
        <v>61</v>
      </c>
      <c r="B46" s="131">
        <f>IF(D13=0,10^-50,B13*D13)</f>
        <v>9.999999999999999E-51</v>
      </c>
      <c r="C46" s="165" t="s">
        <v>2</v>
      </c>
      <c r="D46" s="128"/>
      <c r="E46" s="128"/>
      <c r="F46" s="132" t="e">
        <f>2*PI()*J19</f>
        <v>#DIV/0!</v>
      </c>
      <c r="G46" s="128"/>
      <c r="H46" s="128"/>
      <c r="I46" s="128"/>
      <c r="Q46" s="128"/>
      <c r="R46" s="128"/>
      <c r="S46" s="128"/>
      <c r="T46" s="128"/>
      <c r="U46" s="128"/>
      <c r="V46" s="128"/>
      <c r="W46" s="128"/>
      <c r="X46" s="133">
        <v>365</v>
      </c>
      <c r="Y46" s="133">
        <v>383</v>
      </c>
      <c r="Z46" s="130"/>
      <c r="AA46" s="130"/>
      <c r="AB46" s="130"/>
      <c r="AC46" s="130"/>
      <c r="AD46" s="130"/>
      <c r="AE46" s="130"/>
      <c r="AF46" s="130"/>
      <c r="AG46" s="152"/>
      <c r="AH46" s="132"/>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row>
    <row r="47" spans="1:73" s="166" customFormat="1" ht="12.75">
      <c r="A47" s="130" t="s">
        <v>62</v>
      </c>
      <c r="B47" s="131">
        <f>IF(D13=0,10^50,B14/D13)</f>
        <v>1E+50</v>
      </c>
      <c r="C47" s="165" t="s">
        <v>47</v>
      </c>
      <c r="D47" s="128"/>
      <c r="E47" s="128"/>
      <c r="F47" s="137" t="e">
        <f>20*LOG(VIN/VRAMP*IMABS(IMDIV(IMDIV(IMPRODUCT(ROUT_min,COMPLEX(1,F46*COUT*10^-6*ESR*10^-3),COMPLEX(1,F46*MLCC*10^-6*MLCC_ESR*10^-3)),IMSUM(-(ROUT_min*ESR*10^-3+ROUT_min*MLCC_ESR*10^-3+MLCC_ESR*ESR*10^-6)*COUT*MLCC*10^-12*F46^2,COMPLEX(1,F46*((ROUT_min+ESR*10^-3)*COUT*10^-6+(ROUT_min+MLCC_ESR*10^-3)*MLCC*10^-6)))),IMSUM(COMPLEX(DCR*10^-3,F46*LOUT*10^-6),IMDIV(IMPRODUCT(ROUT_min,COMPLEX(1,F46*COUT*10^-6*ESR*10^-3),COMPLEX(1,F46*MLCC*10^-6*MLCC_ESR*10^-3)),IMSUM(-(ROUT_min*ESR*10^-3+ROUT_min*MLCC_ESR*10^-3+MLCC_ESR*ESR*10^-6)*COUT*MLCC*10^-12*F46^2,COMPLEX(1,F46*((ROUT_min+ESR*10^-3)*COUT*10^-6+(ROUT_min+MLCC_ESR*10^-3)*MLCC*10^-6))))))))</f>
        <v>#DIV/0!</v>
      </c>
      <c r="H47" s="166" t="e">
        <f>IMDIV(IMPRODUCT(IMDIV(IMPRODUCT(IMSUM(IMDIV(1,COMPLEX(0,F46*COUT*10^-6)),ESR*10^-3),IMSUM(IMDIV(1,COMPLEX(0,F46*MLCC*10^-6)),MLCC_ESR*10^-3)),IMSUM(IMSUM(IMDIV(1,COMPLEX(0,F46*COUT*10^-6)),ESR*10^-3),IMSUM(IMDIV(1,COMPLEX(0,F46*MLCC*10^-6)),MLCC_ESR*10^-3))),VOUT/IOUT_max),IMSUM(IMDIV(IMPRODUCT(IMSUM(IMDIV(1,COMPLEX(0,F46*COUT*10^-6)),ESR*10^-3),IMSUM(IMDIV(1,COMPLEX(0,F46*MLCC*10^-6)),MLCC_ESR*10^-3)),IMSUM(IMSUM(IMDIV(1,COMPLEX(0,F46*COUT*10^-6)),ESR*10^-3),IMSUM(IMDIV(1,COMPLEX(0,F46*MLCC*10^-6)),MLCC_ESR*10^-3))),VOUT/IOUT_max))</f>
        <v>#DIV/0!</v>
      </c>
      <c r="I47" s="128"/>
      <c r="Q47" s="128"/>
      <c r="R47" s="128"/>
      <c r="S47" s="128"/>
      <c r="T47" s="128"/>
      <c r="U47" s="128"/>
      <c r="V47" s="128"/>
      <c r="W47" s="128"/>
      <c r="X47" s="133">
        <v>383</v>
      </c>
      <c r="Y47" s="133">
        <v>390</v>
      </c>
      <c r="Z47" s="130"/>
      <c r="AA47" s="130"/>
      <c r="AB47" s="130"/>
      <c r="AC47" s="130"/>
      <c r="AD47" s="130"/>
      <c r="AE47" s="130"/>
      <c r="AF47" s="130"/>
      <c r="AG47" s="152"/>
      <c r="AH47" s="132"/>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row>
    <row r="48" spans="1:72" s="166" customFormat="1" ht="12.75">
      <c r="A48" s="128"/>
      <c r="B48" s="130"/>
      <c r="C48" s="165" t="s">
        <v>48</v>
      </c>
      <c r="D48" s="128"/>
      <c r="E48" s="128"/>
      <c r="F48" s="138" t="e">
        <f>180/PI()*IMARGUMENT(IMDIV(IMDIV(IMPRODUCT(ROUT_min,COMPLEX(1,F46*COUT*10^-6*ESR*10^-3),COMPLEX(1,F46*MLCC*10^-6*MLCC_ESR*10^-3)),IMSUM(-(ROUT_min*ESR*10^-3+ROUT_min*MLCC_ESR*10^-3+MLCC_ESR*ESR*10^-6)*COUT*MLCC*10^-12*F46^2,COMPLEX(1,F46*((ROUT_min+ESR*10^-3)*COUT*10^-6+(ROUT_min+MLCC_ESR*10^-3)*MLCC*10^-6)))),IMSUM(COMPLEX(DCR*10^-3,F46*LOUT*10^-6),IMDIV(IMPRODUCT(ROUT_min,COMPLEX(1,F46*COUT*10^-6*ESR*10^-3),COMPLEX(1,F46*MLCC*10^-6*MLCC_ESR*10^-3)),IMSUM(-(ROUT_min*ESR*10^-3+ROUT_min*MLCC_ESR*10^-3+MLCC_ESR*ESR*10^-6)*COUT*MLCC*10^-12*F46^2,COMPLEX(1,F46*((ROUT_min+ESR*10^-3)*COUT*10^-6+(ROUT_min+MLCC_ESR*10^-3)*MLCC*10^-6)))))))</f>
        <v>#DIV/0!</v>
      </c>
      <c r="H48" s="128" t="e">
        <f>20*LOG(VIN/VRAMP*IMABS(IMDIV(H47,IMSUM(COMPLEX(DCR*10^-3,F46*LOUT*10^-6),H47))))</f>
        <v>#DIV/0!</v>
      </c>
      <c r="I48" s="128"/>
      <c r="Q48" s="128"/>
      <c r="R48" s="128"/>
      <c r="S48" s="128"/>
      <c r="T48" s="128"/>
      <c r="U48" s="128"/>
      <c r="V48" s="128"/>
      <c r="W48" s="128"/>
      <c r="X48" s="133">
        <v>390</v>
      </c>
      <c r="Y48" s="133">
        <v>402</v>
      </c>
      <c r="Z48" s="130"/>
      <c r="AA48" s="130"/>
      <c r="AB48" s="130"/>
      <c r="AC48" s="130"/>
      <c r="AD48" s="130"/>
      <c r="AE48" s="130"/>
      <c r="AF48" s="130"/>
      <c r="AG48" s="140"/>
      <c r="AH48" s="132"/>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row>
    <row r="49" spans="1:72" s="166" customFormat="1" ht="12.75">
      <c r="A49" s="130" t="s">
        <v>63</v>
      </c>
      <c r="B49" s="131">
        <f>IF(D16=0,10^-50,B16*D16)</f>
        <v>9.999999999999999E-51</v>
      </c>
      <c r="C49" s="165" t="s">
        <v>67</v>
      </c>
      <c r="D49" s="128"/>
      <c r="E49" s="128"/>
      <c r="F49" s="137" t="e">
        <f>20*LOG(IMABS(I49))</f>
        <v>#DIV/0!</v>
      </c>
      <c r="G49" s="166" t="e">
        <f>IMDIV(IMPRODUCT(IMDIV(1,COMPLEX(0,F46*C_3*10^-12)),IMSUM(R_3,IMDIV(1,COMPLEX(0,F46*C_2*10^-12)))),IMSUM(IMDIV(1,COMPLEX(0,F46*C_3*10^-12)),IMSUM(R_3,IMDIV(1,COMPLEX(0,F46*C_2*10^-12)))))</f>
        <v>#DIV/0!</v>
      </c>
      <c r="H49" s="128" t="e">
        <f>IMDIV(IMPRODUCT(IMSUM(R_2,IMDIV(1,COMPLEX(0,F46*C_1*10^-12))),R_1),IMSUM(IMSUM(R_2,IMDIV(1,COMPLEX(0,F46*C_1*10^-12))),R_1))</f>
        <v>#NUM!</v>
      </c>
      <c r="I49" s="166" t="e">
        <f>IMDIV(IMPRODUCT(-1,IMDIV(10^(DCGAIN/20),IMPRODUCT(COMPLEX(1,F46/(2*PI()*(GBWP*10^6/10^(DCGAIN/20)))),COMPLEX(1,F46/(2*PI()*EAP*10^6))))),IMSUM(1,IMDIV(H49,R_4),IMPRODUCT(IMDIV(H49,G49),IMSUM(1,IMDIV(10^(DCGAIN/20),IMPRODUCT(COMPLEX(1,F46/(2*PI()*(GBWP*10^6/10^(DCGAIN/20)))),COMPLEX(1,F46/(2*PI()*EAP*10^6))))))))</f>
        <v>#DIV/0!</v>
      </c>
      <c r="Q49" s="128"/>
      <c r="R49" s="128"/>
      <c r="S49" s="128"/>
      <c r="T49" s="128"/>
      <c r="U49" s="128"/>
      <c r="V49" s="128"/>
      <c r="W49" s="128"/>
      <c r="X49" s="133">
        <v>402</v>
      </c>
      <c r="Y49" s="133">
        <v>422</v>
      </c>
      <c r="Z49" s="130"/>
      <c r="AA49" s="130"/>
      <c r="AB49" s="130"/>
      <c r="AC49" s="130"/>
      <c r="AD49" s="130"/>
      <c r="AE49" s="130"/>
      <c r="AF49" s="130"/>
      <c r="AG49" s="152"/>
      <c r="AH49" s="132"/>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row>
    <row r="50" spans="1:72" s="166" customFormat="1" ht="12.75">
      <c r="A50" s="130" t="s">
        <v>64</v>
      </c>
      <c r="B50" s="131">
        <f>IF(D16=0,10^50,B17/D16)</f>
        <v>1E+50</v>
      </c>
      <c r="C50" s="165" t="s">
        <v>66</v>
      </c>
      <c r="D50" s="128"/>
      <c r="E50" s="128"/>
      <c r="F50" s="167" t="e">
        <f>IF(180/PI()*IMARGUMENT(I49)&lt;0,180/PI()*IMARGUMENT(I49)+360,180/PI()*IMARGUMENT(I49))</f>
        <v>#DIV/0!</v>
      </c>
      <c r="G50" s="128"/>
      <c r="H50" s="128"/>
      <c r="I50" s="128"/>
      <c r="Q50" s="128"/>
      <c r="R50" s="128"/>
      <c r="S50" s="128"/>
      <c r="T50" s="128"/>
      <c r="U50" s="128"/>
      <c r="V50" s="128"/>
      <c r="W50" s="128"/>
      <c r="X50" s="133">
        <v>422</v>
      </c>
      <c r="Y50" s="133">
        <v>430</v>
      </c>
      <c r="Z50" s="130"/>
      <c r="AA50" s="130"/>
      <c r="AB50" s="130"/>
      <c r="AC50" s="130"/>
      <c r="AD50" s="130"/>
      <c r="AE50" s="130"/>
      <c r="AF50" s="130"/>
      <c r="AG50" s="152"/>
      <c r="AH50" s="132"/>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row>
    <row r="51" spans="1:72" s="166" customFormat="1" ht="12.75">
      <c r="A51" s="166" t="s">
        <v>148</v>
      </c>
      <c r="B51" s="166">
        <v>10</v>
      </c>
      <c r="C51" s="165" t="s">
        <v>29</v>
      </c>
      <c r="D51" s="128"/>
      <c r="E51" s="128"/>
      <c r="F51" s="167" t="e">
        <f>IF(20*(LOG(GBWP*10^6)-LOG(J19))&gt;DCGAIN,DCGAIN,20*(LOG(GBWP*10^6)-LOG(J19)))</f>
        <v>#DIV/0!</v>
      </c>
      <c r="G51" s="128"/>
      <c r="H51" s="128"/>
      <c r="I51" s="128"/>
      <c r="Q51" s="128"/>
      <c r="R51" s="128"/>
      <c r="S51" s="128"/>
      <c r="T51" s="128"/>
      <c r="U51" s="128"/>
      <c r="V51" s="128"/>
      <c r="W51" s="128"/>
      <c r="X51" s="133">
        <v>430</v>
      </c>
      <c r="Y51" s="133">
        <v>442</v>
      </c>
      <c r="Z51" s="130"/>
      <c r="AA51" s="130"/>
      <c r="AB51" s="130"/>
      <c r="AC51" s="130"/>
      <c r="AD51" s="130"/>
      <c r="AE51" s="130"/>
      <c r="AF51" s="130"/>
      <c r="AG51" s="152"/>
      <c r="AH51" s="132"/>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row>
    <row r="52" spans="1:72" s="166" customFormat="1" ht="12.75">
      <c r="A52" s="128"/>
      <c r="B52" s="128"/>
      <c r="C52" s="168" t="s">
        <v>79</v>
      </c>
      <c r="D52" s="128"/>
      <c r="E52" s="128"/>
      <c r="F52" s="169"/>
      <c r="G52" s="128"/>
      <c r="H52" s="128"/>
      <c r="I52" s="128"/>
      <c r="Q52" s="128"/>
      <c r="R52" s="128"/>
      <c r="S52" s="128"/>
      <c r="T52" s="128"/>
      <c r="U52" s="128"/>
      <c r="V52" s="128"/>
      <c r="W52" s="128"/>
      <c r="X52" s="133">
        <v>442</v>
      </c>
      <c r="Y52" s="133">
        <v>464</v>
      </c>
      <c r="Z52" s="130"/>
      <c r="AA52" s="130"/>
      <c r="AB52" s="130"/>
      <c r="AC52" s="130"/>
      <c r="AD52" s="130"/>
      <c r="AE52" s="130"/>
      <c r="AF52" s="140"/>
      <c r="AG52" s="140"/>
      <c r="AH52" s="132"/>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row>
    <row r="53" spans="1:72" s="166" customFormat="1" ht="12.75">
      <c r="A53" s="128"/>
      <c r="B53" s="128"/>
      <c r="C53" s="168" t="s">
        <v>78</v>
      </c>
      <c r="D53" s="128"/>
      <c r="E53" s="128"/>
      <c r="F53" s="169"/>
      <c r="G53" s="128"/>
      <c r="H53" s="128"/>
      <c r="I53" s="128"/>
      <c r="Q53" s="128"/>
      <c r="R53" s="128"/>
      <c r="S53" s="128"/>
      <c r="T53" s="128"/>
      <c r="U53" s="128"/>
      <c r="V53" s="128"/>
      <c r="W53" s="128"/>
      <c r="X53" s="133">
        <v>464</v>
      </c>
      <c r="Y53" s="133">
        <v>470</v>
      </c>
      <c r="Z53" s="130"/>
      <c r="AA53" s="130"/>
      <c r="AB53" s="130"/>
      <c r="AC53" s="130"/>
      <c r="AD53" s="130"/>
      <c r="AE53" s="130"/>
      <c r="AF53" s="140"/>
      <c r="AG53" s="140"/>
      <c r="AH53" s="132"/>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row>
    <row r="54" spans="1:72" s="166" customFormat="1" ht="12.75">
      <c r="A54" s="128"/>
      <c r="B54" s="128"/>
      <c r="C54" s="165" t="s">
        <v>7</v>
      </c>
      <c r="D54" s="128"/>
      <c r="E54" s="128"/>
      <c r="F54" s="138" t="e">
        <f>B5/B6</f>
        <v>#DIV/0!</v>
      </c>
      <c r="G54" s="130" t="s">
        <v>22</v>
      </c>
      <c r="H54" s="128"/>
      <c r="I54" s="128"/>
      <c r="Q54" s="128"/>
      <c r="R54" s="128"/>
      <c r="S54" s="128"/>
      <c r="T54" s="128"/>
      <c r="U54" s="128"/>
      <c r="V54" s="128"/>
      <c r="W54" s="128"/>
      <c r="X54" s="133">
        <v>470</v>
      </c>
      <c r="Y54" s="133">
        <v>487</v>
      </c>
      <c r="Z54" s="130"/>
      <c r="AA54" s="130"/>
      <c r="AB54" s="130"/>
      <c r="AC54" s="130"/>
      <c r="AD54" s="130"/>
      <c r="AE54" s="130"/>
      <c r="AF54" s="140"/>
      <c r="AG54" s="140"/>
      <c r="AH54" s="132"/>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row>
    <row r="55" spans="1:72" s="166" customFormat="1" ht="12.75">
      <c r="A55" s="128"/>
      <c r="B55" s="128"/>
      <c r="C55" s="130" t="s">
        <v>45</v>
      </c>
      <c r="D55" s="128"/>
      <c r="E55" s="128"/>
      <c r="F55" s="165">
        <f>2*PI()*Fco*1000</f>
        <v>0</v>
      </c>
      <c r="G55" s="128"/>
      <c r="H55" s="128"/>
      <c r="I55" s="128"/>
      <c r="Q55" s="128"/>
      <c r="R55" s="128"/>
      <c r="S55" s="128"/>
      <c r="T55" s="128"/>
      <c r="U55" s="128"/>
      <c r="V55" s="128"/>
      <c r="W55" s="128"/>
      <c r="X55" s="133">
        <v>487</v>
      </c>
      <c r="Y55" s="133">
        <v>510</v>
      </c>
      <c r="Z55" s="130"/>
      <c r="AA55" s="130"/>
      <c r="AB55" s="130"/>
      <c r="AC55" s="130"/>
      <c r="AD55" s="130"/>
      <c r="AE55" s="130"/>
      <c r="AF55" s="140"/>
      <c r="AG55" s="140"/>
      <c r="AH55" s="132"/>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row>
    <row r="56" spans="1:72" s="166" customFormat="1" ht="12.75">
      <c r="A56" s="128"/>
      <c r="B56" s="128"/>
      <c r="C56" s="130" t="s">
        <v>47</v>
      </c>
      <c r="D56" s="128"/>
      <c r="E56" s="128"/>
      <c r="F56" s="170" t="e">
        <f>(IMABS(F61)*$F$62)</f>
        <v>#NUM!</v>
      </c>
      <c r="G56" s="128"/>
      <c r="H56" s="128"/>
      <c r="I56" s="128"/>
      <c r="Q56" s="128"/>
      <c r="R56" s="128"/>
      <c r="S56" s="128"/>
      <c r="T56" s="128"/>
      <c r="U56" s="128"/>
      <c r="V56" s="128"/>
      <c r="W56" s="128"/>
      <c r="X56" s="133">
        <v>510</v>
      </c>
      <c r="Y56" s="133">
        <v>511</v>
      </c>
      <c r="Z56" s="130"/>
      <c r="AA56" s="130"/>
      <c r="AB56" s="130"/>
      <c r="AC56" s="130"/>
      <c r="AD56" s="130"/>
      <c r="AE56" s="130"/>
      <c r="AF56" s="140"/>
      <c r="AG56" s="140"/>
      <c r="AH56" s="132"/>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row>
    <row r="57" spans="1:72" s="166" customFormat="1" ht="12.75">
      <c r="A57" s="128"/>
      <c r="B57" s="128"/>
      <c r="C57" s="130" t="s">
        <v>48</v>
      </c>
      <c r="D57" s="128"/>
      <c r="E57" s="128"/>
      <c r="F57" s="170" t="e">
        <f>180/PI()*IMARGUMENT(F61)</f>
        <v>#NUM!</v>
      </c>
      <c r="G57" s="128"/>
      <c r="H57" s="128"/>
      <c r="I57" s="128"/>
      <c r="Q57" s="128"/>
      <c r="R57" s="128"/>
      <c r="S57" s="128"/>
      <c r="T57" s="128"/>
      <c r="U57" s="128"/>
      <c r="V57" s="128"/>
      <c r="W57" s="128"/>
      <c r="X57" s="133">
        <v>511</v>
      </c>
      <c r="Y57" s="133">
        <v>536</v>
      </c>
      <c r="Z57" s="130"/>
      <c r="AA57" s="130"/>
      <c r="AB57" s="130"/>
      <c r="AC57" s="130"/>
      <c r="AD57" s="130"/>
      <c r="AE57" s="130"/>
      <c r="AF57" s="140"/>
      <c r="AG57" s="140"/>
      <c r="AH57" s="132"/>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row>
    <row r="58" spans="1:72" s="166" customFormat="1" ht="12.75">
      <c r="A58" s="128"/>
      <c r="B58" s="128"/>
      <c r="C58" s="130" t="s">
        <v>46</v>
      </c>
      <c r="D58" s="128"/>
      <c r="E58" s="128"/>
      <c r="F58" s="164" t="e">
        <f>1/F56</f>
        <v>#NUM!</v>
      </c>
      <c r="G58" s="128"/>
      <c r="H58" s="128"/>
      <c r="I58" s="128"/>
      <c r="Q58" s="128"/>
      <c r="R58" s="128"/>
      <c r="S58" s="128"/>
      <c r="T58" s="128"/>
      <c r="U58" s="128"/>
      <c r="V58" s="128"/>
      <c r="W58" s="128"/>
      <c r="X58" s="133">
        <v>536</v>
      </c>
      <c r="Y58" s="133">
        <v>560</v>
      </c>
      <c r="Z58" s="130"/>
      <c r="AA58" s="130"/>
      <c r="AB58" s="130"/>
      <c r="AC58" s="130"/>
      <c r="AD58" s="130"/>
      <c r="AE58" s="130"/>
      <c r="AF58" s="140"/>
      <c r="AG58" s="140"/>
      <c r="AH58" s="132"/>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row>
    <row r="59" spans="1:73" s="166" customFormat="1" ht="12.75">
      <c r="A59" s="128"/>
      <c r="B59" s="128"/>
      <c r="C59" s="162" t="s">
        <v>131</v>
      </c>
      <c r="D59" s="128"/>
      <c r="E59" s="128"/>
      <c r="F59" s="132" t="e">
        <f>IMDIV(IMPRODUCT(IMDIV(IMPRODUCT(IMSUM(IMDIV(1,COMPLEX(0,wCO*COUT*10^-6)),ESR*10^-3),IMSUM(IMDIV(1,COMPLEX(0,wCO*MLCC*10^-6)),MLCC_ESR*10^-3)),IMSUM(IMSUM(IMDIV(1,COMPLEX(0,wCO*COUT*10^-6)),ESR*10^-3),IMSUM(IMDIV(1,COMPLEX(0,wCO*MLCC*10^-6)),MLCC_ESR*10^-3))),VOUT/IOUT_max),IMSUM(IMDIV(IMPRODUCT(IMSUM(IMDIV(1,COMPLEX(0,wCO*COUT*10^-6)),ESR*10^-3),IMSUM(IMDIV(1,COMPLEX(0,wCO*MLCC*10^-6)),MLCC_ESR*10^-3)),IMSUM(IMSUM(IMDIV(1,COMPLEX(0,wCO*COUT*10^-6)),ESR*10^-3),IMSUM(IMDIV(1,COMPLEX(0,wCO*MLCC*10^-6)),MLCC_ESR*10^-3))),VOUT/IOUT_max))</f>
        <v>#NUM!</v>
      </c>
      <c r="G59" s="128"/>
      <c r="H59" s="128"/>
      <c r="I59" s="128"/>
      <c r="Q59" s="128"/>
      <c r="R59" s="128"/>
      <c r="S59" s="128"/>
      <c r="T59" s="128"/>
      <c r="U59" s="128"/>
      <c r="V59" s="128"/>
      <c r="W59" s="128"/>
      <c r="X59" s="133">
        <v>560</v>
      </c>
      <c r="Y59" s="133">
        <v>562</v>
      </c>
      <c r="Z59" s="130"/>
      <c r="AA59" s="130"/>
      <c r="AB59" s="130"/>
      <c r="AC59" s="130"/>
      <c r="AD59" s="130"/>
      <c r="AE59" s="130"/>
      <c r="AF59" s="140"/>
      <c r="AG59" s="140"/>
      <c r="AH59" s="132"/>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row>
    <row r="60" spans="1:73" s="166" customFormat="1" ht="12.75">
      <c r="A60" s="128"/>
      <c r="B60" s="128"/>
      <c r="C60" s="162" t="s">
        <v>132</v>
      </c>
      <c r="D60" s="128"/>
      <c r="E60" s="128"/>
      <c r="F60" s="132" t="str">
        <f>COMPLEX(DCR*10^-3,wCO*LOUT*10^-6)</f>
        <v>0</v>
      </c>
      <c r="G60" s="128"/>
      <c r="H60" s="128"/>
      <c r="I60" s="128"/>
      <c r="Q60" s="128"/>
      <c r="R60" s="128"/>
      <c r="S60" s="128"/>
      <c r="T60" s="128"/>
      <c r="U60" s="128"/>
      <c r="V60" s="128"/>
      <c r="W60" s="128"/>
      <c r="X60" s="133">
        <v>562</v>
      </c>
      <c r="Y60" s="133">
        <v>590</v>
      </c>
      <c r="Z60" s="130"/>
      <c r="AA60" s="130"/>
      <c r="AB60" s="130"/>
      <c r="AC60" s="130"/>
      <c r="AD60" s="130"/>
      <c r="AE60" s="130"/>
      <c r="AF60" s="140"/>
      <c r="AG60" s="140"/>
      <c r="AH60" s="132"/>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row>
    <row r="61" spans="1:73" s="166" customFormat="1" ht="12.75">
      <c r="A61" s="128"/>
      <c r="B61" s="128"/>
      <c r="C61" s="162" t="s">
        <v>133</v>
      </c>
      <c r="D61" s="128"/>
      <c r="E61" s="162"/>
      <c r="F61" s="132" t="e">
        <f>IMDIV(F59,IMSUM(F60,F59))</f>
        <v>#NUM!</v>
      </c>
      <c r="G61" s="128"/>
      <c r="H61" s="128"/>
      <c r="I61" s="128"/>
      <c r="Q61" s="128"/>
      <c r="R61" s="128"/>
      <c r="S61" s="128"/>
      <c r="T61" s="128"/>
      <c r="U61" s="128"/>
      <c r="V61" s="128"/>
      <c r="W61" s="128"/>
      <c r="X61" s="133">
        <v>590</v>
      </c>
      <c r="Y61" s="133">
        <v>619</v>
      </c>
      <c r="Z61" s="130"/>
      <c r="AA61" s="130"/>
      <c r="AB61" s="130"/>
      <c r="AC61" s="130"/>
      <c r="AD61" s="130"/>
      <c r="AE61" s="130"/>
      <c r="AF61" s="140"/>
      <c r="AG61" s="140"/>
      <c r="AH61" s="132"/>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row>
    <row r="62" spans="1:73" s="166" customFormat="1" ht="12.75">
      <c r="A62" s="128"/>
      <c r="B62" s="128"/>
      <c r="C62" s="131" t="s">
        <v>41</v>
      </c>
      <c r="D62" s="128"/>
      <c r="E62" s="128"/>
      <c r="F62" s="165" t="e">
        <f>VIN/VRAMP</f>
        <v>#DIV/0!</v>
      </c>
      <c r="G62" s="128"/>
      <c r="H62" s="128"/>
      <c r="I62" s="128"/>
      <c r="Q62" s="128"/>
      <c r="R62" s="128"/>
      <c r="S62" s="128"/>
      <c r="T62" s="128"/>
      <c r="U62" s="128"/>
      <c r="V62" s="128"/>
      <c r="W62" s="128"/>
      <c r="X62" s="133">
        <v>619</v>
      </c>
      <c r="Y62" s="133">
        <v>620</v>
      </c>
      <c r="Z62" s="130"/>
      <c r="AA62" s="130"/>
      <c r="AB62" s="130"/>
      <c r="AC62" s="130"/>
      <c r="AD62" s="130"/>
      <c r="AE62" s="130"/>
      <c r="AF62" s="140"/>
      <c r="AG62" s="140"/>
      <c r="AH62" s="132"/>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row>
    <row r="63" spans="1:73" s="166" customFormat="1" ht="12.75">
      <c r="A63" s="128"/>
      <c r="B63" s="128"/>
      <c r="C63" s="128"/>
      <c r="D63" s="128"/>
      <c r="E63" s="128"/>
      <c r="F63" s="128"/>
      <c r="G63" s="128"/>
      <c r="H63" s="128"/>
      <c r="I63" s="128"/>
      <c r="Q63" s="128"/>
      <c r="R63" s="128"/>
      <c r="S63" s="128"/>
      <c r="T63" s="128"/>
      <c r="U63" s="128"/>
      <c r="V63" s="128"/>
      <c r="W63" s="128"/>
      <c r="X63" s="133">
        <v>620</v>
      </c>
      <c r="Y63" s="133">
        <v>649</v>
      </c>
      <c r="Z63" s="130"/>
      <c r="AA63" s="130"/>
      <c r="AB63" s="130"/>
      <c r="AC63" s="130"/>
      <c r="AD63" s="130"/>
      <c r="AE63" s="130"/>
      <c r="AF63" s="140"/>
      <c r="AG63" s="140"/>
      <c r="AH63" s="132"/>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row>
    <row r="64" spans="1:73" s="166" customFormat="1" ht="12.75">
      <c r="A64" s="153"/>
      <c r="B64" s="153"/>
      <c r="C64" s="153"/>
      <c r="D64" s="153"/>
      <c r="E64" s="128"/>
      <c r="F64" s="128"/>
      <c r="G64" s="128"/>
      <c r="H64" s="128"/>
      <c r="I64" s="128"/>
      <c r="Q64" s="128"/>
      <c r="R64" s="128"/>
      <c r="S64" s="128"/>
      <c r="T64" s="128"/>
      <c r="U64" s="128"/>
      <c r="V64" s="128"/>
      <c r="W64" s="128"/>
      <c r="X64" s="133">
        <v>649</v>
      </c>
      <c r="Y64" s="133">
        <v>680</v>
      </c>
      <c r="Z64" s="130"/>
      <c r="AA64" s="130"/>
      <c r="AB64" s="130"/>
      <c r="AC64" s="130"/>
      <c r="AD64" s="130"/>
      <c r="AE64" s="130"/>
      <c r="AF64" s="130"/>
      <c r="AG64" s="130"/>
      <c r="AH64" s="132"/>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row>
    <row r="65" spans="1:73" s="166" customFormat="1" ht="12.75">
      <c r="A65" s="153"/>
      <c r="B65" s="171" t="s">
        <v>106</v>
      </c>
      <c r="C65" s="172" t="s">
        <v>79</v>
      </c>
      <c r="D65" s="135"/>
      <c r="E65" s="128"/>
      <c r="F65" s="128"/>
      <c r="G65" s="128"/>
      <c r="H65" s="128"/>
      <c r="I65" s="128"/>
      <c r="Q65" s="128"/>
      <c r="R65" s="128"/>
      <c r="S65" s="128"/>
      <c r="T65" s="128"/>
      <c r="U65" s="128"/>
      <c r="V65" s="128"/>
      <c r="W65" s="128"/>
      <c r="X65" s="133">
        <v>680</v>
      </c>
      <c r="Y65" s="133">
        <v>681</v>
      </c>
      <c r="Z65" s="130"/>
      <c r="AA65" s="130"/>
      <c r="AB65" s="130"/>
      <c r="AC65" s="130"/>
      <c r="AD65" s="130"/>
      <c r="AE65" s="130"/>
      <c r="AF65" s="130"/>
      <c r="AG65" s="130"/>
      <c r="AH65" s="132"/>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row>
    <row r="66" spans="1:73" s="166" customFormat="1" ht="12.75">
      <c r="A66" s="135" t="s">
        <v>1</v>
      </c>
      <c r="B66" s="173">
        <f>IF(C65="NO",VLOOKUP(IC,R5:V33,2),C66)</f>
        <v>0</v>
      </c>
      <c r="C66" s="174">
        <v>1.5</v>
      </c>
      <c r="D66" s="135" t="s">
        <v>3</v>
      </c>
      <c r="E66" s="128"/>
      <c r="F66" s="128"/>
      <c r="G66" s="128"/>
      <c r="H66" s="128"/>
      <c r="I66" s="128"/>
      <c r="Q66" s="128"/>
      <c r="R66" s="128"/>
      <c r="S66" s="128"/>
      <c r="T66" s="128"/>
      <c r="U66" s="128"/>
      <c r="V66" s="128"/>
      <c r="W66" s="128"/>
      <c r="X66" s="133">
        <v>681</v>
      </c>
      <c r="Y66" s="133">
        <v>715</v>
      </c>
      <c r="Z66" s="130"/>
      <c r="AA66" s="130"/>
      <c r="AB66" s="130"/>
      <c r="AC66" s="130"/>
      <c r="AD66" s="130"/>
      <c r="AE66" s="130"/>
      <c r="AF66" s="130"/>
      <c r="AG66" s="130"/>
      <c r="AH66" s="132"/>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row>
    <row r="67" spans="1:73" s="166" customFormat="1" ht="12.75">
      <c r="A67" s="135" t="s">
        <v>21</v>
      </c>
      <c r="B67" s="175">
        <f>IF(C65="NO",VLOOKUP(IC,R5:V33,3),C67)</f>
        <v>0.6</v>
      </c>
      <c r="C67" s="176">
        <v>0.7</v>
      </c>
      <c r="D67" s="135" t="s">
        <v>3</v>
      </c>
      <c r="E67" s="128"/>
      <c r="Q67" s="128"/>
      <c r="R67" s="128"/>
      <c r="S67" s="128"/>
      <c r="T67" s="128"/>
      <c r="U67" s="128"/>
      <c r="V67" s="128"/>
      <c r="W67" s="128"/>
      <c r="X67" s="133">
        <v>715</v>
      </c>
      <c r="Y67" s="133">
        <v>750</v>
      </c>
      <c r="Z67" s="130"/>
      <c r="AA67" s="130"/>
      <c r="AB67" s="130"/>
      <c r="AC67" s="130"/>
      <c r="AD67" s="130"/>
      <c r="AE67" s="130"/>
      <c r="AF67" s="130"/>
      <c r="AG67" s="130"/>
      <c r="AH67" s="132"/>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row>
    <row r="68" spans="1:73" s="166" customFormat="1" ht="12.75">
      <c r="A68" s="135" t="s">
        <v>27</v>
      </c>
      <c r="B68" s="177">
        <f>IF(C65="NO",VLOOKUP(IC,R5:V33,4),C68)</f>
        <v>24</v>
      </c>
      <c r="C68" s="176">
        <v>5</v>
      </c>
      <c r="D68" s="135" t="s">
        <v>28</v>
      </c>
      <c r="E68" s="128"/>
      <c r="Q68" s="128"/>
      <c r="R68" s="128"/>
      <c r="S68" s="128"/>
      <c r="T68" s="128"/>
      <c r="U68" s="128"/>
      <c r="V68" s="128"/>
      <c r="W68" s="128"/>
      <c r="X68" s="133">
        <v>750</v>
      </c>
      <c r="Y68" s="133">
        <v>787</v>
      </c>
      <c r="Z68" s="130"/>
      <c r="AA68" s="130"/>
      <c r="AB68" s="130"/>
      <c r="AC68" s="130"/>
      <c r="AD68" s="130"/>
      <c r="AE68" s="130"/>
      <c r="AF68" s="130"/>
      <c r="AG68" s="130"/>
      <c r="AH68" s="132"/>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row>
    <row r="69" spans="1:73" s="166" customFormat="1" ht="12.75">
      <c r="A69" s="135" t="s">
        <v>30</v>
      </c>
      <c r="B69" s="178">
        <f>IF(C65="NO",VLOOKUP(IC,R5:V33,5),C69)</f>
        <v>80</v>
      </c>
      <c r="C69" s="176">
        <v>50</v>
      </c>
      <c r="D69" s="135" t="s">
        <v>31</v>
      </c>
      <c r="E69" s="128"/>
      <c r="Q69" s="128"/>
      <c r="R69" s="128"/>
      <c r="S69" s="128"/>
      <c r="T69" s="128"/>
      <c r="U69" s="128"/>
      <c r="V69" s="128"/>
      <c r="W69" s="128"/>
      <c r="X69" s="133">
        <v>787</v>
      </c>
      <c r="Y69" s="133">
        <v>820</v>
      </c>
      <c r="Z69" s="130"/>
      <c r="AA69" s="130"/>
      <c r="AB69" s="130"/>
      <c r="AC69" s="130"/>
      <c r="AD69" s="130"/>
      <c r="AE69" s="130"/>
      <c r="AF69" s="130"/>
      <c r="AG69" s="130"/>
      <c r="AH69" s="132"/>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row>
    <row r="70" spans="1:73" s="166" customFormat="1" ht="12.75">
      <c r="A70" s="153"/>
      <c r="B70" s="153"/>
      <c r="C70" s="153"/>
      <c r="D70" s="153"/>
      <c r="E70" s="128"/>
      <c r="Q70" s="128"/>
      <c r="R70" s="128"/>
      <c r="S70" s="128"/>
      <c r="T70" s="128"/>
      <c r="U70" s="128"/>
      <c r="V70" s="128"/>
      <c r="W70" s="128"/>
      <c r="X70" s="133">
        <v>820</v>
      </c>
      <c r="Y70" s="133">
        <v>825</v>
      </c>
      <c r="Z70" s="130"/>
      <c r="AA70" s="130"/>
      <c r="AB70" s="130"/>
      <c r="AC70" s="130"/>
      <c r="AD70" s="130"/>
      <c r="AE70" s="130"/>
      <c r="AF70" s="130"/>
      <c r="AG70" s="130"/>
      <c r="AH70" s="132"/>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row>
    <row r="71" spans="1:73" s="166" customFormat="1" ht="12.75">
      <c r="A71" s="153"/>
      <c r="B71" s="153"/>
      <c r="C71" s="153"/>
      <c r="D71" s="153"/>
      <c r="E71" s="128"/>
      <c r="Q71" s="128"/>
      <c r="R71" s="128"/>
      <c r="S71" s="128"/>
      <c r="T71" s="128"/>
      <c r="U71" s="128"/>
      <c r="V71" s="128"/>
      <c r="W71" s="128"/>
      <c r="X71" s="133">
        <v>825</v>
      </c>
      <c r="Y71" s="133">
        <v>866</v>
      </c>
      <c r="Z71" s="130"/>
      <c r="AA71" s="130"/>
      <c r="AB71" s="130"/>
      <c r="AC71" s="130"/>
      <c r="AD71" s="130"/>
      <c r="AE71" s="130"/>
      <c r="AF71" s="133"/>
      <c r="AG71" s="130"/>
      <c r="AH71" s="132"/>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row>
    <row r="72" spans="1:73" s="166" customFormat="1" ht="12.75">
      <c r="A72" s="153"/>
      <c r="B72" s="153"/>
      <c r="C72" s="153"/>
      <c r="D72" s="153"/>
      <c r="E72" s="128"/>
      <c r="Q72" s="128"/>
      <c r="R72" s="128"/>
      <c r="S72" s="128"/>
      <c r="T72" s="128"/>
      <c r="U72" s="128"/>
      <c r="V72" s="128"/>
      <c r="W72" s="128"/>
      <c r="X72" s="133">
        <v>866</v>
      </c>
      <c r="Y72" s="133">
        <v>909</v>
      </c>
      <c r="Z72" s="130"/>
      <c r="AA72" s="130"/>
      <c r="AB72" s="130"/>
      <c r="AC72" s="130"/>
      <c r="AD72" s="130"/>
      <c r="AE72" s="130"/>
      <c r="AF72" s="130"/>
      <c r="AG72" s="130"/>
      <c r="AH72" s="132"/>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row>
    <row r="73" spans="1:73" s="166" customFormat="1" ht="12.75">
      <c r="A73" s="153"/>
      <c r="B73" s="153"/>
      <c r="C73" s="153"/>
      <c r="D73" s="153" t="e">
        <f>MIN(A80:A330)</f>
        <v>#DIV/0!</v>
      </c>
      <c r="E73" s="128"/>
      <c r="G73" s="166" t="s">
        <v>152</v>
      </c>
      <c r="Q73" s="128"/>
      <c r="R73" s="128"/>
      <c r="S73" s="128"/>
      <c r="T73" s="128"/>
      <c r="U73" s="128"/>
      <c r="V73" s="128"/>
      <c r="W73" s="128"/>
      <c r="X73" s="133">
        <v>909</v>
      </c>
      <c r="Y73" s="133">
        <v>910</v>
      </c>
      <c r="Z73" s="130"/>
      <c r="AA73" s="130"/>
      <c r="AB73" s="130"/>
      <c r="AC73" s="130"/>
      <c r="AD73" s="130"/>
      <c r="AE73" s="130"/>
      <c r="AF73" s="133"/>
      <c r="AG73" s="130"/>
      <c r="AH73" s="132"/>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row>
    <row r="74" spans="3:105" s="166" customFormat="1" ht="12.75">
      <c r="C74" s="179"/>
      <c r="D74" s="166" t="e">
        <f>VLOOKUP(MIN(A80:A330),A80:E330,3,FALSE)</f>
        <v>#DIV/0!</v>
      </c>
      <c r="E74" s="162"/>
      <c r="F74" s="180" t="e">
        <f>VLOOKUP(D73,A80:E330,4,FALSE)</f>
        <v>#DIV/0!</v>
      </c>
      <c r="G74" s="181" t="e">
        <f>VLOOKUP(D73,A80:E330,5,FALSE)</f>
        <v>#DIV/0!</v>
      </c>
      <c r="I74" s="182" t="e">
        <f>F74-F75</f>
        <v>#DIV/0!</v>
      </c>
      <c r="J74" s="162"/>
      <c r="K74" s="183"/>
      <c r="L74" s="162"/>
      <c r="M74" s="162"/>
      <c r="N74" s="131"/>
      <c r="O74" s="131"/>
      <c r="Q74" s="128"/>
      <c r="R74" s="128"/>
      <c r="S74" s="128"/>
      <c r="T74" s="128"/>
      <c r="U74" s="128"/>
      <c r="V74" s="128"/>
      <c r="W74" s="128"/>
      <c r="X74" s="133">
        <v>910</v>
      </c>
      <c r="Y74" s="133">
        <v>953</v>
      </c>
      <c r="Z74" s="130"/>
      <c r="AA74" s="130"/>
      <c r="AB74" s="130"/>
      <c r="AC74" s="130"/>
      <c r="AD74" s="130"/>
      <c r="AE74" s="130"/>
      <c r="AF74" s="130"/>
      <c r="AG74" s="130"/>
      <c r="AH74" s="132"/>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row>
    <row r="75" spans="1:73" s="166" customFormat="1" ht="12.75">
      <c r="A75" s="132"/>
      <c r="B75" s="184"/>
      <c r="C75" s="132"/>
      <c r="D75" s="132" t="e">
        <f>IF(F74&gt;0,10^(LOG(D74)+0.02),10^(LOG(D74)-0.02))</f>
        <v>#DIV/0!</v>
      </c>
      <c r="E75" s="132"/>
      <c r="F75" s="181" t="e">
        <f>VLOOKUP(D75,C80:E330,2)</f>
        <v>#DIV/0!</v>
      </c>
      <c r="G75" s="181" t="e">
        <f>VLOOKUP(D75,C80:E330,3)</f>
        <v>#DIV/0!</v>
      </c>
      <c r="I75" s="185" t="e">
        <f>F74/((F74-F75)/0.02)</f>
        <v>#DIV/0!</v>
      </c>
      <c r="J75" s="185" t="e">
        <f>(G75-G74)/0.02*I75</f>
        <v>#DIV/0!</v>
      </c>
      <c r="K75" s="186"/>
      <c r="L75" s="132"/>
      <c r="M75" s="132"/>
      <c r="N75" s="165"/>
      <c r="O75" s="164"/>
      <c r="Q75" s="128"/>
      <c r="R75" s="128"/>
      <c r="S75" s="128"/>
      <c r="T75" s="128"/>
      <c r="U75" s="128"/>
      <c r="V75" s="128"/>
      <c r="W75" s="128"/>
      <c r="X75" s="133">
        <v>953</v>
      </c>
      <c r="Y75" s="133">
        <v>1000</v>
      </c>
      <c r="Z75" s="130"/>
      <c r="AA75" s="130"/>
      <c r="AB75" s="130"/>
      <c r="AC75" s="130"/>
      <c r="AD75" s="130"/>
      <c r="AE75" s="130"/>
      <c r="AF75" s="133"/>
      <c r="AG75" s="130"/>
      <c r="AH75" s="132"/>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row>
    <row r="76" spans="1:248" s="166" customFormat="1" ht="12.75">
      <c r="A76" s="130"/>
      <c r="B76" s="164"/>
      <c r="C76" s="130" t="s">
        <v>153</v>
      </c>
      <c r="D76" s="136" t="e">
        <f>IF(F74&gt;0,10^(LOG(D74)+I75),10^(LOG(D74)-I75))</f>
        <v>#DIV/0!</v>
      </c>
      <c r="E76" s="130"/>
      <c r="F76" s="130"/>
      <c r="G76" s="187" t="e">
        <f>G74+J75</f>
        <v>#DIV/0!</v>
      </c>
      <c r="H76" s="130"/>
      <c r="I76" s="130"/>
      <c r="J76" s="130"/>
      <c r="K76" s="130"/>
      <c r="L76" s="130"/>
      <c r="M76" s="130"/>
      <c r="N76" s="130"/>
      <c r="O76" s="130"/>
      <c r="P76" s="130"/>
      <c r="Q76" s="130"/>
      <c r="R76" s="130"/>
      <c r="S76" s="130"/>
      <c r="T76" s="130"/>
      <c r="U76" s="130"/>
      <c r="V76" s="130"/>
      <c r="W76" s="130"/>
      <c r="X76" s="130"/>
      <c r="Y76" s="130"/>
      <c r="Z76" s="130"/>
      <c r="AA76" s="130"/>
      <c r="AB76" s="130"/>
      <c r="AC76" s="132"/>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88"/>
      <c r="CB76" s="188"/>
      <c r="CC76" s="188"/>
      <c r="CD76" s="188"/>
      <c r="CE76" s="188"/>
      <c r="CF76" s="188"/>
      <c r="CG76" s="188"/>
      <c r="CH76" s="188"/>
      <c r="CI76" s="188"/>
      <c r="CJ76" s="188"/>
      <c r="CK76" s="188"/>
      <c r="CL76" s="188"/>
      <c r="CM76" s="188"/>
      <c r="CN76" s="188"/>
      <c r="CO76" s="188"/>
      <c r="CP76" s="188"/>
      <c r="CQ76" s="188"/>
      <c r="CR76" s="188"/>
      <c r="CS76" s="188"/>
      <c r="CT76" s="188"/>
      <c r="CU76" s="188"/>
      <c r="CV76" s="188"/>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0"/>
      <c r="FX76" s="130"/>
      <c r="FY76" s="130"/>
      <c r="FZ76" s="130"/>
      <c r="GA76" s="130"/>
      <c r="GB76" s="130"/>
      <c r="GC76" s="130"/>
      <c r="GD76" s="130"/>
      <c r="GE76" s="130"/>
      <c r="GF76" s="130"/>
      <c r="GG76" s="130"/>
      <c r="GH76" s="130"/>
      <c r="GI76" s="130"/>
      <c r="GJ76" s="130"/>
      <c r="GK76" s="130"/>
      <c r="GL76" s="130"/>
      <c r="GM76" s="130"/>
      <c r="GN76" s="130"/>
      <c r="GO76" s="130"/>
      <c r="GP76" s="130"/>
      <c r="GQ76" s="130"/>
      <c r="GR76" s="130"/>
      <c r="GS76" s="130"/>
      <c r="GT76" s="130"/>
      <c r="GU76" s="130"/>
      <c r="GV76" s="130"/>
      <c r="GW76" s="130"/>
      <c r="GX76" s="130"/>
      <c r="GY76" s="130"/>
      <c r="GZ76" s="130"/>
      <c r="HA76" s="130"/>
      <c r="HB76" s="130"/>
      <c r="HC76" s="130"/>
      <c r="HD76" s="130"/>
      <c r="HE76" s="130"/>
      <c r="HF76" s="130"/>
      <c r="HG76" s="130"/>
      <c r="HH76" s="130"/>
      <c r="HI76" s="130"/>
      <c r="HJ76" s="130"/>
      <c r="HK76" s="130"/>
      <c r="HL76" s="130"/>
      <c r="HM76" s="130"/>
      <c r="HN76" s="130"/>
      <c r="HO76" s="130"/>
      <c r="HP76" s="130"/>
      <c r="HQ76" s="130"/>
      <c r="HR76" s="130"/>
      <c r="HS76" s="130"/>
      <c r="HT76" s="130"/>
      <c r="HU76" s="130"/>
      <c r="HV76" s="130"/>
      <c r="HW76" s="130"/>
      <c r="HX76" s="130"/>
      <c r="HY76" s="130"/>
      <c r="HZ76" s="130"/>
      <c r="IA76" s="130"/>
      <c r="IB76" s="130"/>
      <c r="IC76" s="130"/>
      <c r="ID76" s="130"/>
      <c r="IE76" s="130"/>
      <c r="IF76" s="130"/>
      <c r="IG76" s="130"/>
      <c r="IH76" s="130"/>
      <c r="II76" s="130"/>
      <c r="IJ76" s="130"/>
      <c r="IK76" s="130"/>
      <c r="IL76" s="130"/>
      <c r="IM76" s="130"/>
      <c r="IN76" s="130"/>
    </row>
    <row r="77" spans="4:100" s="166" customFormat="1" ht="12.75">
      <c r="D77" s="129" t="s">
        <v>26</v>
      </c>
      <c r="H77" s="131" t="s">
        <v>40</v>
      </c>
      <c r="N77" s="186"/>
      <c r="Q77" s="128"/>
      <c r="R77" s="128"/>
      <c r="S77" s="131" t="s">
        <v>98</v>
      </c>
      <c r="T77" s="128"/>
      <c r="U77" s="131" t="s">
        <v>5</v>
      </c>
      <c r="V77" s="130"/>
      <c r="W77" s="132"/>
      <c r="X77" s="130"/>
      <c r="Y77" s="130"/>
      <c r="Z77" s="130"/>
      <c r="AA77" s="133"/>
      <c r="AB77" s="130"/>
      <c r="AC77" s="132"/>
      <c r="AD77" s="130"/>
      <c r="AE77" s="130"/>
      <c r="AF77" s="130"/>
      <c r="AG77" s="128"/>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CA77" s="188"/>
      <c r="CB77" s="188"/>
      <c r="CC77" s="188"/>
      <c r="CD77" s="188"/>
      <c r="CE77" s="188"/>
      <c r="CF77" s="188"/>
      <c r="CG77" s="188"/>
      <c r="CH77" s="188"/>
      <c r="CI77" s="188"/>
      <c r="CJ77" s="188"/>
      <c r="CK77" s="188"/>
      <c r="CL77" s="188"/>
      <c r="CM77" s="188"/>
      <c r="CN77" s="188"/>
      <c r="CO77" s="188"/>
      <c r="CP77" s="188"/>
      <c r="CQ77" s="188"/>
      <c r="CR77" s="188"/>
      <c r="CS77" s="188"/>
      <c r="CT77" s="188"/>
      <c r="CU77" s="188"/>
      <c r="CV77" s="188"/>
    </row>
    <row r="78" spans="3:100" s="188" customFormat="1" ht="12.75">
      <c r="C78" s="189"/>
      <c r="D78" s="163" t="s">
        <v>54</v>
      </c>
      <c r="E78" s="163" t="s">
        <v>55</v>
      </c>
      <c r="F78" s="189"/>
      <c r="G78" s="189"/>
      <c r="H78" s="189"/>
      <c r="I78" s="189"/>
      <c r="J78" s="189"/>
      <c r="K78" s="189"/>
      <c r="L78" s="189"/>
      <c r="M78" s="189"/>
      <c r="N78" s="189"/>
      <c r="O78" s="189"/>
      <c r="P78" s="189"/>
      <c r="Q78" s="161"/>
      <c r="R78" s="161"/>
      <c r="S78" s="161"/>
      <c r="T78" s="162" t="s">
        <v>25</v>
      </c>
      <c r="U78" s="162" t="s">
        <v>50</v>
      </c>
      <c r="V78" s="162" t="s">
        <v>51</v>
      </c>
      <c r="W78" s="162" t="s">
        <v>29</v>
      </c>
      <c r="X78" s="163" t="s">
        <v>149</v>
      </c>
      <c r="Y78" s="161" t="s">
        <v>141</v>
      </c>
      <c r="Z78" s="128" t="s">
        <v>142</v>
      </c>
      <c r="AA78" s="130"/>
      <c r="AB78" s="130"/>
      <c r="AC78" s="132"/>
      <c r="AD78" s="130"/>
      <c r="AE78" s="130"/>
      <c r="AF78" s="129"/>
      <c r="AG78" s="129"/>
      <c r="AH78" s="129"/>
      <c r="AI78" s="129"/>
      <c r="AJ78" s="129"/>
      <c r="AK78" s="129"/>
      <c r="AL78" s="129"/>
      <c r="AM78" s="129"/>
      <c r="AN78" s="129"/>
      <c r="AO78" s="129"/>
      <c r="AP78" s="129"/>
      <c r="AQ78" s="129"/>
      <c r="AR78" s="129"/>
      <c r="AS78" s="129"/>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row>
    <row r="79" spans="3:100" s="188" customFormat="1" ht="12.75">
      <c r="C79" s="162" t="s">
        <v>4</v>
      </c>
      <c r="D79" s="163"/>
      <c r="E79" s="163"/>
      <c r="F79" s="162"/>
      <c r="G79" s="162"/>
      <c r="H79" s="162" t="s">
        <v>128</v>
      </c>
      <c r="I79" s="162" t="s">
        <v>129</v>
      </c>
      <c r="J79" s="162" t="s">
        <v>130</v>
      </c>
      <c r="K79" s="162"/>
      <c r="L79" s="162" t="s">
        <v>131</v>
      </c>
      <c r="M79" s="162" t="s">
        <v>132</v>
      </c>
      <c r="N79" s="162" t="s">
        <v>133</v>
      </c>
      <c r="O79" s="162" t="s">
        <v>43</v>
      </c>
      <c r="P79" s="162" t="s">
        <v>44</v>
      </c>
      <c r="Q79" s="162" t="s">
        <v>2</v>
      </c>
      <c r="R79" s="162"/>
      <c r="S79" s="131" t="s">
        <v>42</v>
      </c>
      <c r="T79" s="162"/>
      <c r="U79" s="132"/>
      <c r="V79" s="132"/>
      <c r="W79" s="132"/>
      <c r="X79" s="132"/>
      <c r="Y79" s="129"/>
      <c r="Z79" s="129"/>
      <c r="AA79" s="133"/>
      <c r="AB79" s="130"/>
      <c r="AC79" s="132"/>
      <c r="AD79" s="130"/>
      <c r="AE79" s="130"/>
      <c r="AF79" s="129"/>
      <c r="AG79" s="129"/>
      <c r="AH79" s="129"/>
      <c r="AI79" s="129"/>
      <c r="AJ79" s="129"/>
      <c r="AK79" s="129"/>
      <c r="AL79" s="129"/>
      <c r="AM79" s="129"/>
      <c r="AN79" s="129"/>
      <c r="AO79" s="129"/>
      <c r="AP79" s="129"/>
      <c r="AQ79" s="129"/>
      <c r="AR79" s="129"/>
      <c r="AS79" s="129"/>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row>
    <row r="80" spans="1:45" s="166" customFormat="1" ht="12.75">
      <c r="A80" s="132" t="e">
        <f aca="true" t="shared" si="0" ref="A80:A144">ROUND(ABS(D80),3)</f>
        <v>#DIV/0!</v>
      </c>
      <c r="B80" s="132">
        <f>LOG(C80)</f>
        <v>1</v>
      </c>
      <c r="C80" s="132">
        <v>10</v>
      </c>
      <c r="D80" s="137" t="e">
        <f aca="true" t="shared" si="1" ref="D80:D143">S80+U80</f>
        <v>#DIV/0!</v>
      </c>
      <c r="E80" s="137" t="e">
        <f aca="true" t="shared" si="2" ref="E80:E143">P80+V80</f>
        <v>#DIV/0!</v>
      </c>
      <c r="G80" s="132"/>
      <c r="H80" s="184" t="str">
        <f aca="true" t="shared" si="3" ref="H80:H143">IMSUM(IMDIV(1,COMPLEX(0,Q80*COUT*10^-6)),ESR*10^-3)</f>
        <v>1E+47-1.59154943091895E+54i</v>
      </c>
      <c r="I80" s="132" t="str">
        <f>IMSUM(IMDIV(1,COMPLEX(0,Q80*MLCC*10^-6)),MLCC_ESR*10^-3)</f>
        <v>1E+47-1.59154943091895E+54i</v>
      </c>
      <c r="J80" s="132" t="str">
        <f aca="true" t="shared" si="4" ref="J80:J143">IMDIV(IMPRODUCT(H80,I80),IMSUM(H80,I80))</f>
        <v>5.00000000000001E+46-7.95774715459474E+53i</v>
      </c>
      <c r="K80" s="132"/>
      <c r="L80" s="132" t="e">
        <f aca="true" t="shared" si="5" ref="L80:L143">IMDIV(IMPRODUCT(J80,VOUT/IOUT_max),IMSUM(J80,VOUT/IOUT_max))</f>
        <v>#DIV/0!</v>
      </c>
      <c r="M80" s="132" t="str">
        <f aca="true" t="shared" si="6" ref="M80:M143">COMPLEX(DCR*10^-3,Q80*LOUT*10^-6)</f>
        <v>0</v>
      </c>
      <c r="N80" s="132" t="e">
        <f aca="true" t="shared" si="7" ref="N80:N143">IMDIV(L80,IMSUM(M80,L80))</f>
        <v>#DIV/0!</v>
      </c>
      <c r="O80" s="185" t="e">
        <f aca="true" t="shared" si="8" ref="O80:O143">20*LOG(IMABS(N80))</f>
        <v>#DIV/0!</v>
      </c>
      <c r="P80" s="185" t="e">
        <f aca="true" t="shared" si="9" ref="P80:P143">180/PI()*IMARGUMENT(N80)</f>
        <v>#DIV/0!</v>
      </c>
      <c r="Q80" s="132">
        <f aca="true" t="shared" si="10" ref="Q80:Q143">2*PI()*C80</f>
        <v>62.83185307179586</v>
      </c>
      <c r="R80" s="132">
        <v>1</v>
      </c>
      <c r="S80" s="164" t="e">
        <f aca="true" t="shared" si="11" ref="S80:S143">20*LOG(IMABS(N80)*$F$62)</f>
        <v>#DIV/0!</v>
      </c>
      <c r="T80" s="132" t="e">
        <f aca="true" t="shared" si="12" ref="T80:T143">COMPLEX(1,Q80*(R_1+R_2)*C_1*10^-12)</f>
        <v>#NUM!</v>
      </c>
      <c r="U80" s="138" t="e">
        <f aca="true" t="shared" si="13" ref="U80:U143">20*LOG(IMABS(AE89))</f>
        <v>#NUM!</v>
      </c>
      <c r="V80" s="132" t="e">
        <f aca="true" t="shared" si="14" ref="V80:V143">IF(180/PI()*IMARGUMENT(AE89)&lt;0,180/PI()*IMARGUMENT(AE89)+360,180/PI()*IMARGUMENT(AE89))</f>
        <v>#NUM!</v>
      </c>
      <c r="W80" s="132">
        <f aca="true" t="shared" si="15" ref="W80:W143">20*LOG(IMABS(Y80))</f>
        <v>79.9999246023026</v>
      </c>
      <c r="X80" s="138">
        <f aca="true" t="shared" si="16" ref="X80:X143">180/PI()*IMARGUMENT(Y80)</f>
        <v>-0.23878832887842194</v>
      </c>
      <c r="Y80" s="128" t="str">
        <f aca="true" t="shared" si="17" ref="Y80:Y143">IMDIV(10^(DCGAIN/20),IMPRODUCT(COMPLEX(1,2*PI()*C80/(2*PI()*(GBWP*10^6/10^(DCGAIN/20)))),COMPLEX(1,2*PI()*C80/(2*PI()*EAP*10^6))))</f>
        <v>9999.82635022698-41.6759431259458i</v>
      </c>
      <c r="Z80" s="128" t="e">
        <f aca="true" t="shared" si="18" ref="Z80:Z143">IMDIV(1,COMPLEX(0,2*PI()*C80*C_3*10^-12))</f>
        <v>#NUM!</v>
      </c>
      <c r="AA80" s="130"/>
      <c r="AB80" s="130"/>
      <c r="AC80" s="132"/>
      <c r="AD80" s="130"/>
      <c r="AE80" s="130"/>
      <c r="AF80" s="130"/>
      <c r="AG80" s="130"/>
      <c r="AH80" s="130"/>
      <c r="AI80" s="130"/>
      <c r="AJ80" s="130"/>
      <c r="AK80" s="130"/>
      <c r="AL80" s="130"/>
      <c r="AM80" s="130"/>
      <c r="AN80" s="130"/>
      <c r="AO80" s="130"/>
      <c r="AP80" s="130"/>
      <c r="AQ80" s="130"/>
      <c r="AR80" s="130"/>
      <c r="AS80" s="130"/>
    </row>
    <row r="81" spans="1:45" s="166" customFormat="1" ht="12.75">
      <c r="A81" s="132" t="e">
        <f t="shared" si="0"/>
        <v>#DIV/0!</v>
      </c>
      <c r="B81" s="132">
        <f aca="true" t="shared" si="19" ref="B81:B144">LOG(C81)</f>
        <v>1.0200000000000002</v>
      </c>
      <c r="C81" s="138">
        <f aca="true" t="shared" si="20" ref="C81:C143">10^R81</f>
        <v>10.471285480509</v>
      </c>
      <c r="D81" s="137" t="e">
        <f t="shared" si="1"/>
        <v>#DIV/0!</v>
      </c>
      <c r="E81" s="132" t="e">
        <f t="shared" si="2"/>
        <v>#DIV/0!</v>
      </c>
      <c r="G81" s="138"/>
      <c r="H81" s="184" t="str">
        <f t="shared" si="3"/>
        <v>1E+47-1.51991790681423E+54i</v>
      </c>
      <c r="I81" s="132" t="str">
        <f>IMSUM(IMDIV(1,COMPLEX(0,Q81*MLCC*10^-6)),MLCC_ESR*10^-3)</f>
        <v>1E+47-1.51991790681423E+54i</v>
      </c>
      <c r="J81" s="132" t="str">
        <f t="shared" si="4"/>
        <v>5E+46-7.59958953407115E+53i</v>
      </c>
      <c r="K81" s="132"/>
      <c r="L81" s="132" t="e">
        <f t="shared" si="5"/>
        <v>#DIV/0!</v>
      </c>
      <c r="M81" s="132" t="str">
        <f t="shared" si="6"/>
        <v>0</v>
      </c>
      <c r="N81" s="132" t="e">
        <f t="shared" si="7"/>
        <v>#DIV/0!</v>
      </c>
      <c r="O81" s="185" t="e">
        <f t="shared" si="8"/>
        <v>#DIV/0!</v>
      </c>
      <c r="P81" s="185" t="e">
        <f t="shared" si="9"/>
        <v>#DIV/0!</v>
      </c>
      <c r="Q81" s="132">
        <f t="shared" si="10"/>
        <v>65.79302707841708</v>
      </c>
      <c r="R81" s="132">
        <f aca="true" t="shared" si="21" ref="R81:R144">R80+0.02</f>
        <v>1.02</v>
      </c>
      <c r="S81" s="164" t="e">
        <f t="shared" si="11"/>
        <v>#DIV/0!</v>
      </c>
      <c r="T81" s="132" t="e">
        <f t="shared" si="12"/>
        <v>#NUM!</v>
      </c>
      <c r="U81" s="138" t="e">
        <f t="shared" si="13"/>
        <v>#NUM!</v>
      </c>
      <c r="V81" s="132" t="e">
        <f t="shared" si="14"/>
        <v>#NUM!</v>
      </c>
      <c r="W81" s="132">
        <f t="shared" si="15"/>
        <v>79.99991732813798</v>
      </c>
      <c r="X81" s="138">
        <f t="shared" si="16"/>
        <v>-0.25004193654148443</v>
      </c>
      <c r="Y81" s="128" t="str">
        <f t="shared" si="17"/>
        <v>9999.80959712902-43.6399967197604i</v>
      </c>
      <c r="Z81" s="128" t="e">
        <f t="shared" si="18"/>
        <v>#NUM!</v>
      </c>
      <c r="AA81" s="133"/>
      <c r="AB81" s="130"/>
      <c r="AC81" s="132"/>
      <c r="AD81" s="130"/>
      <c r="AE81" s="130"/>
      <c r="AF81" s="130"/>
      <c r="AG81" s="130"/>
      <c r="AH81" s="130"/>
      <c r="AI81" s="130"/>
      <c r="AJ81" s="130"/>
      <c r="AK81" s="130"/>
      <c r="AL81" s="130"/>
      <c r="AM81" s="130"/>
      <c r="AN81" s="130"/>
      <c r="AO81" s="130"/>
      <c r="AP81" s="130"/>
      <c r="AQ81" s="130"/>
      <c r="AR81" s="130"/>
      <c r="AS81" s="130"/>
    </row>
    <row r="82" spans="1:45" s="166" customFormat="1" ht="12.75">
      <c r="A82" s="132" t="e">
        <f t="shared" si="0"/>
        <v>#DIV/0!</v>
      </c>
      <c r="B82" s="132">
        <f t="shared" si="19"/>
        <v>1.04</v>
      </c>
      <c r="C82" s="138">
        <f t="shared" si="20"/>
        <v>10.964781961431854</v>
      </c>
      <c r="D82" s="137" t="e">
        <f t="shared" si="1"/>
        <v>#DIV/0!</v>
      </c>
      <c r="E82" s="132" t="e">
        <f t="shared" si="2"/>
        <v>#DIV/0!</v>
      </c>
      <c r="G82" s="138"/>
      <c r="H82" s="184" t="str">
        <f t="shared" si="3"/>
        <v>1E+47-1.45151033236881E+54i</v>
      </c>
      <c r="I82" s="132" t="str">
        <f>IMSUM(IMDIV(1,COMPLEX(0,Q82*MLCC*10^-6)),MLCC_ESR*10^-3)</f>
        <v>1E+47-1.45151033236881E+54i</v>
      </c>
      <c r="J82" s="132" t="str">
        <f t="shared" si="4"/>
        <v>5.00000000000001E+46-7.25755166184404E+53i</v>
      </c>
      <c r="K82" s="132"/>
      <c r="L82" s="132" t="e">
        <f t="shared" si="5"/>
        <v>#DIV/0!</v>
      </c>
      <c r="M82" s="132" t="str">
        <f t="shared" si="6"/>
        <v>0</v>
      </c>
      <c r="N82" s="132" t="e">
        <f t="shared" si="7"/>
        <v>#DIV/0!</v>
      </c>
      <c r="O82" s="185" t="e">
        <f t="shared" si="8"/>
        <v>#DIV/0!</v>
      </c>
      <c r="P82" s="185" t="e">
        <f t="shared" si="9"/>
        <v>#DIV/0!</v>
      </c>
      <c r="Q82" s="132">
        <f t="shared" si="10"/>
        <v>68.89375691649639</v>
      </c>
      <c r="R82" s="132">
        <f t="shared" si="21"/>
        <v>1.04</v>
      </c>
      <c r="S82" s="164" t="e">
        <f t="shared" si="11"/>
        <v>#DIV/0!</v>
      </c>
      <c r="T82" s="132" t="e">
        <f t="shared" si="12"/>
        <v>#NUM!</v>
      </c>
      <c r="U82" s="138" t="e">
        <f t="shared" si="13"/>
        <v>#NUM!</v>
      </c>
      <c r="V82" s="132" t="e">
        <f t="shared" si="14"/>
        <v>#NUM!</v>
      </c>
      <c r="W82" s="132">
        <f t="shared" si="15"/>
        <v>79.99990935218912</v>
      </c>
      <c r="X82" s="138">
        <f t="shared" si="16"/>
        <v>-0.26182588971680304</v>
      </c>
      <c r="Y82" s="128" t="str">
        <f t="shared" si="17"/>
        <v>9999.79122778691-45.6966024788457i</v>
      </c>
      <c r="Z82" s="128" t="e">
        <f t="shared" si="18"/>
        <v>#NUM!</v>
      </c>
      <c r="AA82" s="130"/>
      <c r="AB82" s="130"/>
      <c r="AC82" s="132"/>
      <c r="AD82" s="130"/>
      <c r="AE82" s="130"/>
      <c r="AF82" s="130"/>
      <c r="AG82" s="130"/>
      <c r="AH82" s="130"/>
      <c r="AI82" s="130"/>
      <c r="AJ82" s="130"/>
      <c r="AK82" s="130"/>
      <c r="AL82" s="130"/>
      <c r="AM82" s="130"/>
      <c r="AN82" s="130"/>
      <c r="AO82" s="130"/>
      <c r="AP82" s="130"/>
      <c r="AQ82" s="130"/>
      <c r="AR82" s="130"/>
      <c r="AS82" s="130"/>
    </row>
    <row r="83" spans="1:45" s="166" customFormat="1" ht="12.75">
      <c r="A83" s="132" t="e">
        <f t="shared" si="0"/>
        <v>#DIV/0!</v>
      </c>
      <c r="B83" s="132">
        <f t="shared" si="19"/>
        <v>1.0600000000000003</v>
      </c>
      <c r="C83" s="138">
        <f t="shared" si="20"/>
        <v>11.481536214968834</v>
      </c>
      <c r="D83" s="137" t="e">
        <f t="shared" si="1"/>
        <v>#DIV/0!</v>
      </c>
      <c r="E83" s="132" t="e">
        <f t="shared" si="2"/>
        <v>#DIV/0!</v>
      </c>
      <c r="G83" s="138"/>
      <c r="H83" s="184" t="str">
        <f t="shared" si="3"/>
        <v>1E+47-1.38618160594573E+54i</v>
      </c>
      <c r="I83" s="132" t="str">
        <f>IMSUM(IMDIV(1,COMPLEX(0,Q83*MLCC*10^-6)),MLCC_ESR*10^-3)</f>
        <v>1E+47-1.38618160594573E+54i</v>
      </c>
      <c r="J83" s="132" t="str">
        <f t="shared" si="4"/>
        <v>5.00000000000001E+46-6.93090802972864E+53i</v>
      </c>
      <c r="K83" s="132"/>
      <c r="L83" s="132" t="e">
        <f t="shared" si="5"/>
        <v>#DIV/0!</v>
      </c>
      <c r="M83" s="132" t="str">
        <f t="shared" si="6"/>
        <v>0</v>
      </c>
      <c r="N83" s="132" t="e">
        <f t="shared" si="7"/>
        <v>#DIV/0!</v>
      </c>
      <c r="O83" s="185" t="e">
        <f t="shared" si="8"/>
        <v>#DIV/0!</v>
      </c>
      <c r="P83" s="185" t="e">
        <f t="shared" si="9"/>
        <v>#DIV/0!</v>
      </c>
      <c r="Q83" s="132">
        <f t="shared" si="10"/>
        <v>72.1406196497425</v>
      </c>
      <c r="R83" s="132">
        <f t="shared" si="21"/>
        <v>1.06</v>
      </c>
      <c r="S83" s="164" t="e">
        <f t="shared" si="11"/>
        <v>#DIV/0!</v>
      </c>
      <c r="T83" s="132" t="e">
        <f t="shared" si="12"/>
        <v>#NUM!</v>
      </c>
      <c r="U83" s="138" t="e">
        <f t="shared" si="13"/>
        <v>#NUM!</v>
      </c>
      <c r="V83" s="132" t="e">
        <f t="shared" si="14"/>
        <v>#NUM!</v>
      </c>
      <c r="W83" s="132">
        <f t="shared" si="15"/>
        <v>79.99990060675191</v>
      </c>
      <c r="X83" s="138">
        <f t="shared" si="16"/>
        <v>-0.2741651797550171</v>
      </c>
      <c r="Y83" s="128" t="str">
        <f t="shared" si="17"/>
        <v>9999.77108628135-47.8501206481056i</v>
      </c>
      <c r="Z83" s="128" t="e">
        <f t="shared" si="18"/>
        <v>#NUM!</v>
      </c>
      <c r="AA83" s="133"/>
      <c r="AB83" s="130"/>
      <c r="AC83" s="132"/>
      <c r="AD83" s="130"/>
      <c r="AE83" s="130"/>
      <c r="AF83" s="130"/>
      <c r="AG83" s="130"/>
      <c r="AH83" s="130"/>
      <c r="AI83" s="130"/>
      <c r="AJ83" s="130"/>
      <c r="AK83" s="130"/>
      <c r="AL83" s="130"/>
      <c r="AM83" s="130"/>
      <c r="AN83" s="130"/>
      <c r="AO83" s="130"/>
      <c r="AP83" s="130"/>
      <c r="AQ83" s="130"/>
      <c r="AR83" s="130"/>
      <c r="AS83" s="130"/>
    </row>
    <row r="84" spans="1:45" s="166" customFormat="1" ht="12.75">
      <c r="A84" s="132" t="e">
        <f t="shared" si="0"/>
        <v>#DIV/0!</v>
      </c>
      <c r="B84" s="132">
        <f t="shared" si="19"/>
        <v>1.08</v>
      </c>
      <c r="C84" s="138">
        <f t="shared" si="20"/>
        <v>12.022644346174133</v>
      </c>
      <c r="D84" s="137" t="e">
        <f t="shared" si="1"/>
        <v>#DIV/0!</v>
      </c>
      <c r="E84" s="132" t="e">
        <f t="shared" si="2"/>
        <v>#DIV/0!</v>
      </c>
      <c r="G84" s="138"/>
      <c r="H84" s="184" t="str">
        <f t="shared" si="3"/>
        <v>1E+47-1.32379315655746E+54i</v>
      </c>
      <c r="I84" s="132" t="str">
        <f>IMSUM(IMDIV(1,COMPLEX(0,Q84*MLCC*10^-6)),MLCC_ESR*10^-3)</f>
        <v>1E+47-1.32379315655746E+54i</v>
      </c>
      <c r="J84" s="132" t="str">
        <f t="shared" si="4"/>
        <v>5.00000000000001E+46-6.61896578278729E+53i</v>
      </c>
      <c r="K84" s="132"/>
      <c r="L84" s="132" t="e">
        <f t="shared" si="5"/>
        <v>#DIV/0!</v>
      </c>
      <c r="M84" s="132" t="str">
        <f t="shared" si="6"/>
        <v>0</v>
      </c>
      <c r="N84" s="132" t="e">
        <f t="shared" si="7"/>
        <v>#DIV/0!</v>
      </c>
      <c r="O84" s="185" t="e">
        <f t="shared" si="8"/>
        <v>#DIV/0!</v>
      </c>
      <c r="P84" s="185" t="e">
        <f t="shared" si="9"/>
        <v>#DIV/0!</v>
      </c>
      <c r="Q84" s="132">
        <f t="shared" si="10"/>
        <v>75.54050230932704</v>
      </c>
      <c r="R84" s="132">
        <f t="shared" si="21"/>
        <v>1.08</v>
      </c>
      <c r="S84" s="164" t="e">
        <f t="shared" si="11"/>
        <v>#DIV/0!</v>
      </c>
      <c r="T84" s="132" t="e">
        <f t="shared" si="12"/>
        <v>#NUM!</v>
      </c>
      <c r="U84" s="138" t="e">
        <f t="shared" si="13"/>
        <v>#NUM!</v>
      </c>
      <c r="V84" s="132" t="e">
        <f t="shared" si="14"/>
        <v>#NUM!</v>
      </c>
      <c r="W84" s="132">
        <f t="shared" si="15"/>
        <v>79.99989101759094</v>
      </c>
      <c r="X84" s="138">
        <f t="shared" si="16"/>
        <v>-0.28708597535901276</v>
      </c>
      <c r="Y84" s="128" t="str">
        <f t="shared" si="17"/>
        <v>9999.74900165291-50.1051167267973i</v>
      </c>
      <c r="Z84" s="128" t="e">
        <f t="shared" si="18"/>
        <v>#NUM!</v>
      </c>
      <c r="AA84" s="130"/>
      <c r="AB84" s="130"/>
      <c r="AC84" s="132"/>
      <c r="AD84" s="132"/>
      <c r="AE84" s="130"/>
      <c r="AF84" s="130"/>
      <c r="AG84" s="130"/>
      <c r="AH84" s="130"/>
      <c r="AI84" s="130"/>
      <c r="AJ84" s="130"/>
      <c r="AK84" s="130"/>
      <c r="AL84" s="130"/>
      <c r="AM84" s="130"/>
      <c r="AN84" s="130"/>
      <c r="AO84" s="130"/>
      <c r="AP84" s="130"/>
      <c r="AQ84" s="130"/>
      <c r="AR84" s="130"/>
      <c r="AS84" s="130"/>
    </row>
    <row r="85" spans="1:45" s="166" customFormat="1" ht="12.75">
      <c r="A85" s="132" t="e">
        <f t="shared" si="0"/>
        <v>#DIV/0!</v>
      </c>
      <c r="B85" s="132">
        <f t="shared" si="19"/>
        <v>1.1000000000000003</v>
      </c>
      <c r="C85" s="138">
        <f t="shared" si="20"/>
        <v>12.58925411794168</v>
      </c>
      <c r="D85" s="137" t="e">
        <f t="shared" si="1"/>
        <v>#DIV/0!</v>
      </c>
      <c r="E85" s="132" t="e">
        <f t="shared" si="2"/>
        <v>#DIV/0!</v>
      </c>
      <c r="G85" s="138"/>
      <c r="H85" s="184" t="str">
        <f t="shared" si="3"/>
        <v>1E+47-1.26421264993829E+54i</v>
      </c>
      <c r="I85" s="132" t="str">
        <f>IMSUM(IMDIV(1,COMPLEX(0,Q85*MLCC*10^-6)),MLCC_ESR*10^-3)</f>
        <v>1E+47-1.26421264993829E+54i</v>
      </c>
      <c r="J85" s="132" t="str">
        <f t="shared" si="4"/>
        <v>5.00000000000001E+46-6.32106324969144E+53i</v>
      </c>
      <c r="K85" s="132"/>
      <c r="L85" s="132" t="e">
        <f t="shared" si="5"/>
        <v>#DIV/0!</v>
      </c>
      <c r="M85" s="132" t="str">
        <f t="shared" si="6"/>
        <v>0</v>
      </c>
      <c r="N85" s="132" t="e">
        <f t="shared" si="7"/>
        <v>#DIV/0!</v>
      </c>
      <c r="O85" s="185" t="e">
        <f t="shared" si="8"/>
        <v>#DIV/0!</v>
      </c>
      <c r="P85" s="185" t="e">
        <f t="shared" si="9"/>
        <v>#DIV/0!</v>
      </c>
      <c r="Q85" s="132">
        <f t="shared" si="10"/>
        <v>79.10061650220126</v>
      </c>
      <c r="R85" s="132">
        <f t="shared" si="21"/>
        <v>1.1</v>
      </c>
      <c r="S85" s="164" t="e">
        <f t="shared" si="11"/>
        <v>#DIV/0!</v>
      </c>
      <c r="T85" s="132" t="e">
        <f t="shared" si="12"/>
        <v>#NUM!</v>
      </c>
      <c r="U85" s="138" t="e">
        <f t="shared" si="13"/>
        <v>#NUM!</v>
      </c>
      <c r="V85" s="132" t="e">
        <f t="shared" si="14"/>
        <v>#NUM!</v>
      </c>
      <c r="W85" s="132">
        <f t="shared" si="15"/>
        <v>79.99988050330936</v>
      </c>
      <c r="X85" s="138">
        <f t="shared" si="16"/>
        <v>-0.3006156780036018</v>
      </c>
      <c r="Y85" s="128" t="str">
        <f t="shared" si="17"/>
        <v>9999.72478645144-52.4663711066668i</v>
      </c>
      <c r="Z85" s="128" t="e">
        <f t="shared" si="18"/>
        <v>#NUM!</v>
      </c>
      <c r="AA85" s="130"/>
      <c r="AB85" s="130"/>
      <c r="AC85" s="130"/>
      <c r="AD85" s="130"/>
      <c r="AE85" s="130"/>
      <c r="AF85" s="130"/>
      <c r="AG85" s="130"/>
      <c r="AH85" s="130"/>
      <c r="AI85" s="130"/>
      <c r="AJ85" s="130"/>
      <c r="AK85" s="130"/>
      <c r="AL85" s="130"/>
      <c r="AM85" s="130"/>
      <c r="AN85" s="130"/>
      <c r="AO85" s="130"/>
      <c r="AP85" s="130"/>
      <c r="AQ85" s="130"/>
      <c r="AR85" s="130"/>
      <c r="AS85" s="130"/>
    </row>
    <row r="86" spans="1:45" s="166" customFormat="1" ht="12.75">
      <c r="A86" s="132" t="e">
        <f t="shared" si="0"/>
        <v>#DIV/0!</v>
      </c>
      <c r="B86" s="132">
        <f t="shared" si="19"/>
        <v>1.12</v>
      </c>
      <c r="C86" s="138">
        <f t="shared" si="20"/>
        <v>13.182567385564075</v>
      </c>
      <c r="D86" s="137" t="e">
        <f t="shared" si="1"/>
        <v>#DIV/0!</v>
      </c>
      <c r="E86" s="132" t="e">
        <f t="shared" si="2"/>
        <v>#DIV/0!</v>
      </c>
      <c r="G86" s="138"/>
      <c r="H86" s="184" t="str">
        <f t="shared" si="3"/>
        <v>1E+47-1.20731370784558E+54i</v>
      </c>
      <c r="I86" s="132" t="str">
        <f>IMSUM(IMDIV(1,COMPLEX(0,Q86*MLCC*10^-6)),MLCC_ESR*10^-3)</f>
        <v>1E+47-1.20731370784558E+54i</v>
      </c>
      <c r="J86" s="132" t="str">
        <f t="shared" si="4"/>
        <v>5.00000000000001E+46-6.03656853922789E+53i</v>
      </c>
      <c r="K86" s="132"/>
      <c r="L86" s="132" t="e">
        <f t="shared" si="5"/>
        <v>#DIV/0!</v>
      </c>
      <c r="M86" s="132" t="str">
        <f t="shared" si="6"/>
        <v>0</v>
      </c>
      <c r="N86" s="132" t="e">
        <f t="shared" si="7"/>
        <v>#DIV/0!</v>
      </c>
      <c r="O86" s="185" t="e">
        <f t="shared" si="8"/>
        <v>#DIV/0!</v>
      </c>
      <c r="P86" s="185" t="e">
        <f t="shared" si="9"/>
        <v>#DIV/0!</v>
      </c>
      <c r="Q86" s="132">
        <f t="shared" si="10"/>
        <v>82.82851370788102</v>
      </c>
      <c r="R86" s="132">
        <f t="shared" si="21"/>
        <v>1.12</v>
      </c>
      <c r="S86" s="164" t="e">
        <f t="shared" si="11"/>
        <v>#DIV/0!</v>
      </c>
      <c r="T86" s="132" t="e">
        <f t="shared" si="12"/>
        <v>#NUM!</v>
      </c>
      <c r="U86" s="138" t="e">
        <f t="shared" si="13"/>
        <v>#NUM!</v>
      </c>
      <c r="V86" s="132" t="e">
        <f t="shared" si="14"/>
        <v>#NUM!</v>
      </c>
      <c r="W86" s="132">
        <f t="shared" si="15"/>
        <v>79.99986897465811</v>
      </c>
      <c r="X86" s="138">
        <f t="shared" si="16"/>
        <v>-0.3147829799570807</v>
      </c>
      <c r="Y86" s="128" t="str">
        <f t="shared" si="17"/>
        <v>9999.69823514578-54.9388891591004i</v>
      </c>
      <c r="Z86" s="128" t="e">
        <f t="shared" si="18"/>
        <v>#NUM!</v>
      </c>
      <c r="AA86" s="130"/>
      <c r="AB86" s="130"/>
      <c r="AC86" s="130"/>
      <c r="AD86" s="128"/>
      <c r="AE86" s="128"/>
      <c r="AF86" s="130"/>
      <c r="AG86" s="130"/>
      <c r="AH86" s="130"/>
      <c r="AI86" s="130"/>
      <c r="AJ86" s="130"/>
      <c r="AK86" s="130"/>
      <c r="AL86" s="130"/>
      <c r="AM86" s="130"/>
      <c r="AN86" s="130"/>
      <c r="AO86" s="130"/>
      <c r="AP86" s="130"/>
      <c r="AQ86" s="130"/>
      <c r="AR86" s="130"/>
      <c r="AS86" s="130"/>
    </row>
    <row r="87" spans="1:45" s="166" customFormat="1" ht="12.75">
      <c r="A87" s="132" t="e">
        <f t="shared" si="0"/>
        <v>#DIV/0!</v>
      </c>
      <c r="B87" s="132">
        <f t="shared" si="19"/>
        <v>1.1400000000000003</v>
      </c>
      <c r="C87" s="138">
        <f t="shared" si="20"/>
        <v>13.803842646028857</v>
      </c>
      <c r="D87" s="137" t="e">
        <f t="shared" si="1"/>
        <v>#DIV/0!</v>
      </c>
      <c r="E87" s="132" t="e">
        <f t="shared" si="2"/>
        <v>#DIV/0!</v>
      </c>
      <c r="G87" s="138"/>
      <c r="H87" s="184" t="str">
        <f t="shared" si="3"/>
        <v>1E+47-1.15297563999458E+54i</v>
      </c>
      <c r="I87" s="132" t="str">
        <f>IMSUM(IMDIV(1,COMPLEX(0,Q87*MLCC*10^-6)),MLCC_ESR*10^-3)</f>
        <v>1E+47-1.15297563999458E+54i</v>
      </c>
      <c r="J87" s="132" t="str">
        <f t="shared" si="4"/>
        <v>5.00000000000001E+46-5.7648781999729E+53i</v>
      </c>
      <c r="K87" s="132"/>
      <c r="L87" s="132" t="e">
        <f t="shared" si="5"/>
        <v>#DIV/0!</v>
      </c>
      <c r="M87" s="132" t="str">
        <f t="shared" si="6"/>
        <v>0</v>
      </c>
      <c r="N87" s="132" t="e">
        <f t="shared" si="7"/>
        <v>#DIV/0!</v>
      </c>
      <c r="O87" s="185" t="e">
        <f t="shared" si="8"/>
        <v>#DIV/0!</v>
      </c>
      <c r="P87" s="185" t="e">
        <f t="shared" si="9"/>
        <v>#DIV/0!</v>
      </c>
      <c r="Q87" s="132">
        <f t="shared" si="10"/>
        <v>86.73210129614749</v>
      </c>
      <c r="R87" s="132">
        <f t="shared" si="21"/>
        <v>1.1400000000000001</v>
      </c>
      <c r="S87" s="164" t="e">
        <f t="shared" si="11"/>
        <v>#DIV/0!</v>
      </c>
      <c r="T87" s="132" t="e">
        <f t="shared" si="12"/>
        <v>#NUM!</v>
      </c>
      <c r="U87" s="138" t="e">
        <f t="shared" si="13"/>
        <v>#NUM!</v>
      </c>
      <c r="V87" s="132" t="e">
        <f t="shared" si="14"/>
        <v>#NUM!</v>
      </c>
      <c r="W87" s="132">
        <f t="shared" si="15"/>
        <v>79.99985633377855</v>
      </c>
      <c r="X87" s="138">
        <f t="shared" si="16"/>
        <v>-0.3296179250258321</v>
      </c>
      <c r="Y87" s="128" t="str">
        <f t="shared" si="17"/>
        <v>9999.66912238006-57.5279117916826i</v>
      </c>
      <c r="Z87" s="128" t="e">
        <f t="shared" si="18"/>
        <v>#NUM!</v>
      </c>
      <c r="AA87" s="128" t="s">
        <v>143</v>
      </c>
      <c r="AB87" s="128" t="s">
        <v>144</v>
      </c>
      <c r="AC87" s="128" t="s">
        <v>145</v>
      </c>
      <c r="AD87" s="128" t="s">
        <v>146</v>
      </c>
      <c r="AE87" s="128" t="s">
        <v>147</v>
      </c>
      <c r="AF87" s="130"/>
      <c r="AG87" s="130"/>
      <c r="AH87" s="130"/>
      <c r="AI87" s="130"/>
      <c r="AJ87" s="130"/>
      <c r="AK87" s="130"/>
      <c r="AL87" s="130"/>
      <c r="AM87" s="130"/>
      <c r="AN87" s="130"/>
      <c r="AO87" s="130"/>
      <c r="AP87" s="130"/>
      <c r="AQ87" s="130"/>
      <c r="AR87" s="130"/>
      <c r="AS87" s="130"/>
    </row>
    <row r="88" spans="1:45" s="166" customFormat="1" ht="12.75">
      <c r="A88" s="132" t="e">
        <f t="shared" si="0"/>
        <v>#DIV/0!</v>
      </c>
      <c r="B88" s="132">
        <f t="shared" si="19"/>
        <v>1.1600000000000001</v>
      </c>
      <c r="C88" s="138">
        <f t="shared" si="20"/>
        <v>14.454397707459282</v>
      </c>
      <c r="D88" s="137" t="e">
        <f t="shared" si="1"/>
        <v>#DIV/0!</v>
      </c>
      <c r="E88" s="132" t="e">
        <f t="shared" si="2"/>
        <v>#DIV/0!</v>
      </c>
      <c r="G88" s="138"/>
      <c r="H88" s="184" t="str">
        <f t="shared" si="3"/>
        <v>1E+47-1.10108318805814E+54i</v>
      </c>
      <c r="I88" s="132" t="str">
        <f>IMSUM(IMDIV(1,COMPLEX(0,Q88*MLCC*10^-6)),MLCC_ESR*10^-3)</f>
        <v>1E+47-1.10108318805814E+54i</v>
      </c>
      <c r="J88" s="132" t="str">
        <f t="shared" si="4"/>
        <v>4.99999999999999E+46-5.50541594029071E+53i</v>
      </c>
      <c r="K88" s="132"/>
      <c r="L88" s="132" t="e">
        <f t="shared" si="5"/>
        <v>#DIV/0!</v>
      </c>
      <c r="M88" s="132" t="str">
        <f t="shared" si="6"/>
        <v>0</v>
      </c>
      <c r="N88" s="132" t="e">
        <f t="shared" si="7"/>
        <v>#DIV/0!</v>
      </c>
      <c r="O88" s="185" t="e">
        <f t="shared" si="8"/>
        <v>#DIV/0!</v>
      </c>
      <c r="P88" s="185" t="e">
        <f t="shared" si="9"/>
        <v>#DIV/0!</v>
      </c>
      <c r="Q88" s="132">
        <f t="shared" si="10"/>
        <v>90.81965929963846</v>
      </c>
      <c r="R88" s="132">
        <f t="shared" si="21"/>
        <v>1.1600000000000001</v>
      </c>
      <c r="S88" s="164" t="e">
        <f t="shared" si="11"/>
        <v>#DIV/0!</v>
      </c>
      <c r="T88" s="132" t="e">
        <f t="shared" si="12"/>
        <v>#NUM!</v>
      </c>
      <c r="U88" s="138" t="e">
        <f t="shared" si="13"/>
        <v>#NUM!</v>
      </c>
      <c r="V88" s="132" t="e">
        <f t="shared" si="14"/>
        <v>#NUM!</v>
      </c>
      <c r="W88" s="132">
        <f t="shared" si="15"/>
        <v>79.99984247337204</v>
      </c>
      <c r="X88" s="138">
        <f t="shared" si="16"/>
        <v>-0.345151972148608</v>
      </c>
      <c r="Y88" s="128" t="str">
        <f t="shared" si="17"/>
        <v>9999.63720106201-60.2389264953972i</v>
      </c>
      <c r="Z88" s="128" t="e">
        <f t="shared" si="18"/>
        <v>#NUM!</v>
      </c>
      <c r="AA88" s="129"/>
      <c r="AB88" s="129"/>
      <c r="AC88" s="129"/>
      <c r="AD88" s="129"/>
      <c r="AE88" s="129"/>
      <c r="AF88" s="130"/>
      <c r="AG88" s="130"/>
      <c r="AH88" s="130"/>
      <c r="AI88" s="130"/>
      <c r="AJ88" s="130"/>
      <c r="AK88" s="130"/>
      <c r="AL88" s="130"/>
      <c r="AM88" s="130"/>
      <c r="AN88" s="130"/>
      <c r="AO88" s="130"/>
      <c r="AP88" s="130"/>
      <c r="AQ88" s="130"/>
      <c r="AR88" s="130"/>
      <c r="AS88" s="130"/>
    </row>
    <row r="89" spans="1:45" s="166" customFormat="1" ht="12.75">
      <c r="A89" s="132" t="e">
        <f t="shared" si="0"/>
        <v>#DIV/0!</v>
      </c>
      <c r="B89" s="132">
        <f t="shared" si="19"/>
        <v>1.1800000000000004</v>
      </c>
      <c r="C89" s="138">
        <f t="shared" si="20"/>
        <v>15.135612484362092</v>
      </c>
      <c r="D89" s="137" t="e">
        <f t="shared" si="1"/>
        <v>#DIV/0!</v>
      </c>
      <c r="E89" s="132" t="e">
        <f t="shared" si="2"/>
        <v>#DIV/0!</v>
      </c>
      <c r="G89" s="138"/>
      <c r="H89" s="184" t="str">
        <f t="shared" si="3"/>
        <v>1E+47-1.05152628118837E+54i</v>
      </c>
      <c r="I89" s="132" t="str">
        <f>IMSUM(IMDIV(1,COMPLEX(0,Q89*MLCC*10^-6)),MLCC_ESR*10^-3)</f>
        <v>1E+47-1.05152628118837E+54i</v>
      </c>
      <c r="J89" s="132" t="str">
        <f t="shared" si="4"/>
        <v>5.00000000000001E+46-5.25763140594183E+53i</v>
      </c>
      <c r="K89" s="132"/>
      <c r="L89" s="132" t="e">
        <f t="shared" si="5"/>
        <v>#DIV/0!</v>
      </c>
      <c r="M89" s="132" t="str">
        <f t="shared" si="6"/>
        <v>0</v>
      </c>
      <c r="N89" s="132" t="e">
        <f t="shared" si="7"/>
        <v>#DIV/0!</v>
      </c>
      <c r="O89" s="185" t="e">
        <f t="shared" si="8"/>
        <v>#DIV/0!</v>
      </c>
      <c r="P89" s="185" t="e">
        <f t="shared" si="9"/>
        <v>#DIV/0!</v>
      </c>
      <c r="Q89" s="132">
        <f t="shared" si="10"/>
        <v>95.09985797690781</v>
      </c>
      <c r="R89" s="132">
        <f t="shared" si="21"/>
        <v>1.1800000000000002</v>
      </c>
      <c r="S89" s="164" t="e">
        <f t="shared" si="11"/>
        <v>#DIV/0!</v>
      </c>
      <c r="T89" s="132" t="e">
        <f t="shared" si="12"/>
        <v>#NUM!</v>
      </c>
      <c r="U89" s="138" t="e">
        <f t="shared" si="13"/>
        <v>#NUM!</v>
      </c>
      <c r="V89" s="132" t="e">
        <f t="shared" si="14"/>
        <v>#NUM!</v>
      </c>
      <c r="W89" s="132">
        <f t="shared" si="15"/>
        <v>79.99982727578934</v>
      </c>
      <c r="X89" s="138">
        <f t="shared" si="16"/>
        <v>-0.36141806197283677</v>
      </c>
      <c r="Y89" s="128" t="str">
        <f t="shared" si="17"/>
        <v>9999.60220026696-63.0776789045741i</v>
      </c>
      <c r="Z89" s="128" t="e">
        <f t="shared" si="18"/>
        <v>#NUM!</v>
      </c>
      <c r="AA89" s="128" t="e">
        <f aca="true" t="shared" si="22" ref="AA89:AA152">IMSUM(R_3,IMDIV(1,COMPLEX(0,2*PI()*C80*C_2*10^-12)))</f>
        <v>#NUM!</v>
      </c>
      <c r="AB89" s="128" t="e">
        <f aca="true" t="shared" si="23" ref="AB89:AB152">IMSUM(R_2,IMDIV(1,COMPLEX(0,2*PI()*C80*C_1*10^-12)))</f>
        <v>#NUM!</v>
      </c>
      <c r="AC89" s="128" t="e">
        <f aca="true" t="shared" si="24" ref="AC89:AC152">IMDIV(IMPRODUCT(Z80,AA89),IMSUM(Z80,AA89))</f>
        <v>#NUM!</v>
      </c>
      <c r="AD89" s="128" t="e">
        <f aca="true" t="shared" si="25" ref="AD89:AD152">IMDIV(IMPRODUCT(AB89,R_1),IMSUM(AB89,R_1))</f>
        <v>#NUM!</v>
      </c>
      <c r="AE89" s="128" t="e">
        <f aca="true" t="shared" si="26" ref="AE89:AE152">IMDIV(IMPRODUCT(-1,Y80),IMSUM(1,IMDIV(AD89,R_4),IMPRODUCT(IMDIV(AD89,AC89),IMSUM(1,Y80))))</f>
        <v>#NUM!</v>
      </c>
      <c r="AF89" s="130"/>
      <c r="AG89" s="130"/>
      <c r="AH89" s="130"/>
      <c r="AI89" s="130"/>
      <c r="AJ89" s="130"/>
      <c r="AK89" s="130"/>
      <c r="AL89" s="130"/>
      <c r="AM89" s="130"/>
      <c r="AN89" s="130"/>
      <c r="AO89" s="130"/>
      <c r="AP89" s="130"/>
      <c r="AQ89" s="130"/>
      <c r="AR89" s="130"/>
      <c r="AS89" s="130"/>
    </row>
    <row r="90" spans="1:45" s="166" customFormat="1" ht="12.75">
      <c r="A90" s="132" t="e">
        <f t="shared" si="0"/>
        <v>#DIV/0!</v>
      </c>
      <c r="B90" s="132">
        <f t="shared" si="19"/>
        <v>1.2000000000000002</v>
      </c>
      <c r="C90" s="138">
        <f t="shared" si="20"/>
        <v>15.848931924611144</v>
      </c>
      <c r="D90" s="137" t="e">
        <f t="shared" si="1"/>
        <v>#DIV/0!</v>
      </c>
      <c r="E90" s="132" t="e">
        <f t="shared" si="2"/>
        <v>#DIV/0!</v>
      </c>
      <c r="G90" s="138"/>
      <c r="H90" s="184" t="str">
        <f t="shared" si="3"/>
        <v>1E+47-1.00419980254159E+54i</v>
      </c>
      <c r="I90" s="132" t="str">
        <f>IMSUM(IMDIV(1,COMPLEX(0,Q90*MLCC*10^-6)),MLCC_ESR*10^-3)</f>
        <v>1E+47-1.00419980254159E+54i</v>
      </c>
      <c r="J90" s="132" t="str">
        <f t="shared" si="4"/>
        <v>4.99999999999999E+46-5.02099901270796E+53i</v>
      </c>
      <c r="K90" s="132"/>
      <c r="L90" s="132" t="e">
        <f t="shared" si="5"/>
        <v>#DIV/0!</v>
      </c>
      <c r="M90" s="132" t="str">
        <f t="shared" si="6"/>
        <v>0</v>
      </c>
      <c r="N90" s="132" t="e">
        <f t="shared" si="7"/>
        <v>#DIV/0!</v>
      </c>
      <c r="O90" s="185" t="e">
        <f t="shared" si="8"/>
        <v>#DIV/0!</v>
      </c>
      <c r="P90" s="185" t="e">
        <f t="shared" si="9"/>
        <v>#DIV/0!</v>
      </c>
      <c r="Q90" s="132">
        <f t="shared" si="10"/>
        <v>99.58177620320622</v>
      </c>
      <c r="R90" s="132">
        <f t="shared" si="21"/>
        <v>1.2000000000000002</v>
      </c>
      <c r="S90" s="164" t="e">
        <f t="shared" si="11"/>
        <v>#DIV/0!</v>
      </c>
      <c r="T90" s="132" t="e">
        <f t="shared" si="12"/>
        <v>#NUM!</v>
      </c>
      <c r="U90" s="138" t="e">
        <f t="shared" si="13"/>
        <v>#NUM!</v>
      </c>
      <c r="V90" s="132" t="e">
        <f t="shared" si="14"/>
        <v>#NUM!</v>
      </c>
      <c r="W90" s="132">
        <f t="shared" si="15"/>
        <v>79.9998106120324</v>
      </c>
      <c r="X90" s="138">
        <f t="shared" si="16"/>
        <v>-0.37845068655128183</v>
      </c>
      <c r="Y90" s="128" t="str">
        <f t="shared" si="17"/>
        <v>9999.56382293989-66.0501848925823i</v>
      </c>
      <c r="Z90" s="128" t="e">
        <f t="shared" si="18"/>
        <v>#NUM!</v>
      </c>
      <c r="AA90" s="128" t="e">
        <f t="shared" si="22"/>
        <v>#NUM!</v>
      </c>
      <c r="AB90" s="128" t="e">
        <f t="shared" si="23"/>
        <v>#NUM!</v>
      </c>
      <c r="AC90" s="128" t="e">
        <f t="shared" si="24"/>
        <v>#NUM!</v>
      </c>
      <c r="AD90" s="128" t="e">
        <f t="shared" si="25"/>
        <v>#NUM!</v>
      </c>
      <c r="AE90" s="128" t="e">
        <f t="shared" si="26"/>
        <v>#NUM!</v>
      </c>
      <c r="AF90" s="130"/>
      <c r="AG90" s="130"/>
      <c r="AH90" s="130"/>
      <c r="AI90" s="130"/>
      <c r="AJ90" s="130"/>
      <c r="AK90" s="130"/>
      <c r="AL90" s="130"/>
      <c r="AM90" s="130"/>
      <c r="AN90" s="130"/>
      <c r="AO90" s="130"/>
      <c r="AP90" s="130"/>
      <c r="AQ90" s="130"/>
      <c r="AR90" s="130"/>
      <c r="AS90" s="130"/>
    </row>
    <row r="91" spans="1:45" s="166" customFormat="1" ht="12.75">
      <c r="A91" s="132" t="e">
        <f t="shared" si="0"/>
        <v>#DIV/0!</v>
      </c>
      <c r="B91" s="132">
        <f t="shared" si="19"/>
        <v>1.2200000000000004</v>
      </c>
      <c r="C91" s="138">
        <f t="shared" si="20"/>
        <v>16.59586907437562</v>
      </c>
      <c r="D91" s="137" t="e">
        <f t="shared" si="1"/>
        <v>#DIV/0!</v>
      </c>
      <c r="E91" s="132" t="e">
        <f t="shared" si="2"/>
        <v>#DIV/0!</v>
      </c>
      <c r="G91" s="138"/>
      <c r="H91" s="184" t="str">
        <f t="shared" si="3"/>
        <v>1E+47-9.59003366311403E+53i</v>
      </c>
      <c r="I91" s="132" t="str">
        <f>IMSUM(IMDIV(1,COMPLEX(0,Q91*MLCC*10^-6)),MLCC_ESR*10^-3)</f>
        <v>1E+47-9.59003366311403E+53i</v>
      </c>
      <c r="J91" s="132" t="str">
        <f t="shared" si="4"/>
        <v>5.00000000000002E+46-4.79501683155701E+53i</v>
      </c>
      <c r="K91" s="132"/>
      <c r="L91" s="132" t="e">
        <f t="shared" si="5"/>
        <v>#DIV/0!</v>
      </c>
      <c r="M91" s="132" t="str">
        <f t="shared" si="6"/>
        <v>0</v>
      </c>
      <c r="N91" s="132" t="e">
        <f t="shared" si="7"/>
        <v>#DIV/0!</v>
      </c>
      <c r="O91" s="185" t="e">
        <f t="shared" si="8"/>
        <v>#DIV/0!</v>
      </c>
      <c r="P91" s="185" t="e">
        <f t="shared" si="9"/>
        <v>#DIV/0!</v>
      </c>
      <c r="Q91" s="132">
        <f t="shared" si="10"/>
        <v>104.27492072799298</v>
      </c>
      <c r="R91" s="132">
        <f t="shared" si="21"/>
        <v>1.2200000000000002</v>
      </c>
      <c r="S91" s="164" t="e">
        <f t="shared" si="11"/>
        <v>#DIV/0!</v>
      </c>
      <c r="T91" s="132" t="e">
        <f t="shared" si="12"/>
        <v>#NUM!</v>
      </c>
      <c r="U91" s="138" t="e">
        <f t="shared" si="13"/>
        <v>#NUM!</v>
      </c>
      <c r="V91" s="132" t="e">
        <f t="shared" si="14"/>
        <v>#NUM!</v>
      </c>
      <c r="W91" s="132">
        <f t="shared" si="15"/>
        <v>79.99979234065975</v>
      </c>
      <c r="X91" s="138">
        <f t="shared" si="16"/>
        <v>-0.3962859623035352</v>
      </c>
      <c r="Y91" s="128" t="str">
        <f t="shared" si="17"/>
        <v>9999.52174337603-69.1627432271747i</v>
      </c>
      <c r="Z91" s="128" t="e">
        <f t="shared" si="18"/>
        <v>#NUM!</v>
      </c>
      <c r="AA91" s="128" t="e">
        <f t="shared" si="22"/>
        <v>#NUM!</v>
      </c>
      <c r="AB91" s="128" t="e">
        <f t="shared" si="23"/>
        <v>#NUM!</v>
      </c>
      <c r="AC91" s="128" t="e">
        <f t="shared" si="24"/>
        <v>#NUM!</v>
      </c>
      <c r="AD91" s="128" t="e">
        <f t="shared" si="25"/>
        <v>#NUM!</v>
      </c>
      <c r="AE91" s="128" t="e">
        <f t="shared" si="26"/>
        <v>#NUM!</v>
      </c>
      <c r="AF91" s="130"/>
      <c r="AG91" s="130"/>
      <c r="AH91" s="130"/>
      <c r="AI91" s="130"/>
      <c r="AJ91" s="130"/>
      <c r="AK91" s="130"/>
      <c r="AL91" s="130"/>
      <c r="AM91" s="130"/>
      <c r="AN91" s="130"/>
      <c r="AO91" s="130"/>
      <c r="AP91" s="130"/>
      <c r="AQ91" s="130"/>
      <c r="AR91" s="130"/>
      <c r="AS91" s="130"/>
    </row>
    <row r="92" spans="1:45" s="166" customFormat="1" ht="12.75">
      <c r="A92" s="132" t="e">
        <f t="shared" si="0"/>
        <v>#DIV/0!</v>
      </c>
      <c r="B92" s="132">
        <f t="shared" si="19"/>
        <v>1.2400000000000002</v>
      </c>
      <c r="C92" s="138">
        <f t="shared" si="20"/>
        <v>17.378008287493763</v>
      </c>
      <c r="D92" s="137" t="e">
        <f t="shared" si="1"/>
        <v>#DIV/0!</v>
      </c>
      <c r="E92" s="132" t="e">
        <f t="shared" si="2"/>
        <v>#DIV/0!</v>
      </c>
      <c r="G92" s="138"/>
      <c r="H92" s="184" t="str">
        <f t="shared" si="3"/>
        <v>1E+47-9.15841104796989E+53i</v>
      </c>
      <c r="I92" s="132" t="str">
        <f>IMSUM(IMDIV(1,COMPLEX(0,Q92*MLCC*10^-6)),MLCC_ESR*10^-3)</f>
        <v>1E+47-9.15841104796989E+53i</v>
      </c>
      <c r="J92" s="132" t="str">
        <f t="shared" si="4"/>
        <v>5.00000000000001E+46-4.57920552398494E+53i</v>
      </c>
      <c r="K92" s="132"/>
      <c r="L92" s="132" t="e">
        <f t="shared" si="5"/>
        <v>#DIV/0!</v>
      </c>
      <c r="M92" s="132" t="str">
        <f t="shared" si="6"/>
        <v>0</v>
      </c>
      <c r="N92" s="132" t="e">
        <f t="shared" si="7"/>
        <v>#DIV/0!</v>
      </c>
      <c r="O92" s="185" t="e">
        <f t="shared" si="8"/>
        <v>#DIV/0!</v>
      </c>
      <c r="P92" s="185" t="e">
        <f t="shared" si="9"/>
        <v>#DIV/0!</v>
      </c>
      <c r="Q92" s="132">
        <f t="shared" si="10"/>
        <v>109.1892463400259</v>
      </c>
      <c r="R92" s="132">
        <f t="shared" si="21"/>
        <v>1.2400000000000002</v>
      </c>
      <c r="S92" s="164" t="e">
        <f t="shared" si="11"/>
        <v>#DIV/0!</v>
      </c>
      <c r="T92" s="132" t="e">
        <f t="shared" si="12"/>
        <v>#NUM!</v>
      </c>
      <c r="U92" s="138" t="e">
        <f t="shared" si="13"/>
        <v>#NUM!</v>
      </c>
      <c r="V92" s="132" t="e">
        <f t="shared" si="14"/>
        <v>#NUM!</v>
      </c>
      <c r="W92" s="132">
        <f t="shared" si="15"/>
        <v>79.99977230658637</v>
      </c>
      <c r="X92" s="138">
        <f t="shared" si="16"/>
        <v>-0.4149617063932626</v>
      </c>
      <c r="Y92" s="128" t="str">
        <f t="shared" si="17"/>
        <v>9999.4756044587-72.4219488103188i</v>
      </c>
      <c r="Z92" s="128" t="e">
        <f t="shared" si="18"/>
        <v>#NUM!</v>
      </c>
      <c r="AA92" s="128" t="e">
        <f t="shared" si="22"/>
        <v>#NUM!</v>
      </c>
      <c r="AB92" s="128" t="e">
        <f t="shared" si="23"/>
        <v>#NUM!</v>
      </c>
      <c r="AC92" s="128" t="e">
        <f t="shared" si="24"/>
        <v>#NUM!</v>
      </c>
      <c r="AD92" s="128" t="e">
        <f t="shared" si="25"/>
        <v>#NUM!</v>
      </c>
      <c r="AE92" s="128" t="e">
        <f t="shared" si="26"/>
        <v>#NUM!</v>
      </c>
      <c r="AF92" s="130"/>
      <c r="AG92" s="130"/>
      <c r="AH92" s="130"/>
      <c r="AI92" s="130"/>
      <c r="AJ92" s="130"/>
      <c r="AK92" s="130"/>
      <c r="AL92" s="130"/>
      <c r="AM92" s="130"/>
      <c r="AN92" s="130"/>
      <c r="AO92" s="130"/>
      <c r="AP92" s="130"/>
      <c r="AQ92" s="130"/>
      <c r="AR92" s="130"/>
      <c r="AS92" s="130"/>
    </row>
    <row r="93" spans="1:45" s="166" customFormat="1" ht="12.75">
      <c r="A93" s="132" t="e">
        <f t="shared" si="0"/>
        <v>#DIV/0!</v>
      </c>
      <c r="B93" s="132">
        <f t="shared" si="19"/>
        <v>1.2600000000000002</v>
      </c>
      <c r="C93" s="138">
        <f t="shared" si="20"/>
        <v>18.197008586099848</v>
      </c>
      <c r="D93" s="137" t="e">
        <f t="shared" si="1"/>
        <v>#DIV/0!</v>
      </c>
      <c r="E93" s="132" t="e">
        <f t="shared" si="2"/>
        <v>#DIV/0!</v>
      </c>
      <c r="G93" s="138"/>
      <c r="H93" s="184" t="str">
        <f t="shared" si="3"/>
        <v>1E+47-8.74621465054809E+53i</v>
      </c>
      <c r="I93" s="132" t="str">
        <f>IMSUM(IMDIV(1,COMPLEX(0,Q93*MLCC*10^-6)),MLCC_ESR*10^-3)</f>
        <v>1E+47-8.74621465054809E+53i</v>
      </c>
      <c r="J93" s="132" t="str">
        <f t="shared" si="4"/>
        <v>5.00000000000001E+46-4.37310732527404E+53i</v>
      </c>
      <c r="K93" s="132"/>
      <c r="L93" s="132" t="e">
        <f t="shared" si="5"/>
        <v>#DIV/0!</v>
      </c>
      <c r="M93" s="132" t="str">
        <f t="shared" si="6"/>
        <v>0</v>
      </c>
      <c r="N93" s="132" t="e">
        <f t="shared" si="7"/>
        <v>#DIV/0!</v>
      </c>
      <c r="O93" s="185" t="e">
        <f t="shared" si="8"/>
        <v>#DIV/0!</v>
      </c>
      <c r="P93" s="185" t="e">
        <f t="shared" si="9"/>
        <v>#DIV/0!</v>
      </c>
      <c r="Q93" s="132">
        <f t="shared" si="10"/>
        <v>114.33517698280335</v>
      </c>
      <c r="R93" s="132">
        <f t="shared" si="21"/>
        <v>1.2600000000000002</v>
      </c>
      <c r="S93" s="164" t="e">
        <f t="shared" si="11"/>
        <v>#DIV/0!</v>
      </c>
      <c r="T93" s="132" t="e">
        <f t="shared" si="12"/>
        <v>#NUM!</v>
      </c>
      <c r="U93" s="138" t="e">
        <f t="shared" si="13"/>
        <v>#NUM!</v>
      </c>
      <c r="V93" s="132" t="e">
        <f t="shared" si="14"/>
        <v>#NUM!</v>
      </c>
      <c r="W93" s="132">
        <f t="shared" si="15"/>
        <v>79.99975033976797</v>
      </c>
      <c r="X93" s="138">
        <f t="shared" si="16"/>
        <v>-0.43451751667882343</v>
      </c>
      <c r="Y93" s="128" t="str">
        <f t="shared" si="17"/>
        <v>9999.42501463113-75.8347065282962i</v>
      </c>
      <c r="Z93" s="128" t="e">
        <f t="shared" si="18"/>
        <v>#NUM!</v>
      </c>
      <c r="AA93" s="128" t="e">
        <f t="shared" si="22"/>
        <v>#NUM!</v>
      </c>
      <c r="AB93" s="128" t="e">
        <f t="shared" si="23"/>
        <v>#NUM!</v>
      </c>
      <c r="AC93" s="128" t="e">
        <f t="shared" si="24"/>
        <v>#NUM!</v>
      </c>
      <c r="AD93" s="128" t="e">
        <f t="shared" si="25"/>
        <v>#NUM!</v>
      </c>
      <c r="AE93" s="128" t="e">
        <f t="shared" si="26"/>
        <v>#NUM!</v>
      </c>
      <c r="AF93" s="130"/>
      <c r="AG93" s="130"/>
      <c r="AH93" s="130"/>
      <c r="AI93" s="130"/>
      <c r="AJ93" s="130"/>
      <c r="AK93" s="130"/>
      <c r="AL93" s="130"/>
      <c r="AM93" s="130"/>
      <c r="AN93" s="130"/>
      <c r="AO93" s="130"/>
      <c r="AP93" s="130"/>
      <c r="AQ93" s="130"/>
      <c r="AR93" s="130"/>
      <c r="AS93" s="130"/>
    </row>
    <row r="94" spans="1:45" s="166" customFormat="1" ht="12.75">
      <c r="A94" s="132" t="e">
        <f t="shared" si="0"/>
        <v>#DIV/0!</v>
      </c>
      <c r="B94" s="132">
        <f t="shared" si="19"/>
        <v>1.2800000000000002</v>
      </c>
      <c r="C94" s="138">
        <f t="shared" si="20"/>
        <v>19.054607179632484</v>
      </c>
      <c r="D94" s="137" t="e">
        <f t="shared" si="1"/>
        <v>#DIV/0!</v>
      </c>
      <c r="E94" s="132" t="e">
        <f t="shared" si="2"/>
        <v>#DIV/0!</v>
      </c>
      <c r="G94" s="138"/>
      <c r="H94" s="184" t="str">
        <f t="shared" si="3"/>
        <v>1E+47-8.3525701470255E+53i</v>
      </c>
      <c r="I94" s="132" t="str">
        <f>IMSUM(IMDIV(1,COMPLEX(0,Q94*MLCC*10^-6)),MLCC_ESR*10^-3)</f>
        <v>1E+47-8.3525701470255E+53i</v>
      </c>
      <c r="J94" s="132" t="str">
        <f t="shared" si="4"/>
        <v>5E+46-4.17628507351275E+53i</v>
      </c>
      <c r="K94" s="132"/>
      <c r="L94" s="132" t="e">
        <f t="shared" si="5"/>
        <v>#DIV/0!</v>
      </c>
      <c r="M94" s="132" t="str">
        <f t="shared" si="6"/>
        <v>0</v>
      </c>
      <c r="N94" s="132" t="e">
        <f t="shared" si="7"/>
        <v>#DIV/0!</v>
      </c>
      <c r="O94" s="185" t="e">
        <f t="shared" si="8"/>
        <v>#DIV/0!</v>
      </c>
      <c r="P94" s="185" t="e">
        <f t="shared" si="9"/>
        <v>#DIV/0!</v>
      </c>
      <c r="Q94" s="132">
        <f t="shared" si="10"/>
        <v>119.72362786514547</v>
      </c>
      <c r="R94" s="132">
        <f t="shared" si="21"/>
        <v>1.2800000000000002</v>
      </c>
      <c r="S94" s="164" t="e">
        <f t="shared" si="11"/>
        <v>#DIV/0!</v>
      </c>
      <c r="T94" s="132" t="e">
        <f t="shared" si="12"/>
        <v>#NUM!</v>
      </c>
      <c r="U94" s="138" t="e">
        <f t="shared" si="13"/>
        <v>#NUM!</v>
      </c>
      <c r="V94" s="132" t="e">
        <f t="shared" si="14"/>
        <v>#NUM!</v>
      </c>
      <c r="W94" s="132">
        <f t="shared" si="15"/>
        <v>79.99972625375823</v>
      </c>
      <c r="X94" s="138">
        <f t="shared" si="16"/>
        <v>-0.4549948554017798</v>
      </c>
      <c r="Y94" s="128" t="str">
        <f t="shared" si="17"/>
        <v>9999.36954457645-79.4082457387982i</v>
      </c>
      <c r="Z94" s="128" t="e">
        <f t="shared" si="18"/>
        <v>#NUM!</v>
      </c>
      <c r="AA94" s="128" t="e">
        <f t="shared" si="22"/>
        <v>#NUM!</v>
      </c>
      <c r="AB94" s="128" t="e">
        <f t="shared" si="23"/>
        <v>#NUM!</v>
      </c>
      <c r="AC94" s="128" t="e">
        <f t="shared" si="24"/>
        <v>#NUM!</v>
      </c>
      <c r="AD94" s="128" t="e">
        <f t="shared" si="25"/>
        <v>#NUM!</v>
      </c>
      <c r="AE94" s="128" t="e">
        <f t="shared" si="26"/>
        <v>#NUM!</v>
      </c>
      <c r="AF94" s="130"/>
      <c r="AG94" s="130"/>
      <c r="AH94" s="130"/>
      <c r="AI94" s="130"/>
      <c r="AJ94" s="130"/>
      <c r="AK94" s="130"/>
      <c r="AL94" s="130"/>
      <c r="AM94" s="130"/>
      <c r="AN94" s="130"/>
      <c r="AO94" s="130"/>
      <c r="AP94" s="130"/>
      <c r="AQ94" s="130"/>
      <c r="AR94" s="130"/>
      <c r="AS94" s="130"/>
    </row>
    <row r="95" spans="1:45" s="166" customFormat="1" ht="12.75">
      <c r="A95" s="132" t="e">
        <f t="shared" si="0"/>
        <v>#DIV/0!</v>
      </c>
      <c r="B95" s="132">
        <f t="shared" si="19"/>
        <v>1.3000000000000005</v>
      </c>
      <c r="C95" s="138">
        <f t="shared" si="20"/>
        <v>19.952623149688815</v>
      </c>
      <c r="D95" s="137" t="e">
        <f t="shared" si="1"/>
        <v>#DIV/0!</v>
      </c>
      <c r="E95" s="132" t="e">
        <f t="shared" si="2"/>
        <v>#DIV/0!</v>
      </c>
      <c r="G95" s="138"/>
      <c r="H95" s="184" t="str">
        <f t="shared" si="3"/>
        <v>1E+47-7.97664256463329E+53i</v>
      </c>
      <c r="I95" s="132" t="str">
        <f>IMSUM(IMDIV(1,COMPLEX(0,Q95*MLCC*10^-6)),MLCC_ESR*10^-3)</f>
        <v>1E+47-7.97664256463329E+53i</v>
      </c>
      <c r="J95" s="132" t="str">
        <f t="shared" si="4"/>
        <v>5.00000000000002E+46-3.98832128231664E+53i</v>
      </c>
      <c r="K95" s="132"/>
      <c r="L95" s="132" t="e">
        <f t="shared" si="5"/>
        <v>#DIV/0!</v>
      </c>
      <c r="M95" s="132" t="str">
        <f t="shared" si="6"/>
        <v>0</v>
      </c>
      <c r="N95" s="132" t="e">
        <f t="shared" si="7"/>
        <v>#DIV/0!</v>
      </c>
      <c r="O95" s="185" t="e">
        <f t="shared" si="8"/>
        <v>#DIV/0!</v>
      </c>
      <c r="P95" s="185" t="e">
        <f t="shared" si="9"/>
        <v>#DIV/0!</v>
      </c>
      <c r="Q95" s="132">
        <f t="shared" si="10"/>
        <v>125.36602861381604</v>
      </c>
      <c r="R95" s="132">
        <f t="shared" si="21"/>
        <v>1.3000000000000003</v>
      </c>
      <c r="S95" s="164" t="e">
        <f t="shared" si="11"/>
        <v>#DIV/0!</v>
      </c>
      <c r="T95" s="132" t="e">
        <f t="shared" si="12"/>
        <v>#NUM!</v>
      </c>
      <c r="U95" s="138" t="e">
        <f t="shared" si="13"/>
        <v>#NUM!</v>
      </c>
      <c r="V95" s="132" t="e">
        <f t="shared" si="14"/>
        <v>#NUM!</v>
      </c>
      <c r="W95" s="132">
        <f t="shared" si="15"/>
        <v>79.99969984412726</v>
      </c>
      <c r="X95" s="138">
        <f t="shared" si="16"/>
        <v>-0.4764371367850084</v>
      </c>
      <c r="Y95" s="128" t="str">
        <f t="shared" si="17"/>
        <v>9999.30872357813-83.1501354227124i</v>
      </c>
      <c r="Z95" s="128" t="e">
        <f t="shared" si="18"/>
        <v>#NUM!</v>
      </c>
      <c r="AA95" s="128" t="e">
        <f t="shared" si="22"/>
        <v>#NUM!</v>
      </c>
      <c r="AB95" s="128" t="e">
        <f t="shared" si="23"/>
        <v>#NUM!</v>
      </c>
      <c r="AC95" s="128" t="e">
        <f t="shared" si="24"/>
        <v>#NUM!</v>
      </c>
      <c r="AD95" s="128" t="e">
        <f t="shared" si="25"/>
        <v>#NUM!</v>
      </c>
      <c r="AE95" s="128" t="e">
        <f t="shared" si="26"/>
        <v>#NUM!</v>
      </c>
      <c r="AF95" s="130"/>
      <c r="AG95" s="130"/>
      <c r="AH95" s="130"/>
      <c r="AI95" s="130"/>
      <c r="AJ95" s="130"/>
      <c r="AK95" s="130"/>
      <c r="AL95" s="130"/>
      <c r="AM95" s="130"/>
      <c r="AN95" s="130"/>
      <c r="AO95" s="130"/>
      <c r="AP95" s="130"/>
      <c r="AQ95" s="130"/>
      <c r="AR95" s="130"/>
      <c r="AS95" s="130"/>
    </row>
    <row r="96" spans="1:45" s="166" customFormat="1" ht="12.75">
      <c r="A96" s="132" t="e">
        <f t="shared" si="0"/>
        <v>#DIV/0!</v>
      </c>
      <c r="B96" s="132">
        <f t="shared" si="19"/>
        <v>1.3200000000000005</v>
      </c>
      <c r="C96" s="138">
        <f t="shared" si="20"/>
        <v>20.892961308540418</v>
      </c>
      <c r="D96" s="137" t="e">
        <f t="shared" si="1"/>
        <v>#DIV/0!</v>
      </c>
      <c r="E96" s="132" t="e">
        <f t="shared" si="2"/>
        <v>#DIV/0!</v>
      </c>
      <c r="G96" s="138"/>
      <c r="H96" s="184" t="str">
        <f t="shared" si="3"/>
        <v>1E+47-7.61763451056779E+53i</v>
      </c>
      <c r="I96" s="132" t="str">
        <f>IMSUM(IMDIV(1,COMPLEX(0,Q96*MLCC*10^-6)),MLCC_ESR*10^-3)</f>
        <v>1E+47-7.61763451056779E+53i</v>
      </c>
      <c r="J96" s="132" t="str">
        <f t="shared" si="4"/>
        <v>5.00000000000001E+46-3.80881725528389E+53i</v>
      </c>
      <c r="K96" s="132"/>
      <c r="L96" s="132" t="e">
        <f t="shared" si="5"/>
        <v>#DIV/0!</v>
      </c>
      <c r="M96" s="132" t="str">
        <f t="shared" si="6"/>
        <v>0</v>
      </c>
      <c r="N96" s="132" t="e">
        <f t="shared" si="7"/>
        <v>#DIV/0!</v>
      </c>
      <c r="O96" s="185" t="e">
        <f t="shared" si="8"/>
        <v>#DIV/0!</v>
      </c>
      <c r="P96" s="185" t="e">
        <f t="shared" si="9"/>
        <v>#DIV/0!</v>
      </c>
      <c r="Q96" s="132">
        <f t="shared" si="10"/>
        <v>131.27434751729274</v>
      </c>
      <c r="R96" s="132">
        <f t="shared" si="21"/>
        <v>1.3200000000000003</v>
      </c>
      <c r="S96" s="164" t="e">
        <f t="shared" si="11"/>
        <v>#DIV/0!</v>
      </c>
      <c r="T96" s="132" t="e">
        <f t="shared" si="12"/>
        <v>#NUM!</v>
      </c>
      <c r="U96" s="138" t="e">
        <f t="shared" si="13"/>
        <v>#NUM!</v>
      </c>
      <c r="V96" s="132" t="e">
        <f t="shared" si="14"/>
        <v>#NUM!</v>
      </c>
      <c r="W96" s="132">
        <f t="shared" si="15"/>
        <v>79.99967088672733</v>
      </c>
      <c r="X96" s="138">
        <f t="shared" si="16"/>
        <v>-0.498889818719552</v>
      </c>
      <c r="Y96" s="128" t="str">
        <f t="shared" si="17"/>
        <v>9999.2420355298-87.0683000292481i</v>
      </c>
      <c r="Z96" s="128" t="e">
        <f t="shared" si="18"/>
        <v>#NUM!</v>
      </c>
      <c r="AA96" s="128" t="e">
        <f t="shared" si="22"/>
        <v>#NUM!</v>
      </c>
      <c r="AB96" s="128" t="e">
        <f t="shared" si="23"/>
        <v>#NUM!</v>
      </c>
      <c r="AC96" s="128" t="e">
        <f t="shared" si="24"/>
        <v>#NUM!</v>
      </c>
      <c r="AD96" s="128" t="e">
        <f t="shared" si="25"/>
        <v>#NUM!</v>
      </c>
      <c r="AE96" s="128" t="e">
        <f t="shared" si="26"/>
        <v>#NUM!</v>
      </c>
      <c r="AF96" s="130"/>
      <c r="AG96" s="130"/>
      <c r="AH96" s="130"/>
      <c r="AI96" s="130"/>
      <c r="AJ96" s="130"/>
      <c r="AK96" s="130"/>
      <c r="AL96" s="130"/>
      <c r="AM96" s="130"/>
      <c r="AN96" s="130"/>
      <c r="AO96" s="130"/>
      <c r="AP96" s="130"/>
      <c r="AQ96" s="130"/>
      <c r="AR96" s="130"/>
      <c r="AS96" s="130"/>
    </row>
    <row r="97" spans="1:45" s="166" customFormat="1" ht="12.75">
      <c r="A97" s="132" t="e">
        <f t="shared" si="0"/>
        <v>#DIV/0!</v>
      </c>
      <c r="B97" s="132">
        <f t="shared" si="19"/>
        <v>1.3400000000000005</v>
      </c>
      <c r="C97" s="138">
        <f t="shared" si="20"/>
        <v>21.87761623949555</v>
      </c>
      <c r="D97" s="137" t="e">
        <f t="shared" si="1"/>
        <v>#DIV/0!</v>
      </c>
      <c r="E97" s="132" t="e">
        <f t="shared" si="2"/>
        <v>#DIV/0!</v>
      </c>
      <c r="G97" s="138"/>
      <c r="H97" s="184" t="str">
        <f t="shared" si="3"/>
        <v>1E+47-7.27478448061328E+53i</v>
      </c>
      <c r="I97" s="132" t="str">
        <f>IMSUM(IMDIV(1,COMPLEX(0,Q97*MLCC*10^-6)),MLCC_ESR*10^-3)</f>
        <v>1E+47-7.27478448061328E+53i</v>
      </c>
      <c r="J97" s="132" t="str">
        <f t="shared" si="4"/>
        <v>5.00000000000003E+46-3.63739224030663E+53i</v>
      </c>
      <c r="K97" s="132"/>
      <c r="L97" s="132" t="e">
        <f t="shared" si="5"/>
        <v>#DIV/0!</v>
      </c>
      <c r="M97" s="132" t="str">
        <f t="shared" si="6"/>
        <v>0</v>
      </c>
      <c r="N97" s="132" t="e">
        <f t="shared" si="7"/>
        <v>#DIV/0!</v>
      </c>
      <c r="O97" s="185" t="e">
        <f t="shared" si="8"/>
        <v>#DIV/0!</v>
      </c>
      <c r="P97" s="185" t="e">
        <f t="shared" si="9"/>
        <v>#DIV/0!</v>
      </c>
      <c r="Q97" s="132">
        <f t="shared" si="10"/>
        <v>137.46111691211195</v>
      </c>
      <c r="R97" s="132">
        <f t="shared" si="21"/>
        <v>1.3400000000000003</v>
      </c>
      <c r="S97" s="164" t="e">
        <f t="shared" si="11"/>
        <v>#DIV/0!</v>
      </c>
      <c r="T97" s="132" t="e">
        <f t="shared" si="12"/>
        <v>#NUM!</v>
      </c>
      <c r="U97" s="138" t="e">
        <f t="shared" si="13"/>
        <v>#NUM!</v>
      </c>
      <c r="V97" s="132" t="e">
        <f t="shared" si="14"/>
        <v>#NUM!</v>
      </c>
      <c r="W97" s="132">
        <f t="shared" si="15"/>
        <v>79.9996391357916</v>
      </c>
      <c r="X97" s="138">
        <f t="shared" si="16"/>
        <v>-0.5224004987270667</v>
      </c>
      <c r="Y97" s="128" t="str">
        <f t="shared" si="17"/>
        <v>9999.168914561-91.171036044014i</v>
      </c>
      <c r="Z97" s="128" t="e">
        <f t="shared" si="18"/>
        <v>#NUM!</v>
      </c>
      <c r="AA97" s="128" t="e">
        <f t="shared" si="22"/>
        <v>#NUM!</v>
      </c>
      <c r="AB97" s="128" t="e">
        <f t="shared" si="23"/>
        <v>#NUM!</v>
      </c>
      <c r="AC97" s="128" t="e">
        <f t="shared" si="24"/>
        <v>#NUM!</v>
      </c>
      <c r="AD97" s="128" t="e">
        <f t="shared" si="25"/>
        <v>#NUM!</v>
      </c>
      <c r="AE97" s="128" t="e">
        <f t="shared" si="26"/>
        <v>#NUM!</v>
      </c>
      <c r="AF97" s="130"/>
      <c r="AG97" s="130"/>
      <c r="AH97" s="130"/>
      <c r="AI97" s="130"/>
      <c r="AJ97" s="130"/>
      <c r="AK97" s="130"/>
      <c r="AL97" s="130"/>
      <c r="AM97" s="130"/>
      <c r="AN97" s="130"/>
      <c r="AO97" s="130"/>
      <c r="AP97" s="130"/>
      <c r="AQ97" s="130"/>
      <c r="AR97" s="130"/>
      <c r="AS97" s="130"/>
    </row>
    <row r="98" spans="1:45" s="166" customFormat="1" ht="12.75">
      <c r="A98" s="132" t="e">
        <f t="shared" si="0"/>
        <v>#DIV/0!</v>
      </c>
      <c r="B98" s="132">
        <f t="shared" si="19"/>
        <v>1.3600000000000005</v>
      </c>
      <c r="C98" s="138">
        <f t="shared" si="20"/>
        <v>22.90867652767776</v>
      </c>
      <c r="D98" s="137" t="e">
        <f t="shared" si="1"/>
        <v>#DIV/0!</v>
      </c>
      <c r="E98" s="132" t="e">
        <f t="shared" si="2"/>
        <v>#DIV/0!</v>
      </c>
      <c r="G98" s="138"/>
      <c r="H98" s="184" t="str">
        <f t="shared" si="3"/>
        <v>1E+47-6.94736524388947E+53i</v>
      </c>
      <c r="I98" s="132" t="str">
        <f>IMSUM(IMDIV(1,COMPLEX(0,Q98*MLCC*10^-6)),MLCC_ESR*10^-3)</f>
        <v>1E+47-6.94736524388947E+53i</v>
      </c>
      <c r="J98" s="132" t="str">
        <f t="shared" si="4"/>
        <v>4.99999999999997E+46-3.47368262194475E+53i</v>
      </c>
      <c r="K98" s="132"/>
      <c r="L98" s="132" t="e">
        <f t="shared" si="5"/>
        <v>#DIV/0!</v>
      </c>
      <c r="M98" s="132" t="str">
        <f t="shared" si="6"/>
        <v>0</v>
      </c>
      <c r="N98" s="132" t="e">
        <f t="shared" si="7"/>
        <v>#DIV/0!</v>
      </c>
      <c r="O98" s="185" t="e">
        <f t="shared" si="8"/>
        <v>#DIV/0!</v>
      </c>
      <c r="P98" s="185" t="e">
        <f t="shared" si="9"/>
        <v>#DIV/0!</v>
      </c>
      <c r="Q98" s="132">
        <f t="shared" si="10"/>
        <v>143.93945976563475</v>
      </c>
      <c r="R98" s="132">
        <f t="shared" si="21"/>
        <v>1.3600000000000003</v>
      </c>
      <c r="S98" s="164" t="e">
        <f t="shared" si="11"/>
        <v>#DIV/0!</v>
      </c>
      <c r="T98" s="132" t="e">
        <f t="shared" si="12"/>
        <v>#NUM!</v>
      </c>
      <c r="U98" s="138" t="e">
        <f t="shared" si="13"/>
        <v>#NUM!</v>
      </c>
      <c r="V98" s="132" t="e">
        <f t="shared" si="14"/>
        <v>#NUM!</v>
      </c>
      <c r="W98" s="132">
        <f t="shared" si="15"/>
        <v>79.99960432184967</v>
      </c>
      <c r="X98" s="138">
        <f t="shared" si="16"/>
        <v>-0.5470190143925915</v>
      </c>
      <c r="Y98" s="128" t="str">
        <f t="shared" si="17"/>
        <v>9999.08874024189-95.4670293105886i</v>
      </c>
      <c r="Z98" s="128" t="e">
        <f t="shared" si="18"/>
        <v>#NUM!</v>
      </c>
      <c r="AA98" s="128" t="e">
        <f t="shared" si="22"/>
        <v>#NUM!</v>
      </c>
      <c r="AB98" s="128" t="e">
        <f t="shared" si="23"/>
        <v>#NUM!</v>
      </c>
      <c r="AC98" s="128" t="e">
        <f t="shared" si="24"/>
        <v>#NUM!</v>
      </c>
      <c r="AD98" s="128" t="e">
        <f t="shared" si="25"/>
        <v>#NUM!</v>
      </c>
      <c r="AE98" s="128" t="e">
        <f t="shared" si="26"/>
        <v>#NUM!</v>
      </c>
      <c r="AF98" s="130"/>
      <c r="AG98" s="130"/>
      <c r="AH98" s="130"/>
      <c r="AI98" s="130"/>
      <c r="AJ98" s="130"/>
      <c r="AK98" s="130"/>
      <c r="AL98" s="130"/>
      <c r="AM98" s="130"/>
      <c r="AN98" s="130"/>
      <c r="AO98" s="130"/>
      <c r="AP98" s="130"/>
      <c r="AQ98" s="130"/>
      <c r="AR98" s="130"/>
      <c r="AS98" s="130"/>
    </row>
    <row r="99" spans="1:45" s="166" customFormat="1" ht="12.75">
      <c r="A99" s="132" t="e">
        <f t="shared" si="0"/>
        <v>#DIV/0!</v>
      </c>
      <c r="B99" s="132">
        <f t="shared" si="19"/>
        <v>1.3800000000000003</v>
      </c>
      <c r="C99" s="138">
        <f t="shared" si="20"/>
        <v>23.98832919019493</v>
      </c>
      <c r="D99" s="137" t="e">
        <f t="shared" si="1"/>
        <v>#DIV/0!</v>
      </c>
      <c r="E99" s="132" t="e">
        <f t="shared" si="2"/>
        <v>#DIV/0!</v>
      </c>
      <c r="G99" s="138"/>
      <c r="H99" s="184" t="str">
        <f t="shared" si="3"/>
        <v>1E+47-6.63468230029746E+53i</v>
      </c>
      <c r="I99" s="132" t="str">
        <f>IMSUM(IMDIV(1,COMPLEX(0,Q99*MLCC*10^-6)),MLCC_ESR*10^-3)</f>
        <v>1E+47-6.63468230029746E+53i</v>
      </c>
      <c r="J99" s="132" t="str">
        <f t="shared" si="4"/>
        <v>4.99999999999999E+46-3.31734115014874E+53i</v>
      </c>
      <c r="K99" s="132"/>
      <c r="L99" s="132" t="e">
        <f t="shared" si="5"/>
        <v>#DIV/0!</v>
      </c>
      <c r="M99" s="132" t="str">
        <f t="shared" si="6"/>
        <v>0</v>
      </c>
      <c r="N99" s="132" t="e">
        <f t="shared" si="7"/>
        <v>#DIV/0!</v>
      </c>
      <c r="O99" s="185" t="e">
        <f t="shared" si="8"/>
        <v>#DIV/0!</v>
      </c>
      <c r="P99" s="185" t="e">
        <f t="shared" si="9"/>
        <v>#DIV/0!</v>
      </c>
      <c r="Q99" s="132">
        <f t="shared" si="10"/>
        <v>150.72311751161996</v>
      </c>
      <c r="R99" s="132">
        <f t="shared" si="21"/>
        <v>1.3800000000000003</v>
      </c>
      <c r="S99" s="164" t="e">
        <f t="shared" si="11"/>
        <v>#DIV/0!</v>
      </c>
      <c r="T99" s="132" t="e">
        <f t="shared" si="12"/>
        <v>#NUM!</v>
      </c>
      <c r="U99" s="138" t="e">
        <f t="shared" si="13"/>
        <v>#NUM!</v>
      </c>
      <c r="V99" s="132" t="e">
        <f t="shared" si="14"/>
        <v>#NUM!</v>
      </c>
      <c r="W99" s="132">
        <f t="shared" si="15"/>
        <v>79.99956614944217</v>
      </c>
      <c r="X99" s="138">
        <f t="shared" si="16"/>
        <v>-0.5727975484706244</v>
      </c>
      <c r="Y99" s="128" t="str">
        <f t="shared" si="17"/>
        <v>9999.00083232644-99.9653731370566i</v>
      </c>
      <c r="Z99" s="128" t="e">
        <f t="shared" si="18"/>
        <v>#NUM!</v>
      </c>
      <c r="AA99" s="128" t="e">
        <f t="shared" si="22"/>
        <v>#NUM!</v>
      </c>
      <c r="AB99" s="128" t="e">
        <f t="shared" si="23"/>
        <v>#NUM!</v>
      </c>
      <c r="AC99" s="128" t="e">
        <f t="shared" si="24"/>
        <v>#NUM!</v>
      </c>
      <c r="AD99" s="128" t="e">
        <f t="shared" si="25"/>
        <v>#NUM!</v>
      </c>
      <c r="AE99" s="128" t="e">
        <f t="shared" si="26"/>
        <v>#NUM!</v>
      </c>
      <c r="AF99" s="130"/>
      <c r="AG99" s="130"/>
      <c r="AH99" s="130"/>
      <c r="AI99" s="130"/>
      <c r="AJ99" s="130"/>
      <c r="AK99" s="130"/>
      <c r="AL99" s="130"/>
      <c r="AM99" s="130"/>
      <c r="AN99" s="130"/>
      <c r="AO99" s="130"/>
      <c r="AP99" s="130"/>
      <c r="AQ99" s="130"/>
      <c r="AR99" s="130"/>
      <c r="AS99" s="130"/>
    </row>
    <row r="100" spans="1:45" s="166" customFormat="1" ht="12.75">
      <c r="A100" s="132" t="e">
        <f t="shared" si="0"/>
        <v>#DIV/0!</v>
      </c>
      <c r="B100" s="132">
        <f t="shared" si="19"/>
        <v>1.4000000000000006</v>
      </c>
      <c r="C100" s="138">
        <f t="shared" si="20"/>
        <v>25.118864315095834</v>
      </c>
      <c r="D100" s="137" t="e">
        <f t="shared" si="1"/>
        <v>#DIV/0!</v>
      </c>
      <c r="E100" s="132" t="e">
        <f t="shared" si="2"/>
        <v>#DIV/0!</v>
      </c>
      <c r="G100" s="138"/>
      <c r="H100" s="184" t="str">
        <f t="shared" si="3"/>
        <v>1E+47-6.33607240739171E+53i</v>
      </c>
      <c r="I100" s="132" t="str">
        <f>IMSUM(IMDIV(1,COMPLEX(0,Q100*MLCC*10^-6)),MLCC_ESR*10^-3)</f>
        <v>1E+47-6.33607240739171E+53i</v>
      </c>
      <c r="J100" s="132" t="str">
        <f t="shared" si="4"/>
        <v>4.99999999999998E+46-3.16803620369586E+53i</v>
      </c>
      <c r="K100" s="132"/>
      <c r="L100" s="132" t="e">
        <f t="shared" si="5"/>
        <v>#DIV/0!</v>
      </c>
      <c r="M100" s="132" t="str">
        <f t="shared" si="6"/>
        <v>0</v>
      </c>
      <c r="N100" s="132" t="e">
        <f t="shared" si="7"/>
        <v>#DIV/0!</v>
      </c>
      <c r="O100" s="185" t="e">
        <f t="shared" si="8"/>
        <v>#DIV/0!</v>
      </c>
      <c r="P100" s="185" t="e">
        <f t="shared" si="9"/>
        <v>#DIV/0!</v>
      </c>
      <c r="Q100" s="132">
        <f t="shared" si="10"/>
        <v>157.82647919764776</v>
      </c>
      <c r="R100" s="132">
        <f t="shared" si="21"/>
        <v>1.4000000000000004</v>
      </c>
      <c r="S100" s="164" t="e">
        <f t="shared" si="11"/>
        <v>#DIV/0!</v>
      </c>
      <c r="T100" s="132" t="e">
        <f t="shared" si="12"/>
        <v>#NUM!</v>
      </c>
      <c r="U100" s="138" t="e">
        <f t="shared" si="13"/>
        <v>#NUM!</v>
      </c>
      <c r="V100" s="132" t="e">
        <f t="shared" si="14"/>
        <v>#NUM!</v>
      </c>
      <c r="W100" s="132">
        <f t="shared" si="15"/>
        <v>79.99952429461528</v>
      </c>
      <c r="X100" s="138">
        <f t="shared" si="16"/>
        <v>-0.5997907388758581</v>
      </c>
      <c r="Y100" s="128" t="str">
        <f t="shared" si="17"/>
        <v>9998.90444499004-104.675587219862i</v>
      </c>
      <c r="Z100" s="128" t="e">
        <f t="shared" si="18"/>
        <v>#NUM!</v>
      </c>
      <c r="AA100" s="128" t="e">
        <f t="shared" si="22"/>
        <v>#NUM!</v>
      </c>
      <c r="AB100" s="128" t="e">
        <f t="shared" si="23"/>
        <v>#NUM!</v>
      </c>
      <c r="AC100" s="128" t="e">
        <f t="shared" si="24"/>
        <v>#NUM!</v>
      </c>
      <c r="AD100" s="128" t="e">
        <f t="shared" si="25"/>
        <v>#NUM!</v>
      </c>
      <c r="AE100" s="128" t="e">
        <f t="shared" si="26"/>
        <v>#NUM!</v>
      </c>
      <c r="AF100" s="130"/>
      <c r="AG100" s="130"/>
      <c r="AH100" s="130"/>
      <c r="AI100" s="130"/>
      <c r="AJ100" s="130"/>
      <c r="AK100" s="130"/>
      <c r="AL100" s="130"/>
      <c r="AM100" s="130"/>
      <c r="AN100" s="130"/>
      <c r="AO100" s="130"/>
      <c r="AP100" s="130"/>
      <c r="AQ100" s="130"/>
      <c r="AR100" s="130"/>
      <c r="AS100" s="130"/>
    </row>
    <row r="101" spans="1:45" s="166" customFormat="1" ht="12.75">
      <c r="A101" s="132" t="e">
        <f t="shared" si="0"/>
        <v>#DIV/0!</v>
      </c>
      <c r="B101" s="132">
        <f t="shared" si="19"/>
        <v>1.4200000000000006</v>
      </c>
      <c r="C101" s="138">
        <f t="shared" si="20"/>
        <v>26.30267991895385</v>
      </c>
      <c r="D101" s="137" t="e">
        <f t="shared" si="1"/>
        <v>#DIV/0!</v>
      </c>
      <c r="E101" s="132" t="e">
        <f t="shared" si="2"/>
        <v>#DIV/0!</v>
      </c>
      <c r="G101" s="138"/>
      <c r="H101" s="184" t="str">
        <f t="shared" si="3"/>
        <v>1E+47-6.0509021735541E+53i</v>
      </c>
      <c r="I101" s="132" t="str">
        <f>IMSUM(IMDIV(1,COMPLEX(0,Q101*MLCC*10^-6)),MLCC_ESR*10^-3)</f>
        <v>1E+47-6.0509021735541E+53i</v>
      </c>
      <c r="J101" s="132" t="str">
        <f t="shared" si="4"/>
        <v>5E+46-3.02545108677705E+53i</v>
      </c>
      <c r="K101" s="132"/>
      <c r="L101" s="132" t="e">
        <f t="shared" si="5"/>
        <v>#DIV/0!</v>
      </c>
      <c r="M101" s="132" t="str">
        <f t="shared" si="6"/>
        <v>0</v>
      </c>
      <c r="N101" s="132" t="e">
        <f t="shared" si="7"/>
        <v>#DIV/0!</v>
      </c>
      <c r="O101" s="185" t="e">
        <f t="shared" si="8"/>
        <v>#DIV/0!</v>
      </c>
      <c r="P101" s="185" t="e">
        <f t="shared" si="9"/>
        <v>#DIV/0!</v>
      </c>
      <c r="Q101" s="132">
        <f t="shared" si="10"/>
        <v>165.26461200621839</v>
      </c>
      <c r="R101" s="132">
        <f t="shared" si="21"/>
        <v>1.4200000000000004</v>
      </c>
      <c r="S101" s="164" t="e">
        <f t="shared" si="11"/>
        <v>#DIV/0!</v>
      </c>
      <c r="T101" s="132" t="e">
        <f t="shared" si="12"/>
        <v>#NUM!</v>
      </c>
      <c r="U101" s="138" t="e">
        <f t="shared" si="13"/>
        <v>#NUM!</v>
      </c>
      <c r="V101" s="132" t="e">
        <f t="shared" si="14"/>
        <v>#NUM!</v>
      </c>
      <c r="W101" s="132">
        <f t="shared" si="15"/>
        <v>79.99947840217382</v>
      </c>
      <c r="X101" s="138">
        <f t="shared" si="16"/>
        <v>-0.628055793778601</v>
      </c>
      <c r="Y101" s="128" t="str">
        <f t="shared" si="17"/>
        <v>9998.79876051261-109.607637418167i</v>
      </c>
      <c r="Z101" s="128" t="e">
        <f t="shared" si="18"/>
        <v>#NUM!</v>
      </c>
      <c r="AA101" s="128" t="e">
        <f t="shared" si="22"/>
        <v>#NUM!</v>
      </c>
      <c r="AB101" s="128" t="e">
        <f t="shared" si="23"/>
        <v>#NUM!</v>
      </c>
      <c r="AC101" s="128" t="e">
        <f t="shared" si="24"/>
        <v>#NUM!</v>
      </c>
      <c r="AD101" s="128" t="e">
        <f t="shared" si="25"/>
        <v>#NUM!</v>
      </c>
      <c r="AE101" s="128" t="e">
        <f t="shared" si="26"/>
        <v>#NUM!</v>
      </c>
      <c r="AF101" s="130"/>
      <c r="AG101" s="130"/>
      <c r="AH101" s="130"/>
      <c r="AI101" s="130"/>
      <c r="AJ101" s="130"/>
      <c r="AK101" s="130"/>
      <c r="AL101" s="130"/>
      <c r="AM101" s="130"/>
      <c r="AN101" s="130"/>
      <c r="AO101" s="130"/>
      <c r="AP101" s="130"/>
      <c r="AQ101" s="130"/>
      <c r="AR101" s="130"/>
      <c r="AS101" s="130"/>
    </row>
    <row r="102" spans="1:45" s="166" customFormat="1" ht="12.75">
      <c r="A102" s="132" t="e">
        <f t="shared" si="0"/>
        <v>#DIV/0!</v>
      </c>
      <c r="B102" s="132">
        <f t="shared" si="19"/>
        <v>1.4400000000000006</v>
      </c>
      <c r="C102" s="138">
        <f t="shared" si="20"/>
        <v>27.5422870333817</v>
      </c>
      <c r="D102" s="137" t="e">
        <f t="shared" si="1"/>
        <v>#DIV/0!</v>
      </c>
      <c r="E102" s="132" t="e">
        <f t="shared" si="2"/>
        <v>#DIV/0!</v>
      </c>
      <c r="G102" s="138"/>
      <c r="H102" s="184" t="str">
        <f t="shared" si="3"/>
        <v>1E+47-5.77856671448514E+53i</v>
      </c>
      <c r="I102" s="132" t="str">
        <f>IMSUM(IMDIV(1,COMPLEX(0,Q102*MLCC*10^-6)),MLCC_ESR*10^-3)</f>
        <v>1E+47-5.77856671448514E+53i</v>
      </c>
      <c r="J102" s="132" t="str">
        <f t="shared" si="4"/>
        <v>5.00000000000002E+46-2.88928335724257E+53i</v>
      </c>
      <c r="K102" s="132"/>
      <c r="L102" s="132" t="e">
        <f t="shared" si="5"/>
        <v>#DIV/0!</v>
      </c>
      <c r="M102" s="132" t="str">
        <f t="shared" si="6"/>
        <v>0</v>
      </c>
      <c r="N102" s="132" t="e">
        <f t="shared" si="7"/>
        <v>#DIV/0!</v>
      </c>
      <c r="O102" s="185" t="e">
        <f t="shared" si="8"/>
        <v>#DIV/0!</v>
      </c>
      <c r="P102" s="185" t="e">
        <f t="shared" si="9"/>
        <v>#DIV/0!</v>
      </c>
      <c r="Q102" s="132">
        <f t="shared" si="10"/>
        <v>173.05329321426674</v>
      </c>
      <c r="R102" s="132">
        <f t="shared" si="21"/>
        <v>1.4400000000000004</v>
      </c>
      <c r="S102" s="164" t="e">
        <f t="shared" si="11"/>
        <v>#DIV/0!</v>
      </c>
      <c r="T102" s="132" t="e">
        <f t="shared" si="12"/>
        <v>#NUM!</v>
      </c>
      <c r="U102" s="138" t="e">
        <f t="shared" si="13"/>
        <v>#NUM!</v>
      </c>
      <c r="V102" s="132" t="e">
        <f t="shared" si="14"/>
        <v>#NUM!</v>
      </c>
      <c r="W102" s="132">
        <f t="shared" si="15"/>
        <v>79.9994280826698</v>
      </c>
      <c r="X102" s="138">
        <f t="shared" si="16"/>
        <v>-0.6576526120337474</v>
      </c>
      <c r="Y102" s="128" t="str">
        <f t="shared" si="17"/>
        <v>9998.6828823546-114.771956412687i</v>
      </c>
      <c r="Z102" s="128" t="e">
        <f t="shared" si="18"/>
        <v>#NUM!</v>
      </c>
      <c r="AA102" s="128" t="e">
        <f t="shared" si="22"/>
        <v>#NUM!</v>
      </c>
      <c r="AB102" s="128" t="e">
        <f t="shared" si="23"/>
        <v>#NUM!</v>
      </c>
      <c r="AC102" s="128" t="e">
        <f t="shared" si="24"/>
        <v>#NUM!</v>
      </c>
      <c r="AD102" s="128" t="e">
        <f t="shared" si="25"/>
        <v>#NUM!</v>
      </c>
      <c r="AE102" s="128" t="e">
        <f t="shared" si="26"/>
        <v>#NUM!</v>
      </c>
      <c r="AF102" s="130"/>
      <c r="AG102" s="130"/>
      <c r="AH102" s="130"/>
      <c r="AI102" s="130"/>
      <c r="AJ102" s="130"/>
      <c r="AK102" s="130"/>
      <c r="AL102" s="130"/>
      <c r="AM102" s="130"/>
      <c r="AN102" s="130"/>
      <c r="AO102" s="130"/>
      <c r="AP102" s="130"/>
      <c r="AQ102" s="130"/>
      <c r="AR102" s="130"/>
      <c r="AS102" s="130"/>
    </row>
    <row r="103" spans="1:45" s="166" customFormat="1" ht="12.75">
      <c r="A103" s="132" t="e">
        <f t="shared" si="0"/>
        <v>#DIV/0!</v>
      </c>
      <c r="B103" s="132">
        <f t="shared" si="19"/>
        <v>1.4600000000000006</v>
      </c>
      <c r="C103" s="138">
        <f t="shared" si="20"/>
        <v>28.840315031266094</v>
      </c>
      <c r="D103" s="137" t="e">
        <f t="shared" si="1"/>
        <v>#DIV/0!</v>
      </c>
      <c r="E103" s="132" t="e">
        <f t="shared" si="2"/>
        <v>#DIV/0!</v>
      </c>
      <c r="G103" s="138"/>
      <c r="H103" s="184" t="str">
        <f t="shared" si="3"/>
        <v>1E+47-5.51848837016355E+53i</v>
      </c>
      <c r="I103" s="132" t="str">
        <f>IMSUM(IMDIV(1,COMPLEX(0,Q103*MLCC*10^-6)),MLCC_ESR*10^-3)</f>
        <v>1E+47-5.51848837016355E+53i</v>
      </c>
      <c r="J103" s="132" t="str">
        <f t="shared" si="4"/>
        <v>4.99999999999999E+46-2.75924418508178E+53i</v>
      </c>
      <c r="K103" s="132"/>
      <c r="L103" s="132" t="e">
        <f t="shared" si="5"/>
        <v>#DIV/0!</v>
      </c>
      <c r="M103" s="132" t="str">
        <f t="shared" si="6"/>
        <v>0</v>
      </c>
      <c r="N103" s="132" t="e">
        <f t="shared" si="7"/>
        <v>#DIV/0!</v>
      </c>
      <c r="O103" s="185" t="e">
        <f t="shared" si="8"/>
        <v>#DIV/0!</v>
      </c>
      <c r="P103" s="185" t="e">
        <f t="shared" si="9"/>
        <v>#DIV/0!</v>
      </c>
      <c r="Q103" s="132">
        <f t="shared" si="10"/>
        <v>181.20904365888168</v>
      </c>
      <c r="R103" s="132">
        <f t="shared" si="21"/>
        <v>1.4600000000000004</v>
      </c>
      <c r="S103" s="164" t="e">
        <f t="shared" si="11"/>
        <v>#DIV/0!</v>
      </c>
      <c r="T103" s="132" t="e">
        <f t="shared" si="12"/>
        <v>#NUM!</v>
      </c>
      <c r="U103" s="138" t="e">
        <f t="shared" si="13"/>
        <v>#NUM!</v>
      </c>
      <c r="V103" s="132" t="e">
        <f t="shared" si="14"/>
        <v>#NUM!</v>
      </c>
      <c r="W103" s="132">
        <f t="shared" si="15"/>
        <v>79.99937290910087</v>
      </c>
      <c r="X103" s="138">
        <f t="shared" si="16"/>
        <v>-0.6886439091812885</v>
      </c>
      <c r="Y103" s="128" t="str">
        <f t="shared" si="17"/>
        <v>9998.55582756721-120.179465283672i</v>
      </c>
      <c r="Z103" s="128" t="e">
        <f t="shared" si="18"/>
        <v>#NUM!</v>
      </c>
      <c r="AA103" s="128" t="e">
        <f t="shared" si="22"/>
        <v>#NUM!</v>
      </c>
      <c r="AB103" s="128" t="e">
        <f t="shared" si="23"/>
        <v>#NUM!</v>
      </c>
      <c r="AC103" s="128" t="e">
        <f t="shared" si="24"/>
        <v>#NUM!</v>
      </c>
      <c r="AD103" s="128" t="e">
        <f t="shared" si="25"/>
        <v>#NUM!</v>
      </c>
      <c r="AE103" s="128" t="e">
        <f t="shared" si="26"/>
        <v>#NUM!</v>
      </c>
      <c r="AF103" s="130"/>
      <c r="AG103" s="130"/>
      <c r="AH103" s="130"/>
      <c r="AI103" s="130"/>
      <c r="AJ103" s="130"/>
      <c r="AK103" s="130"/>
      <c r="AL103" s="130"/>
      <c r="AM103" s="130"/>
      <c r="AN103" s="130"/>
      <c r="AO103" s="130"/>
      <c r="AP103" s="130"/>
      <c r="AQ103" s="130"/>
      <c r="AR103" s="130"/>
      <c r="AS103" s="130"/>
    </row>
    <row r="104" spans="1:45" s="166" customFormat="1" ht="12.75">
      <c r="A104" s="132" t="e">
        <f t="shared" si="0"/>
        <v>#DIV/0!</v>
      </c>
      <c r="B104" s="132">
        <f t="shared" si="19"/>
        <v>1.4800000000000006</v>
      </c>
      <c r="C104" s="138">
        <f t="shared" si="20"/>
        <v>30.199517204020204</v>
      </c>
      <c r="D104" s="137" t="e">
        <f t="shared" si="1"/>
        <v>#DIV/0!</v>
      </c>
      <c r="E104" s="132" t="e">
        <f t="shared" si="2"/>
        <v>#DIV/0!</v>
      </c>
      <c r="G104" s="138"/>
      <c r="H104" s="184" t="str">
        <f t="shared" si="3"/>
        <v>1E+47-5.27011547955172E+53i</v>
      </c>
      <c r="I104" s="132" t="str">
        <f>IMSUM(IMDIV(1,COMPLEX(0,Q104*MLCC*10^-6)),MLCC_ESR*10^-3)</f>
        <v>1E+47-5.27011547955172E+53i</v>
      </c>
      <c r="J104" s="132" t="str">
        <f t="shared" si="4"/>
        <v>4.99999999999995E+46-2.63505773977587E+53i</v>
      </c>
      <c r="K104" s="132"/>
      <c r="L104" s="132" t="e">
        <f t="shared" si="5"/>
        <v>#DIV/0!</v>
      </c>
      <c r="M104" s="132" t="str">
        <f t="shared" si="6"/>
        <v>0</v>
      </c>
      <c r="N104" s="132" t="e">
        <f t="shared" si="7"/>
        <v>#DIV/0!</v>
      </c>
      <c r="O104" s="185" t="e">
        <f t="shared" si="8"/>
        <v>#DIV/0!</v>
      </c>
      <c r="P104" s="185" t="e">
        <f t="shared" si="9"/>
        <v>#DIV/0!</v>
      </c>
      <c r="Q104" s="132">
        <f t="shared" si="10"/>
        <v>189.7491627802169</v>
      </c>
      <c r="R104" s="132">
        <f t="shared" si="21"/>
        <v>1.4800000000000004</v>
      </c>
      <c r="S104" s="164" t="e">
        <f t="shared" si="11"/>
        <v>#DIV/0!</v>
      </c>
      <c r="T104" s="132" t="e">
        <f t="shared" si="12"/>
        <v>#NUM!</v>
      </c>
      <c r="U104" s="138" t="e">
        <f t="shared" si="13"/>
        <v>#NUM!</v>
      </c>
      <c r="V104" s="132" t="e">
        <f t="shared" si="14"/>
        <v>#NUM!</v>
      </c>
      <c r="W104" s="132">
        <f t="shared" si="15"/>
        <v>79.99931241329116</v>
      </c>
      <c r="X104" s="138">
        <f t="shared" si="16"/>
        <v>-0.721095349265449</v>
      </c>
      <c r="Y104" s="128" t="str">
        <f t="shared" si="17"/>
        <v>9998.41651847351-125.841596043288i</v>
      </c>
      <c r="Z104" s="128" t="e">
        <f t="shared" si="18"/>
        <v>#NUM!</v>
      </c>
      <c r="AA104" s="128" t="e">
        <f t="shared" si="22"/>
        <v>#NUM!</v>
      </c>
      <c r="AB104" s="128" t="e">
        <f t="shared" si="23"/>
        <v>#NUM!</v>
      </c>
      <c r="AC104" s="128" t="e">
        <f t="shared" si="24"/>
        <v>#NUM!</v>
      </c>
      <c r="AD104" s="128" t="e">
        <f t="shared" si="25"/>
        <v>#NUM!</v>
      </c>
      <c r="AE104" s="128" t="e">
        <f t="shared" si="26"/>
        <v>#NUM!</v>
      </c>
      <c r="AF104" s="130"/>
      <c r="AG104" s="130"/>
      <c r="AH104" s="130"/>
      <c r="AI104" s="130"/>
      <c r="AJ104" s="130"/>
      <c r="AK104" s="130"/>
      <c r="AL104" s="130"/>
      <c r="AM104" s="130"/>
      <c r="AN104" s="130"/>
      <c r="AO104" s="130"/>
      <c r="AP104" s="130"/>
      <c r="AQ104" s="130"/>
      <c r="AR104" s="130"/>
      <c r="AS104" s="130"/>
    </row>
    <row r="105" spans="1:45" s="166" customFormat="1" ht="12.75">
      <c r="A105" s="132" t="e">
        <f t="shared" si="0"/>
        <v>#DIV/0!</v>
      </c>
      <c r="B105" s="132">
        <f t="shared" si="19"/>
        <v>1.5000000000000004</v>
      </c>
      <c r="C105" s="138">
        <f t="shared" si="20"/>
        <v>31.62277660168383</v>
      </c>
      <c r="D105" s="137" t="e">
        <f t="shared" si="1"/>
        <v>#DIV/0!</v>
      </c>
      <c r="E105" s="132" t="e">
        <f t="shared" si="2"/>
        <v>#DIV/0!</v>
      </c>
      <c r="G105" s="138"/>
      <c r="H105" s="184" t="str">
        <f t="shared" si="3"/>
        <v>1E+47-5.0329212104487E+53i</v>
      </c>
      <c r="I105" s="132" t="str">
        <f>IMSUM(IMDIV(1,COMPLEX(0,Q105*MLCC*10^-6)),MLCC_ESR*10^-3)</f>
        <v>1E+47-5.0329212104487E+53i</v>
      </c>
      <c r="J105" s="132" t="str">
        <f t="shared" si="4"/>
        <v>5E+46-2.51646060522435E+53i</v>
      </c>
      <c r="K105" s="132"/>
      <c r="L105" s="132" t="e">
        <f t="shared" si="5"/>
        <v>#DIV/0!</v>
      </c>
      <c r="M105" s="132" t="str">
        <f t="shared" si="6"/>
        <v>0</v>
      </c>
      <c r="N105" s="132" t="e">
        <f t="shared" si="7"/>
        <v>#DIV/0!</v>
      </c>
      <c r="O105" s="185" t="e">
        <f t="shared" si="8"/>
        <v>#DIV/0!</v>
      </c>
      <c r="P105" s="185" t="e">
        <f t="shared" si="9"/>
        <v>#DIV/0!</v>
      </c>
      <c r="Q105" s="132">
        <f t="shared" si="10"/>
        <v>198.69176531592225</v>
      </c>
      <c r="R105" s="132">
        <f t="shared" si="21"/>
        <v>1.5000000000000004</v>
      </c>
      <c r="S105" s="164" t="e">
        <f t="shared" si="11"/>
        <v>#DIV/0!</v>
      </c>
      <c r="T105" s="132" t="e">
        <f t="shared" si="12"/>
        <v>#NUM!</v>
      </c>
      <c r="U105" s="138" t="e">
        <f t="shared" si="13"/>
        <v>#NUM!</v>
      </c>
      <c r="V105" s="132" t="e">
        <f t="shared" si="14"/>
        <v>#NUM!</v>
      </c>
      <c r="W105" s="132">
        <f t="shared" si="15"/>
        <v>79.99924608192343</v>
      </c>
      <c r="X105" s="138">
        <f t="shared" si="16"/>
        <v>-0.755075682729038</v>
      </c>
      <c r="Y105" s="128" t="str">
        <f t="shared" si="17"/>
        <v>9998.26377355043-131.770315158141i</v>
      </c>
      <c r="Z105" s="128" t="e">
        <f t="shared" si="18"/>
        <v>#NUM!</v>
      </c>
      <c r="AA105" s="128" t="e">
        <f t="shared" si="22"/>
        <v>#NUM!</v>
      </c>
      <c r="AB105" s="128" t="e">
        <f t="shared" si="23"/>
        <v>#NUM!</v>
      </c>
      <c r="AC105" s="128" t="e">
        <f t="shared" si="24"/>
        <v>#NUM!</v>
      </c>
      <c r="AD105" s="128" t="e">
        <f t="shared" si="25"/>
        <v>#NUM!</v>
      </c>
      <c r="AE105" s="128" t="e">
        <f t="shared" si="26"/>
        <v>#NUM!</v>
      </c>
      <c r="AF105" s="130"/>
      <c r="AG105" s="130"/>
      <c r="AH105" s="130"/>
      <c r="AI105" s="130"/>
      <c r="AJ105" s="130"/>
      <c r="AK105" s="130"/>
      <c r="AL105" s="130"/>
      <c r="AM105" s="130"/>
      <c r="AN105" s="130"/>
      <c r="AO105" s="130"/>
      <c r="AP105" s="130"/>
      <c r="AQ105" s="130"/>
      <c r="AR105" s="130"/>
      <c r="AS105" s="130"/>
    </row>
    <row r="106" spans="1:45" s="166" customFormat="1" ht="12.75">
      <c r="A106" s="132" t="e">
        <f t="shared" si="0"/>
        <v>#DIV/0!</v>
      </c>
      <c r="B106" s="132">
        <f t="shared" si="19"/>
        <v>1.5200000000000007</v>
      </c>
      <c r="C106" s="138">
        <f t="shared" si="20"/>
        <v>33.113112148259155</v>
      </c>
      <c r="D106" s="137" t="e">
        <f t="shared" si="1"/>
        <v>#DIV/0!</v>
      </c>
      <c r="E106" s="132" t="e">
        <f t="shared" si="2"/>
        <v>#DIV/0!</v>
      </c>
      <c r="G106" s="138"/>
      <c r="H106" s="184" t="str">
        <f t="shared" si="3"/>
        <v>1E+47-4.80640244200853E+53i</v>
      </c>
      <c r="I106" s="132" t="str">
        <f>IMSUM(IMDIV(1,COMPLEX(0,Q106*MLCC*10^-6)),MLCC_ESR*10^-3)</f>
        <v>1E+47-4.80640244200853E+53i</v>
      </c>
      <c r="J106" s="132" t="str">
        <f t="shared" si="4"/>
        <v>4.99999999999999E+46-2.40320122100427E+53i</v>
      </c>
      <c r="K106" s="132"/>
      <c r="L106" s="132" t="e">
        <f t="shared" si="5"/>
        <v>#DIV/0!</v>
      </c>
      <c r="M106" s="132" t="str">
        <f t="shared" si="6"/>
        <v>0</v>
      </c>
      <c r="N106" s="132" t="e">
        <f t="shared" si="7"/>
        <v>#DIV/0!</v>
      </c>
      <c r="O106" s="185" t="e">
        <f t="shared" si="8"/>
        <v>#DIV/0!</v>
      </c>
      <c r="P106" s="185" t="e">
        <f t="shared" si="9"/>
        <v>#DIV/0!</v>
      </c>
      <c r="Q106" s="132">
        <f t="shared" si="10"/>
        <v>208.05581972493178</v>
      </c>
      <c r="R106" s="132">
        <f t="shared" si="21"/>
        <v>1.5200000000000005</v>
      </c>
      <c r="S106" s="164" t="e">
        <f t="shared" si="11"/>
        <v>#DIV/0!</v>
      </c>
      <c r="T106" s="132" t="e">
        <f t="shared" si="12"/>
        <v>#NUM!</v>
      </c>
      <c r="U106" s="138" t="e">
        <f t="shared" si="13"/>
        <v>#NUM!</v>
      </c>
      <c r="V106" s="132" t="e">
        <f t="shared" si="14"/>
        <v>#NUM!</v>
      </c>
      <c r="W106" s="132">
        <f t="shared" si="15"/>
        <v>79.99917335218939</v>
      </c>
      <c r="X106" s="138">
        <f t="shared" si="16"/>
        <v>-0.7906568906490786</v>
      </c>
      <c r="Y106" s="128" t="str">
        <f t="shared" si="17"/>
        <v>9998.09629743537-137.978148098011i</v>
      </c>
      <c r="Z106" s="128" t="e">
        <f t="shared" si="18"/>
        <v>#NUM!</v>
      </c>
      <c r="AA106" s="128" t="e">
        <f t="shared" si="22"/>
        <v>#NUM!</v>
      </c>
      <c r="AB106" s="128" t="e">
        <f t="shared" si="23"/>
        <v>#NUM!</v>
      </c>
      <c r="AC106" s="128" t="e">
        <f t="shared" si="24"/>
        <v>#NUM!</v>
      </c>
      <c r="AD106" s="128" t="e">
        <f t="shared" si="25"/>
        <v>#NUM!</v>
      </c>
      <c r="AE106" s="128" t="e">
        <f t="shared" si="26"/>
        <v>#NUM!</v>
      </c>
      <c r="AF106" s="130"/>
      <c r="AG106" s="130"/>
      <c r="AH106" s="130"/>
      <c r="AI106" s="130"/>
      <c r="AJ106" s="130"/>
      <c r="AK106" s="130"/>
      <c r="AL106" s="130"/>
      <c r="AM106" s="130"/>
      <c r="AN106" s="130"/>
      <c r="AO106" s="130"/>
      <c r="AP106" s="130"/>
      <c r="AQ106" s="130"/>
      <c r="AR106" s="130"/>
      <c r="AS106" s="130"/>
    </row>
    <row r="107" spans="1:45" s="166" customFormat="1" ht="12.75">
      <c r="A107" s="132" t="e">
        <f t="shared" si="0"/>
        <v>#DIV/0!</v>
      </c>
      <c r="B107" s="132">
        <f t="shared" si="19"/>
        <v>1.5400000000000005</v>
      </c>
      <c r="C107" s="138">
        <f t="shared" si="20"/>
        <v>34.67368504525321</v>
      </c>
      <c r="D107" s="137" t="e">
        <f t="shared" si="1"/>
        <v>#DIV/0!</v>
      </c>
      <c r="E107" s="132" t="e">
        <f t="shared" si="2"/>
        <v>#DIV/0!</v>
      </c>
      <c r="G107" s="138"/>
      <c r="H107" s="184" t="str">
        <f t="shared" si="3"/>
        <v>1E+47-4.59007869755349E+53i</v>
      </c>
      <c r="I107" s="132" t="str">
        <f>IMSUM(IMDIV(1,COMPLEX(0,Q107*MLCC*10^-6)),MLCC_ESR*10^-3)</f>
        <v>1E+47-4.59007869755349E+53i</v>
      </c>
      <c r="J107" s="132" t="str">
        <f t="shared" si="4"/>
        <v>5.00000000000001E+46-2.29503934877674E+53i</v>
      </c>
      <c r="K107" s="132"/>
      <c r="L107" s="132" t="e">
        <f t="shared" si="5"/>
        <v>#DIV/0!</v>
      </c>
      <c r="M107" s="132" t="str">
        <f t="shared" si="6"/>
        <v>0</v>
      </c>
      <c r="N107" s="132" t="e">
        <f t="shared" si="7"/>
        <v>#DIV/0!</v>
      </c>
      <c r="O107" s="185" t="e">
        <f t="shared" si="8"/>
        <v>#DIV/0!</v>
      </c>
      <c r="P107" s="185" t="e">
        <f t="shared" si="9"/>
        <v>#DIV/0!</v>
      </c>
      <c r="Q107" s="132">
        <f t="shared" si="10"/>
        <v>217.86118842210752</v>
      </c>
      <c r="R107" s="132">
        <f t="shared" si="21"/>
        <v>1.5400000000000005</v>
      </c>
      <c r="S107" s="164" t="e">
        <f t="shared" si="11"/>
        <v>#DIV/0!</v>
      </c>
      <c r="T107" s="132" t="e">
        <f t="shared" si="12"/>
        <v>#NUM!</v>
      </c>
      <c r="U107" s="138" t="e">
        <f t="shared" si="13"/>
        <v>#NUM!</v>
      </c>
      <c r="V107" s="132" t="e">
        <f t="shared" si="14"/>
        <v>#NUM!</v>
      </c>
      <c r="W107" s="132">
        <f t="shared" si="15"/>
        <v>79.99909360702168</v>
      </c>
      <c r="X107" s="138">
        <f t="shared" si="16"/>
        <v>-0.8279143355891574</v>
      </c>
      <c r="Y107" s="128" t="str">
        <f t="shared" si="17"/>
        <v>9997.91266997384-144.478204946969i</v>
      </c>
      <c r="Z107" s="128" t="e">
        <f t="shared" si="18"/>
        <v>#NUM!</v>
      </c>
      <c r="AA107" s="128" t="e">
        <f t="shared" si="22"/>
        <v>#NUM!</v>
      </c>
      <c r="AB107" s="128" t="e">
        <f t="shared" si="23"/>
        <v>#NUM!</v>
      </c>
      <c r="AC107" s="128" t="e">
        <f t="shared" si="24"/>
        <v>#NUM!</v>
      </c>
      <c r="AD107" s="128" t="e">
        <f t="shared" si="25"/>
        <v>#NUM!</v>
      </c>
      <c r="AE107" s="128" t="e">
        <f t="shared" si="26"/>
        <v>#NUM!</v>
      </c>
      <c r="AF107" s="130"/>
      <c r="AG107" s="130"/>
      <c r="AH107" s="130"/>
      <c r="AI107" s="130"/>
      <c r="AJ107" s="130"/>
      <c r="AK107" s="130"/>
      <c r="AL107" s="130"/>
      <c r="AM107" s="130"/>
      <c r="AN107" s="130"/>
      <c r="AO107" s="130"/>
      <c r="AP107" s="130"/>
      <c r="AQ107" s="130"/>
      <c r="AR107" s="130"/>
      <c r="AS107" s="130"/>
    </row>
    <row r="108" spans="1:45" s="166" customFormat="1" ht="12.75">
      <c r="A108" s="132" t="e">
        <f t="shared" si="0"/>
        <v>#DIV/0!</v>
      </c>
      <c r="B108" s="132">
        <f t="shared" si="19"/>
        <v>1.5600000000000007</v>
      </c>
      <c r="C108" s="138">
        <f t="shared" si="20"/>
        <v>36.30780547701019</v>
      </c>
      <c r="D108" s="137" t="e">
        <f t="shared" si="1"/>
        <v>#DIV/0!</v>
      </c>
      <c r="E108" s="132" t="e">
        <f t="shared" si="2"/>
        <v>#DIV/0!</v>
      </c>
      <c r="G108" s="138"/>
      <c r="H108" s="184" t="str">
        <f t="shared" si="3"/>
        <v>1E+47-4.3834911254185E+53i</v>
      </c>
      <c r="I108" s="132" t="str">
        <f>IMSUM(IMDIV(1,COMPLEX(0,Q108*MLCC*10^-6)),MLCC_ESR*10^-3)</f>
        <v>1E+47-4.3834911254185E+53i</v>
      </c>
      <c r="J108" s="132" t="str">
        <f t="shared" si="4"/>
        <v>5.00000000000001E+46-2.19174556270924E+53i</v>
      </c>
      <c r="K108" s="132"/>
      <c r="L108" s="132" t="e">
        <f t="shared" si="5"/>
        <v>#DIV/0!</v>
      </c>
      <c r="M108" s="132" t="str">
        <f t="shared" si="6"/>
        <v>0</v>
      </c>
      <c r="N108" s="132" t="e">
        <f t="shared" si="7"/>
        <v>#DIV/0!</v>
      </c>
      <c r="O108" s="185" t="e">
        <f t="shared" si="8"/>
        <v>#DIV/0!</v>
      </c>
      <c r="P108" s="185" t="e">
        <f t="shared" si="9"/>
        <v>#DIV/0!</v>
      </c>
      <c r="Q108" s="132">
        <f t="shared" si="10"/>
        <v>228.12866990908495</v>
      </c>
      <c r="R108" s="132">
        <f t="shared" si="21"/>
        <v>1.5600000000000005</v>
      </c>
      <c r="S108" s="164" t="e">
        <f t="shared" si="11"/>
        <v>#DIV/0!</v>
      </c>
      <c r="T108" s="132" t="e">
        <f t="shared" si="12"/>
        <v>#NUM!</v>
      </c>
      <c r="U108" s="138" t="e">
        <f t="shared" si="13"/>
        <v>#NUM!</v>
      </c>
      <c r="V108" s="132" t="e">
        <f t="shared" si="14"/>
        <v>#NUM!</v>
      </c>
      <c r="W108" s="132">
        <f t="shared" si="15"/>
        <v>79.99900616986702</v>
      </c>
      <c r="X108" s="138">
        <f t="shared" si="16"/>
        <v>-0.8669269193536624</v>
      </c>
      <c r="Y108" s="128" t="str">
        <f t="shared" si="17"/>
        <v>9997.71133421667-151.284207112993i</v>
      </c>
      <c r="Z108" s="128" t="e">
        <f t="shared" si="18"/>
        <v>#NUM!</v>
      </c>
      <c r="AA108" s="128" t="e">
        <f t="shared" si="22"/>
        <v>#NUM!</v>
      </c>
      <c r="AB108" s="128" t="e">
        <f t="shared" si="23"/>
        <v>#NUM!</v>
      </c>
      <c r="AC108" s="128" t="e">
        <f t="shared" si="24"/>
        <v>#NUM!</v>
      </c>
      <c r="AD108" s="128" t="e">
        <f t="shared" si="25"/>
        <v>#NUM!</v>
      </c>
      <c r="AE108" s="128" t="e">
        <f t="shared" si="26"/>
        <v>#NUM!</v>
      </c>
      <c r="AF108" s="130"/>
      <c r="AG108" s="130"/>
      <c r="AH108" s="130"/>
      <c r="AI108" s="130"/>
      <c r="AJ108" s="130"/>
      <c r="AK108" s="130"/>
      <c r="AL108" s="130"/>
      <c r="AM108" s="130"/>
      <c r="AN108" s="130"/>
      <c r="AO108" s="130"/>
      <c r="AP108" s="130"/>
      <c r="AQ108" s="130"/>
      <c r="AR108" s="130"/>
      <c r="AS108" s="130"/>
    </row>
    <row r="109" spans="1:45" s="166" customFormat="1" ht="12.75">
      <c r="A109" s="132" t="e">
        <f t="shared" si="0"/>
        <v>#DIV/0!</v>
      </c>
      <c r="B109" s="132">
        <f t="shared" si="19"/>
        <v>1.5800000000000005</v>
      </c>
      <c r="C109" s="138">
        <f t="shared" si="20"/>
        <v>38.01893963205617</v>
      </c>
      <c r="D109" s="137" t="e">
        <f t="shared" si="1"/>
        <v>#DIV/0!</v>
      </c>
      <c r="E109" s="132" t="e">
        <f t="shared" si="2"/>
        <v>#DIV/0!</v>
      </c>
      <c r="G109" s="138"/>
      <c r="H109" s="184" t="str">
        <f t="shared" si="3"/>
        <v>1E+47-4.18620152566543E+53i</v>
      </c>
      <c r="I109" s="132" t="str">
        <f>IMSUM(IMDIV(1,COMPLEX(0,Q109*MLCC*10^-6)),MLCC_ESR*10^-3)</f>
        <v>1E+47-4.18620152566543E+53i</v>
      </c>
      <c r="J109" s="132" t="str">
        <f t="shared" si="4"/>
        <v>4.99999999999999E+46-2.09310076283272E+53i</v>
      </c>
      <c r="K109" s="132"/>
      <c r="L109" s="132" t="e">
        <f t="shared" si="5"/>
        <v>#DIV/0!</v>
      </c>
      <c r="M109" s="132" t="str">
        <f t="shared" si="6"/>
        <v>0</v>
      </c>
      <c r="N109" s="132" t="e">
        <f t="shared" si="7"/>
        <v>#DIV/0!</v>
      </c>
      <c r="O109" s="185" t="e">
        <f t="shared" si="8"/>
        <v>#DIV/0!</v>
      </c>
      <c r="P109" s="185" t="e">
        <f t="shared" si="9"/>
        <v>#DIV/0!</v>
      </c>
      <c r="Q109" s="132">
        <f t="shared" si="10"/>
        <v>238.88004289068297</v>
      </c>
      <c r="R109" s="132">
        <f t="shared" si="21"/>
        <v>1.5800000000000005</v>
      </c>
      <c r="S109" s="164" t="e">
        <f t="shared" si="11"/>
        <v>#DIV/0!</v>
      </c>
      <c r="T109" s="132" t="e">
        <f t="shared" si="12"/>
        <v>#NUM!</v>
      </c>
      <c r="U109" s="138" t="e">
        <f t="shared" si="13"/>
        <v>#NUM!</v>
      </c>
      <c r="V109" s="132" t="e">
        <f t="shared" si="14"/>
        <v>#NUM!</v>
      </c>
      <c r="W109" s="132">
        <f t="shared" si="15"/>
        <v>79.99891029895667</v>
      </c>
      <c r="X109" s="138">
        <f t="shared" si="16"/>
        <v>-0.907777247938463</v>
      </c>
      <c r="Y109" s="128" t="str">
        <f t="shared" si="17"/>
        <v>9997.49058326654-158.410515171824i</v>
      </c>
      <c r="Z109" s="128" t="e">
        <f t="shared" si="18"/>
        <v>#NUM!</v>
      </c>
      <c r="AA109" s="128" t="e">
        <f t="shared" si="22"/>
        <v>#NUM!</v>
      </c>
      <c r="AB109" s="128" t="e">
        <f t="shared" si="23"/>
        <v>#NUM!</v>
      </c>
      <c r="AC109" s="128" t="e">
        <f t="shared" si="24"/>
        <v>#NUM!</v>
      </c>
      <c r="AD109" s="128" t="e">
        <f t="shared" si="25"/>
        <v>#NUM!</v>
      </c>
      <c r="AE109" s="128" t="e">
        <f t="shared" si="26"/>
        <v>#NUM!</v>
      </c>
      <c r="AF109" s="130"/>
      <c r="AG109" s="130"/>
      <c r="AH109" s="130"/>
      <c r="AI109" s="130"/>
      <c r="AJ109" s="130"/>
      <c r="AK109" s="130"/>
      <c r="AL109" s="130"/>
      <c r="AM109" s="130"/>
      <c r="AN109" s="130"/>
      <c r="AO109" s="130"/>
      <c r="AP109" s="130"/>
      <c r="AQ109" s="130"/>
      <c r="AR109" s="130"/>
      <c r="AS109" s="130"/>
    </row>
    <row r="110" spans="1:45" s="166" customFormat="1" ht="12.75">
      <c r="A110" s="132" t="e">
        <f t="shared" si="0"/>
        <v>#DIV/0!</v>
      </c>
      <c r="B110" s="132">
        <f t="shared" si="19"/>
        <v>1.6000000000000008</v>
      </c>
      <c r="C110" s="138">
        <f t="shared" si="20"/>
        <v>39.81071705534979</v>
      </c>
      <c r="D110" s="137" t="e">
        <f t="shared" si="1"/>
        <v>#DIV/0!</v>
      </c>
      <c r="E110" s="132" t="e">
        <f t="shared" si="2"/>
        <v>#DIV/0!</v>
      </c>
      <c r="G110" s="138"/>
      <c r="H110" s="184" t="str">
        <f t="shared" si="3"/>
        <v>1E+47-3.9977914206021E+53i</v>
      </c>
      <c r="I110" s="132" t="str">
        <f>IMSUM(IMDIV(1,COMPLEX(0,Q110*MLCC*10^-6)),MLCC_ESR*10^-3)</f>
        <v>1E+47-3.9977914206021E+53i</v>
      </c>
      <c r="J110" s="132" t="str">
        <f t="shared" si="4"/>
        <v>4.99999999999999E+46-1.99889571030106E+53i</v>
      </c>
      <c r="K110" s="132"/>
      <c r="L110" s="132" t="e">
        <f t="shared" si="5"/>
        <v>#DIV/0!</v>
      </c>
      <c r="M110" s="132" t="str">
        <f t="shared" si="6"/>
        <v>0</v>
      </c>
      <c r="N110" s="132" t="e">
        <f t="shared" si="7"/>
        <v>#DIV/0!</v>
      </c>
      <c r="O110" s="185" t="e">
        <f t="shared" si="8"/>
        <v>#DIV/0!</v>
      </c>
      <c r="P110" s="185" t="e">
        <f t="shared" si="9"/>
        <v>#DIV/0!</v>
      </c>
      <c r="Q110" s="132">
        <f t="shared" si="10"/>
        <v>250.13811247045757</v>
      </c>
      <c r="R110" s="132">
        <f t="shared" si="21"/>
        <v>1.6000000000000005</v>
      </c>
      <c r="S110" s="164" t="e">
        <f t="shared" si="11"/>
        <v>#DIV/0!</v>
      </c>
      <c r="T110" s="132" t="e">
        <f t="shared" si="12"/>
        <v>#NUM!</v>
      </c>
      <c r="U110" s="138" t="e">
        <f t="shared" si="13"/>
        <v>#NUM!</v>
      </c>
      <c r="V110" s="132" t="e">
        <f t="shared" si="14"/>
        <v>#NUM!</v>
      </c>
      <c r="W110" s="132">
        <f t="shared" si="15"/>
        <v>79.99880518102627</v>
      </c>
      <c r="X110" s="138">
        <f t="shared" si="16"/>
        <v>-0.9505518039820277</v>
      </c>
      <c r="Y110" s="128" t="str">
        <f t="shared" si="17"/>
        <v>9997.24854586454-165.872157880146i</v>
      </c>
      <c r="Z110" s="128" t="e">
        <f t="shared" si="18"/>
        <v>#NUM!</v>
      </c>
      <c r="AA110" s="128" t="e">
        <f t="shared" si="22"/>
        <v>#NUM!</v>
      </c>
      <c r="AB110" s="128" t="e">
        <f t="shared" si="23"/>
        <v>#NUM!</v>
      </c>
      <c r="AC110" s="128" t="e">
        <f t="shared" si="24"/>
        <v>#NUM!</v>
      </c>
      <c r="AD110" s="128" t="e">
        <f t="shared" si="25"/>
        <v>#NUM!</v>
      </c>
      <c r="AE110" s="128" t="e">
        <f t="shared" si="26"/>
        <v>#NUM!</v>
      </c>
      <c r="AF110" s="130"/>
      <c r="AG110" s="130"/>
      <c r="AH110" s="130"/>
      <c r="AI110" s="130"/>
      <c r="AJ110" s="130"/>
      <c r="AK110" s="130"/>
      <c r="AL110" s="130"/>
      <c r="AM110" s="130"/>
      <c r="AN110" s="130"/>
      <c r="AO110" s="130"/>
      <c r="AP110" s="130"/>
      <c r="AQ110" s="130"/>
      <c r="AR110" s="130"/>
      <c r="AS110" s="130"/>
    </row>
    <row r="111" spans="1:45" s="166" customFormat="1" ht="12.75">
      <c r="A111" s="132" t="e">
        <f t="shared" si="0"/>
        <v>#DIV/0!</v>
      </c>
      <c r="B111" s="132">
        <f t="shared" si="19"/>
        <v>1.6200000000000006</v>
      </c>
      <c r="C111" s="138">
        <f t="shared" si="20"/>
        <v>41.686938347033596</v>
      </c>
      <c r="D111" s="137" t="e">
        <f t="shared" si="1"/>
        <v>#DIV/0!</v>
      </c>
      <c r="E111" s="132" t="e">
        <f t="shared" si="2"/>
        <v>#DIV/0!</v>
      </c>
      <c r="G111" s="138"/>
      <c r="H111" s="184" t="str">
        <f t="shared" si="3"/>
        <v>1E+47-3.81786116713511E+53i</v>
      </c>
      <c r="I111" s="132" t="str">
        <f>IMSUM(IMDIV(1,COMPLEX(0,Q111*MLCC*10^-6)),MLCC_ESR*10^-3)</f>
        <v>1E+47-3.81786116713511E+53i</v>
      </c>
      <c r="J111" s="132" t="str">
        <f t="shared" si="4"/>
        <v>4.99999999999999E+46-1.90893058356756E+53i</v>
      </c>
      <c r="K111" s="132"/>
      <c r="L111" s="132" t="e">
        <f t="shared" si="5"/>
        <v>#DIV/0!</v>
      </c>
      <c r="M111" s="132" t="str">
        <f t="shared" si="6"/>
        <v>0</v>
      </c>
      <c r="N111" s="132" t="e">
        <f t="shared" si="7"/>
        <v>#DIV/0!</v>
      </c>
      <c r="O111" s="185" t="e">
        <f t="shared" si="8"/>
        <v>#DIV/0!</v>
      </c>
      <c r="P111" s="185" t="e">
        <f t="shared" si="9"/>
        <v>#DIV/0!</v>
      </c>
      <c r="Q111" s="132">
        <f t="shared" si="10"/>
        <v>261.9267585233828</v>
      </c>
      <c r="R111" s="132">
        <f t="shared" si="21"/>
        <v>1.6200000000000006</v>
      </c>
      <c r="S111" s="164" t="e">
        <f t="shared" si="11"/>
        <v>#DIV/0!</v>
      </c>
      <c r="T111" s="132" t="e">
        <f t="shared" si="12"/>
        <v>#NUM!</v>
      </c>
      <c r="U111" s="138" t="e">
        <f t="shared" si="13"/>
        <v>#NUM!</v>
      </c>
      <c r="V111" s="132" t="e">
        <f t="shared" si="14"/>
        <v>#NUM!</v>
      </c>
      <c r="W111" s="132">
        <f t="shared" si="15"/>
        <v>79.99868992443186</v>
      </c>
      <c r="X111" s="138">
        <f t="shared" si="16"/>
        <v>-0.9953411270299751</v>
      </c>
      <c r="Y111" s="128" t="str">
        <f t="shared" si="17"/>
        <v>9996.98317059691-173.684862392098i</v>
      </c>
      <c r="Z111" s="128" t="e">
        <f t="shared" si="18"/>
        <v>#NUM!</v>
      </c>
      <c r="AA111" s="128" t="e">
        <f t="shared" si="22"/>
        <v>#NUM!</v>
      </c>
      <c r="AB111" s="128" t="e">
        <f t="shared" si="23"/>
        <v>#NUM!</v>
      </c>
      <c r="AC111" s="128" t="e">
        <f t="shared" si="24"/>
        <v>#NUM!</v>
      </c>
      <c r="AD111" s="128" t="e">
        <f t="shared" si="25"/>
        <v>#NUM!</v>
      </c>
      <c r="AE111" s="128" t="e">
        <f t="shared" si="26"/>
        <v>#NUM!</v>
      </c>
      <c r="AF111" s="130"/>
      <c r="AG111" s="130"/>
      <c r="AH111" s="130"/>
      <c r="AI111" s="130"/>
      <c r="AJ111" s="130"/>
      <c r="AK111" s="130"/>
      <c r="AL111" s="130"/>
      <c r="AM111" s="130"/>
      <c r="AN111" s="130"/>
      <c r="AO111" s="130"/>
      <c r="AP111" s="130"/>
      <c r="AQ111" s="130"/>
      <c r="AR111" s="130"/>
      <c r="AS111" s="130"/>
    </row>
    <row r="112" spans="1:45" s="166" customFormat="1" ht="12.75">
      <c r="A112" s="132" t="e">
        <f t="shared" si="0"/>
        <v>#DIV/0!</v>
      </c>
      <c r="B112" s="132">
        <f t="shared" si="19"/>
        <v>1.6400000000000008</v>
      </c>
      <c r="C112" s="138">
        <f t="shared" si="20"/>
        <v>43.65158322401667</v>
      </c>
      <c r="D112" s="137" t="e">
        <f t="shared" si="1"/>
        <v>#DIV/0!</v>
      </c>
      <c r="E112" s="132" t="e">
        <f t="shared" si="2"/>
        <v>#DIV/0!</v>
      </c>
      <c r="G112" s="138"/>
      <c r="H112" s="184" t="str">
        <f t="shared" si="3"/>
        <v>1E+47-3.64602910907319E+53i</v>
      </c>
      <c r="I112" s="132" t="str">
        <f>IMSUM(IMDIV(1,COMPLEX(0,Q112*MLCC*10^-6)),MLCC_ESR*10^-3)</f>
        <v>1E+47-3.64602910907319E+53i</v>
      </c>
      <c r="J112" s="132" t="str">
        <f t="shared" si="4"/>
        <v>5.00000000000001E+46-1.82301455453659E+53i</v>
      </c>
      <c r="K112" s="132"/>
      <c r="L112" s="132" t="e">
        <f t="shared" si="5"/>
        <v>#DIV/0!</v>
      </c>
      <c r="M112" s="132" t="str">
        <f t="shared" si="6"/>
        <v>0</v>
      </c>
      <c r="N112" s="132" t="e">
        <f t="shared" si="7"/>
        <v>#DIV/0!</v>
      </c>
      <c r="O112" s="185" t="e">
        <f t="shared" si="8"/>
        <v>#DIV/0!</v>
      </c>
      <c r="P112" s="185" t="e">
        <f t="shared" si="9"/>
        <v>#DIV/0!</v>
      </c>
      <c r="Q112" s="132">
        <f t="shared" si="10"/>
        <v>274.2709863482684</v>
      </c>
      <c r="R112" s="132">
        <f t="shared" si="21"/>
        <v>1.6400000000000006</v>
      </c>
      <c r="S112" s="164" t="e">
        <f t="shared" si="11"/>
        <v>#DIV/0!</v>
      </c>
      <c r="T112" s="132" t="e">
        <f t="shared" si="12"/>
        <v>#NUM!</v>
      </c>
      <c r="U112" s="138" t="e">
        <f t="shared" si="13"/>
        <v>#NUM!</v>
      </c>
      <c r="V112" s="132" t="e">
        <f t="shared" si="14"/>
        <v>#NUM!</v>
      </c>
      <c r="W112" s="132">
        <f t="shared" si="15"/>
        <v>79.99856355160466</v>
      </c>
      <c r="X112" s="138">
        <f t="shared" si="16"/>
        <v>-1.0422400019349056</v>
      </c>
      <c r="Y112" s="128" t="str">
        <f t="shared" si="17"/>
        <v>9996.69220859092-181.865085711634i</v>
      </c>
      <c r="Z112" s="128" t="e">
        <f t="shared" si="18"/>
        <v>#NUM!</v>
      </c>
      <c r="AA112" s="128" t="e">
        <f t="shared" si="22"/>
        <v>#NUM!</v>
      </c>
      <c r="AB112" s="128" t="e">
        <f t="shared" si="23"/>
        <v>#NUM!</v>
      </c>
      <c r="AC112" s="128" t="e">
        <f t="shared" si="24"/>
        <v>#NUM!</v>
      </c>
      <c r="AD112" s="128" t="e">
        <f t="shared" si="25"/>
        <v>#NUM!</v>
      </c>
      <c r="AE112" s="128" t="e">
        <f t="shared" si="26"/>
        <v>#NUM!</v>
      </c>
      <c r="AF112" s="130"/>
      <c r="AG112" s="130"/>
      <c r="AH112" s="130"/>
      <c r="AI112" s="130"/>
      <c r="AJ112" s="130"/>
      <c r="AK112" s="130"/>
      <c r="AL112" s="130"/>
      <c r="AM112" s="130"/>
      <c r="AN112" s="130"/>
      <c r="AO112" s="130"/>
      <c r="AP112" s="130"/>
      <c r="AQ112" s="130"/>
      <c r="AR112" s="130"/>
      <c r="AS112" s="130"/>
    </row>
    <row r="113" spans="1:45" s="166" customFormat="1" ht="12.75">
      <c r="A113" s="132" t="e">
        <f t="shared" si="0"/>
        <v>#DIV/0!</v>
      </c>
      <c r="B113" s="132">
        <f t="shared" si="19"/>
        <v>1.6600000000000008</v>
      </c>
      <c r="C113" s="138">
        <f t="shared" si="20"/>
        <v>45.70881896148759</v>
      </c>
      <c r="D113" s="137" t="e">
        <f t="shared" si="1"/>
        <v>#DIV/0!</v>
      </c>
      <c r="E113" s="132" t="e">
        <f t="shared" si="2"/>
        <v>#DIV/0!</v>
      </c>
      <c r="G113" s="138"/>
      <c r="H113" s="184" t="str">
        <f t="shared" si="3"/>
        <v>1E+47-3.48193076758324E+53i</v>
      </c>
      <c r="I113" s="132" t="str">
        <f>IMSUM(IMDIV(1,COMPLEX(0,Q113*MLCC*10^-6)),MLCC_ESR*10^-3)</f>
        <v>1E+47-3.48193076758324E+53i</v>
      </c>
      <c r="J113" s="132" t="str">
        <f t="shared" si="4"/>
        <v>5E+46-1.74096538379162E+53i</v>
      </c>
      <c r="K113" s="132"/>
      <c r="L113" s="132" t="e">
        <f t="shared" si="5"/>
        <v>#DIV/0!</v>
      </c>
      <c r="M113" s="132" t="str">
        <f t="shared" si="6"/>
        <v>0</v>
      </c>
      <c r="N113" s="132" t="e">
        <f t="shared" si="7"/>
        <v>#DIV/0!</v>
      </c>
      <c r="O113" s="185" t="e">
        <f t="shared" si="8"/>
        <v>#DIV/0!</v>
      </c>
      <c r="P113" s="185" t="e">
        <f t="shared" si="9"/>
        <v>#DIV/0!</v>
      </c>
      <c r="Q113" s="132">
        <f t="shared" si="10"/>
        <v>287.19697970735047</v>
      </c>
      <c r="R113" s="132">
        <f t="shared" si="21"/>
        <v>1.6600000000000006</v>
      </c>
      <c r="S113" s="164" t="e">
        <f t="shared" si="11"/>
        <v>#DIV/0!</v>
      </c>
      <c r="T113" s="132" t="e">
        <f t="shared" si="12"/>
        <v>#NUM!</v>
      </c>
      <c r="U113" s="138" t="e">
        <f t="shared" si="13"/>
        <v>#NUM!</v>
      </c>
      <c r="V113" s="132" t="e">
        <f t="shared" si="14"/>
        <v>#NUM!</v>
      </c>
      <c r="W113" s="132">
        <f t="shared" si="15"/>
        <v>79.99842499078146</v>
      </c>
      <c r="X113" s="138">
        <f t="shared" si="16"/>
        <v>-1.0913476557217354</v>
      </c>
      <c r="Y113" s="128" t="str">
        <f t="shared" si="17"/>
        <v>9996.37319455692-190.430047411239i</v>
      </c>
      <c r="Z113" s="128" t="e">
        <f t="shared" si="18"/>
        <v>#NUM!</v>
      </c>
      <c r="AA113" s="128" t="e">
        <f t="shared" si="22"/>
        <v>#NUM!</v>
      </c>
      <c r="AB113" s="128" t="e">
        <f t="shared" si="23"/>
        <v>#NUM!</v>
      </c>
      <c r="AC113" s="128" t="e">
        <f t="shared" si="24"/>
        <v>#NUM!</v>
      </c>
      <c r="AD113" s="128" t="e">
        <f t="shared" si="25"/>
        <v>#NUM!</v>
      </c>
      <c r="AE113" s="128" t="e">
        <f t="shared" si="26"/>
        <v>#NUM!</v>
      </c>
      <c r="AF113" s="130"/>
      <c r="AG113" s="130"/>
      <c r="AH113" s="130"/>
      <c r="AI113" s="130"/>
      <c r="AJ113" s="130"/>
      <c r="AK113" s="130"/>
      <c r="AL113" s="130"/>
      <c r="AM113" s="130"/>
      <c r="AN113" s="130"/>
      <c r="AO113" s="130"/>
      <c r="AP113" s="130"/>
      <c r="AQ113" s="130"/>
      <c r="AR113" s="130"/>
      <c r="AS113" s="130"/>
    </row>
    <row r="114" spans="1:45" s="166" customFormat="1" ht="12.75">
      <c r="A114" s="132" t="e">
        <f t="shared" si="0"/>
        <v>#DIV/0!</v>
      </c>
      <c r="B114" s="132">
        <f t="shared" si="19"/>
        <v>1.6800000000000008</v>
      </c>
      <c r="C114" s="138">
        <f t="shared" si="20"/>
        <v>47.86300923226392</v>
      </c>
      <c r="D114" s="137" t="e">
        <f t="shared" si="1"/>
        <v>#DIV/0!</v>
      </c>
      <c r="E114" s="132" t="e">
        <f t="shared" si="2"/>
        <v>#DIV/0!</v>
      </c>
      <c r="G114" s="138"/>
      <c r="H114" s="184" t="str">
        <f t="shared" si="3"/>
        <v>1E+47-3.32521806808191E+53i</v>
      </c>
      <c r="I114" s="132" t="str">
        <f>IMSUM(IMDIV(1,COMPLEX(0,Q114*MLCC*10^-6)),MLCC_ESR*10^-3)</f>
        <v>1E+47-3.32521806808191E+53i</v>
      </c>
      <c r="J114" s="132" t="str">
        <f t="shared" si="4"/>
        <v>5E+46-1.66260903404096E+53i</v>
      </c>
      <c r="K114" s="132"/>
      <c r="L114" s="132" t="e">
        <f t="shared" si="5"/>
        <v>#DIV/0!</v>
      </c>
      <c r="M114" s="132" t="str">
        <f t="shared" si="6"/>
        <v>0</v>
      </c>
      <c r="N114" s="132" t="e">
        <f t="shared" si="7"/>
        <v>#DIV/0!</v>
      </c>
      <c r="O114" s="185" t="e">
        <f t="shared" si="8"/>
        <v>#DIV/0!</v>
      </c>
      <c r="P114" s="185" t="e">
        <f t="shared" si="9"/>
        <v>#DIV/0!</v>
      </c>
      <c r="Q114" s="132">
        <f t="shared" si="10"/>
        <v>300.73215636556154</v>
      </c>
      <c r="R114" s="132">
        <f t="shared" si="21"/>
        <v>1.6800000000000006</v>
      </c>
      <c r="S114" s="164" t="e">
        <f t="shared" si="11"/>
        <v>#DIV/0!</v>
      </c>
      <c r="T114" s="132" t="e">
        <f t="shared" si="12"/>
        <v>#NUM!</v>
      </c>
      <c r="U114" s="138" t="e">
        <f t="shared" si="13"/>
        <v>#NUM!</v>
      </c>
      <c r="V114" s="132" t="e">
        <f t="shared" si="14"/>
        <v>#NUM!</v>
      </c>
      <c r="W114" s="132">
        <f t="shared" si="15"/>
        <v>79.9982730669409</v>
      </c>
      <c r="X114" s="138">
        <f t="shared" si="16"/>
        <v>-1.1427679632564816</v>
      </c>
      <c r="Y114" s="128" t="str">
        <f t="shared" si="17"/>
        <v>9996.02342601998-199.397763644865i</v>
      </c>
      <c r="Z114" s="128" t="e">
        <f t="shared" si="18"/>
        <v>#NUM!</v>
      </c>
      <c r="AA114" s="128" t="e">
        <f t="shared" si="22"/>
        <v>#NUM!</v>
      </c>
      <c r="AB114" s="128" t="e">
        <f t="shared" si="23"/>
        <v>#NUM!</v>
      </c>
      <c r="AC114" s="128" t="e">
        <f t="shared" si="24"/>
        <v>#NUM!</v>
      </c>
      <c r="AD114" s="128" t="e">
        <f t="shared" si="25"/>
        <v>#NUM!</v>
      </c>
      <c r="AE114" s="128" t="e">
        <f t="shared" si="26"/>
        <v>#NUM!</v>
      </c>
      <c r="AF114" s="130"/>
      <c r="AG114" s="130"/>
      <c r="AH114" s="130"/>
      <c r="AI114" s="130"/>
      <c r="AJ114" s="130"/>
      <c r="AK114" s="130"/>
      <c r="AL114" s="130"/>
      <c r="AM114" s="130"/>
      <c r="AN114" s="130"/>
      <c r="AO114" s="130"/>
      <c r="AP114" s="130"/>
      <c r="AQ114" s="130"/>
      <c r="AR114" s="130"/>
      <c r="AS114" s="130"/>
    </row>
    <row r="115" spans="1:45" s="166" customFormat="1" ht="12.75">
      <c r="A115" s="132" t="e">
        <f t="shared" si="0"/>
        <v>#DIV/0!</v>
      </c>
      <c r="B115" s="132">
        <f t="shared" si="19"/>
        <v>1.7000000000000008</v>
      </c>
      <c r="C115" s="138">
        <f t="shared" si="20"/>
        <v>50.11872336272733</v>
      </c>
      <c r="D115" s="137" t="e">
        <f t="shared" si="1"/>
        <v>#DIV/0!</v>
      </c>
      <c r="E115" s="132" t="e">
        <f t="shared" si="2"/>
        <v>#DIV/0!</v>
      </c>
      <c r="G115" s="138"/>
      <c r="H115" s="184" t="str">
        <f t="shared" si="3"/>
        <v>1E+47-3.17555860192274E+53i</v>
      </c>
      <c r="I115" s="132" t="str">
        <f>IMSUM(IMDIV(1,COMPLEX(0,Q115*MLCC*10^-6)),MLCC_ESR*10^-3)</f>
        <v>1E+47-3.17555860192274E+53i</v>
      </c>
      <c r="J115" s="132" t="str">
        <f t="shared" si="4"/>
        <v>5E+46-1.58777930096137E+53i</v>
      </c>
      <c r="K115" s="132"/>
      <c r="L115" s="132" t="e">
        <f t="shared" si="5"/>
        <v>#DIV/0!</v>
      </c>
      <c r="M115" s="132" t="str">
        <f t="shared" si="6"/>
        <v>0</v>
      </c>
      <c r="N115" s="132" t="e">
        <f t="shared" si="7"/>
        <v>#DIV/0!</v>
      </c>
      <c r="O115" s="185" t="e">
        <f t="shared" si="8"/>
        <v>#DIV/0!</v>
      </c>
      <c r="P115" s="185" t="e">
        <f t="shared" si="9"/>
        <v>#DIV/0!</v>
      </c>
      <c r="Q115" s="132">
        <f t="shared" si="10"/>
        <v>314.90522624728663</v>
      </c>
      <c r="R115" s="132">
        <f t="shared" si="21"/>
        <v>1.7000000000000006</v>
      </c>
      <c r="S115" s="164" t="e">
        <f t="shared" si="11"/>
        <v>#DIV/0!</v>
      </c>
      <c r="T115" s="132" t="e">
        <f t="shared" si="12"/>
        <v>#NUM!</v>
      </c>
      <c r="U115" s="138" t="e">
        <f t="shared" si="13"/>
        <v>#NUM!</v>
      </c>
      <c r="V115" s="132" t="e">
        <f t="shared" si="14"/>
        <v>#NUM!</v>
      </c>
      <c r="W115" s="132">
        <f t="shared" si="15"/>
        <v>79.99810649187043</v>
      </c>
      <c r="X115" s="138">
        <f t="shared" si="16"/>
        <v>-1.1966096620631481</v>
      </c>
      <c r="Y115" s="128" t="str">
        <f t="shared" si="17"/>
        <v>9995.63994057027-208.787082479558i</v>
      </c>
      <c r="Z115" s="128" t="e">
        <f t="shared" si="18"/>
        <v>#NUM!</v>
      </c>
      <c r="AA115" s="128" t="e">
        <f t="shared" si="22"/>
        <v>#NUM!</v>
      </c>
      <c r="AB115" s="128" t="e">
        <f t="shared" si="23"/>
        <v>#NUM!</v>
      </c>
      <c r="AC115" s="128" t="e">
        <f t="shared" si="24"/>
        <v>#NUM!</v>
      </c>
      <c r="AD115" s="128" t="e">
        <f t="shared" si="25"/>
        <v>#NUM!</v>
      </c>
      <c r="AE115" s="128" t="e">
        <f t="shared" si="26"/>
        <v>#NUM!</v>
      </c>
      <c r="AF115" s="130"/>
      <c r="AG115" s="130"/>
      <c r="AH115" s="130"/>
      <c r="AI115" s="130"/>
      <c r="AJ115" s="130"/>
      <c r="AK115" s="130"/>
      <c r="AL115" s="130"/>
      <c r="AM115" s="130"/>
      <c r="AN115" s="130"/>
      <c r="AO115" s="130"/>
      <c r="AP115" s="130"/>
      <c r="AQ115" s="130"/>
      <c r="AR115" s="130"/>
      <c r="AS115" s="130"/>
    </row>
    <row r="116" spans="1:45" s="166" customFormat="1" ht="12.75">
      <c r="A116" s="132" t="e">
        <f t="shared" si="0"/>
        <v>#DIV/0!</v>
      </c>
      <c r="B116" s="132">
        <f t="shared" si="19"/>
        <v>1.7200000000000006</v>
      </c>
      <c r="C116" s="138">
        <f t="shared" si="20"/>
        <v>52.48074602497735</v>
      </c>
      <c r="D116" s="137" t="e">
        <f t="shared" si="1"/>
        <v>#DIV/0!</v>
      </c>
      <c r="E116" s="132" t="e">
        <f t="shared" si="2"/>
        <v>#DIV/0!</v>
      </c>
      <c r="G116" s="138"/>
      <c r="H116" s="184" t="str">
        <f t="shared" si="3"/>
        <v>1E+47-3.03263492131282E+53i</v>
      </c>
      <c r="I116" s="132" t="str">
        <f>IMSUM(IMDIV(1,COMPLEX(0,Q116*MLCC*10^-6)),MLCC_ESR*10^-3)</f>
        <v>1E+47-3.03263492131282E+53i</v>
      </c>
      <c r="J116" s="132" t="str">
        <f t="shared" si="4"/>
        <v>5E+46-1.51631746065641E+53i</v>
      </c>
      <c r="K116" s="132"/>
      <c r="L116" s="132" t="e">
        <f t="shared" si="5"/>
        <v>#DIV/0!</v>
      </c>
      <c r="M116" s="132" t="str">
        <f t="shared" si="6"/>
        <v>0</v>
      </c>
      <c r="N116" s="132" t="e">
        <f t="shared" si="7"/>
        <v>#DIV/0!</v>
      </c>
      <c r="O116" s="185" t="e">
        <f t="shared" si="8"/>
        <v>#DIV/0!</v>
      </c>
      <c r="P116" s="185" t="e">
        <f t="shared" si="9"/>
        <v>#DIV/0!</v>
      </c>
      <c r="Q116" s="132">
        <f t="shared" si="10"/>
        <v>329.74625233396114</v>
      </c>
      <c r="R116" s="132">
        <f t="shared" si="21"/>
        <v>1.7200000000000006</v>
      </c>
      <c r="S116" s="164" t="e">
        <f t="shared" si="11"/>
        <v>#DIV/0!</v>
      </c>
      <c r="T116" s="132" t="e">
        <f t="shared" si="12"/>
        <v>#NUM!</v>
      </c>
      <c r="U116" s="138" t="e">
        <f t="shared" si="13"/>
        <v>#NUM!</v>
      </c>
      <c r="V116" s="132" t="e">
        <f t="shared" si="14"/>
        <v>#NUM!</v>
      </c>
      <c r="W116" s="132">
        <f t="shared" si="15"/>
        <v>79.99792385328071</v>
      </c>
      <c r="X116" s="138">
        <f t="shared" si="16"/>
        <v>-1.2529865766396688</v>
      </c>
      <c r="Y116" s="128" t="str">
        <f t="shared" si="17"/>
        <v>9995.21949094558-218.617720566114i</v>
      </c>
      <c r="Z116" s="128" t="e">
        <f t="shared" si="18"/>
        <v>#NUM!</v>
      </c>
      <c r="AA116" s="128" t="e">
        <f t="shared" si="22"/>
        <v>#NUM!</v>
      </c>
      <c r="AB116" s="128" t="e">
        <f t="shared" si="23"/>
        <v>#NUM!</v>
      </c>
      <c r="AC116" s="128" t="e">
        <f t="shared" si="24"/>
        <v>#NUM!</v>
      </c>
      <c r="AD116" s="128" t="e">
        <f t="shared" si="25"/>
        <v>#NUM!</v>
      </c>
      <c r="AE116" s="128" t="e">
        <f t="shared" si="26"/>
        <v>#NUM!</v>
      </c>
      <c r="AF116" s="130"/>
      <c r="AG116" s="130"/>
      <c r="AH116" s="130"/>
      <c r="AI116" s="130"/>
      <c r="AJ116" s="130"/>
      <c r="AK116" s="130"/>
      <c r="AL116" s="130"/>
      <c r="AM116" s="130"/>
      <c r="AN116" s="130"/>
      <c r="AO116" s="130"/>
      <c r="AP116" s="130"/>
      <c r="AQ116" s="130"/>
      <c r="AR116" s="130"/>
      <c r="AS116" s="130"/>
    </row>
    <row r="117" spans="1:45" s="166" customFormat="1" ht="12.75">
      <c r="A117" s="132" t="e">
        <f t="shared" si="0"/>
        <v>#DIV/0!</v>
      </c>
      <c r="B117" s="132">
        <f t="shared" si="19"/>
        <v>1.7400000000000009</v>
      </c>
      <c r="C117" s="138">
        <f t="shared" si="20"/>
        <v>54.95408738576257</v>
      </c>
      <c r="D117" s="137" t="e">
        <f t="shared" si="1"/>
        <v>#DIV/0!</v>
      </c>
      <c r="E117" s="132" t="e">
        <f t="shared" si="2"/>
        <v>#DIV/0!</v>
      </c>
      <c r="G117" s="138"/>
      <c r="H117" s="184" t="str">
        <f t="shared" si="3"/>
        <v>1E+47-2.89614386596345E+53i</v>
      </c>
      <c r="I117" s="132" t="str">
        <f>IMSUM(IMDIV(1,COMPLEX(0,Q117*MLCC*10^-6)),MLCC_ESR*10^-3)</f>
        <v>1E+47-2.89614386596345E+53i</v>
      </c>
      <c r="J117" s="132" t="str">
        <f t="shared" si="4"/>
        <v>5E+46-1.44807193298173E+53i</v>
      </c>
      <c r="K117" s="132"/>
      <c r="L117" s="132" t="e">
        <f t="shared" si="5"/>
        <v>#DIV/0!</v>
      </c>
      <c r="M117" s="132" t="str">
        <f t="shared" si="6"/>
        <v>0</v>
      </c>
      <c r="N117" s="132" t="e">
        <f t="shared" si="7"/>
        <v>#DIV/0!</v>
      </c>
      <c r="O117" s="185" t="e">
        <f t="shared" si="8"/>
        <v>#DIV/0!</v>
      </c>
      <c r="P117" s="185" t="e">
        <f t="shared" si="9"/>
        <v>#DIV/0!</v>
      </c>
      <c r="Q117" s="132">
        <f t="shared" si="10"/>
        <v>345.2867144316864</v>
      </c>
      <c r="R117" s="132">
        <f t="shared" si="21"/>
        <v>1.7400000000000007</v>
      </c>
      <c r="S117" s="164" t="e">
        <f t="shared" si="11"/>
        <v>#DIV/0!</v>
      </c>
      <c r="T117" s="132" t="e">
        <f t="shared" si="12"/>
        <v>#NUM!</v>
      </c>
      <c r="U117" s="138" t="e">
        <f t="shared" si="13"/>
        <v>#NUM!</v>
      </c>
      <c r="V117" s="132" t="e">
        <f t="shared" si="14"/>
        <v>#NUM!</v>
      </c>
      <c r="W117" s="132">
        <f t="shared" si="15"/>
        <v>79.9977236028769</v>
      </c>
      <c r="X117" s="138">
        <f t="shared" si="16"/>
        <v>-1.3120178526283055</v>
      </c>
      <c r="Y117" s="128" t="str">
        <f t="shared" si="17"/>
        <v>9994.75851774232-228.910301163887i</v>
      </c>
      <c r="Z117" s="128" t="e">
        <f t="shared" si="18"/>
        <v>#NUM!</v>
      </c>
      <c r="AA117" s="128" t="e">
        <f t="shared" si="22"/>
        <v>#NUM!</v>
      </c>
      <c r="AB117" s="128" t="e">
        <f t="shared" si="23"/>
        <v>#NUM!</v>
      </c>
      <c r="AC117" s="128" t="e">
        <f t="shared" si="24"/>
        <v>#NUM!</v>
      </c>
      <c r="AD117" s="128" t="e">
        <f t="shared" si="25"/>
        <v>#NUM!</v>
      </c>
      <c r="AE117" s="128" t="e">
        <f t="shared" si="26"/>
        <v>#NUM!</v>
      </c>
      <c r="AF117" s="130"/>
      <c r="AG117" s="130"/>
      <c r="AH117" s="130"/>
      <c r="AI117" s="130"/>
      <c r="AJ117" s="130"/>
      <c r="AK117" s="130"/>
      <c r="AL117" s="130"/>
      <c r="AM117" s="130"/>
      <c r="AN117" s="130"/>
      <c r="AO117" s="130"/>
      <c r="AP117" s="130"/>
      <c r="AQ117" s="130"/>
      <c r="AR117" s="130"/>
      <c r="AS117" s="130"/>
    </row>
    <row r="118" spans="1:45" s="166" customFormat="1" ht="12.75">
      <c r="A118" s="132" t="e">
        <f t="shared" si="0"/>
        <v>#DIV/0!</v>
      </c>
      <c r="B118" s="132">
        <f t="shared" si="19"/>
        <v>1.760000000000001</v>
      </c>
      <c r="C118" s="138">
        <f t="shared" si="20"/>
        <v>57.5439937337158</v>
      </c>
      <c r="D118" s="137" t="e">
        <f t="shared" si="1"/>
        <v>#DIV/0!</v>
      </c>
      <c r="E118" s="132" t="e">
        <f t="shared" si="2"/>
        <v>#DIV/0!</v>
      </c>
      <c r="G118" s="138"/>
      <c r="H118" s="184" t="str">
        <f t="shared" si="3"/>
        <v>1E+47-2.76579592004655E+53i</v>
      </c>
      <c r="I118" s="132" t="str">
        <f>IMSUM(IMDIV(1,COMPLEX(0,Q118*MLCC*10^-6)),MLCC_ESR*10^-3)</f>
        <v>1E+47-2.76579592004655E+53i</v>
      </c>
      <c r="J118" s="132" t="str">
        <f t="shared" si="4"/>
        <v>5E+46-1.38289796002327E+53i</v>
      </c>
      <c r="K118" s="132"/>
      <c r="L118" s="132" t="e">
        <f t="shared" si="5"/>
        <v>#DIV/0!</v>
      </c>
      <c r="M118" s="132" t="str">
        <f t="shared" si="6"/>
        <v>0</v>
      </c>
      <c r="N118" s="132" t="e">
        <f t="shared" si="7"/>
        <v>#DIV/0!</v>
      </c>
      <c r="O118" s="185" t="e">
        <f t="shared" si="8"/>
        <v>#DIV/0!</v>
      </c>
      <c r="P118" s="185" t="e">
        <f t="shared" si="9"/>
        <v>#DIV/0!</v>
      </c>
      <c r="Q118" s="132">
        <f t="shared" si="10"/>
        <v>361.5595759441173</v>
      </c>
      <c r="R118" s="132">
        <f t="shared" si="21"/>
        <v>1.7600000000000007</v>
      </c>
      <c r="S118" s="164" t="e">
        <f t="shared" si="11"/>
        <v>#DIV/0!</v>
      </c>
      <c r="T118" s="132" t="e">
        <f t="shared" si="12"/>
        <v>#NUM!</v>
      </c>
      <c r="U118" s="138" t="e">
        <f t="shared" si="13"/>
        <v>#NUM!</v>
      </c>
      <c r="V118" s="132" t="e">
        <f t="shared" si="14"/>
        <v>#NUM!</v>
      </c>
      <c r="W118" s="132">
        <f t="shared" si="15"/>
        <v>79.99750404328745</v>
      </c>
      <c r="X118" s="138">
        <f t="shared" si="16"/>
        <v>-1.3738282011990124</v>
      </c>
      <c r="Y118" s="128" t="str">
        <f t="shared" si="17"/>
        <v>9994.25311953251-239.686393528544i</v>
      </c>
      <c r="Z118" s="128" t="e">
        <f t="shared" si="18"/>
        <v>#NUM!</v>
      </c>
      <c r="AA118" s="128" t="e">
        <f t="shared" si="22"/>
        <v>#NUM!</v>
      </c>
      <c r="AB118" s="128" t="e">
        <f t="shared" si="23"/>
        <v>#NUM!</v>
      </c>
      <c r="AC118" s="128" t="e">
        <f t="shared" si="24"/>
        <v>#NUM!</v>
      </c>
      <c r="AD118" s="128" t="e">
        <f t="shared" si="25"/>
        <v>#NUM!</v>
      </c>
      <c r="AE118" s="128" t="e">
        <f t="shared" si="26"/>
        <v>#NUM!</v>
      </c>
      <c r="AF118" s="130"/>
      <c r="AG118" s="130"/>
      <c r="AH118" s="130"/>
      <c r="AI118" s="130"/>
      <c r="AJ118" s="130"/>
      <c r="AK118" s="130"/>
      <c r="AL118" s="130"/>
      <c r="AM118" s="130"/>
      <c r="AN118" s="130"/>
      <c r="AO118" s="130"/>
      <c r="AP118" s="130"/>
      <c r="AQ118" s="130"/>
      <c r="AR118" s="130"/>
      <c r="AS118" s="130"/>
    </row>
    <row r="119" spans="1:45" s="166" customFormat="1" ht="12.75">
      <c r="A119" s="132" t="e">
        <f t="shared" si="0"/>
        <v>#DIV/0!</v>
      </c>
      <c r="B119" s="132">
        <f t="shared" si="19"/>
        <v>1.7800000000000007</v>
      </c>
      <c r="C119" s="138">
        <f t="shared" si="20"/>
        <v>60.25595860743587</v>
      </c>
      <c r="D119" s="137" t="e">
        <f t="shared" si="1"/>
        <v>#DIV/0!</v>
      </c>
      <c r="E119" s="132" t="e">
        <f t="shared" si="2"/>
        <v>#DIV/0!</v>
      </c>
      <c r="G119" s="138"/>
      <c r="H119" s="184" t="str">
        <f t="shared" si="3"/>
        <v>1E+47-2.64131459809279E+53i</v>
      </c>
      <c r="I119" s="132" t="str">
        <f>IMSUM(IMDIV(1,COMPLEX(0,Q119*MLCC*10^-6)),MLCC_ESR*10^-3)</f>
        <v>1E+47-2.64131459809279E+53i</v>
      </c>
      <c r="J119" s="132" t="str">
        <f t="shared" si="4"/>
        <v>5E+46-1.3206572990464E+53i</v>
      </c>
      <c r="K119" s="132"/>
      <c r="L119" s="132" t="e">
        <f t="shared" si="5"/>
        <v>#DIV/0!</v>
      </c>
      <c r="M119" s="132" t="str">
        <f t="shared" si="6"/>
        <v>0</v>
      </c>
      <c r="N119" s="132" t="e">
        <f t="shared" si="7"/>
        <v>#DIV/0!</v>
      </c>
      <c r="O119" s="185" t="e">
        <f t="shared" si="8"/>
        <v>#DIV/0!</v>
      </c>
      <c r="P119" s="185" t="e">
        <f t="shared" si="9"/>
        <v>#DIV/0!</v>
      </c>
      <c r="Q119" s="132">
        <f t="shared" si="10"/>
        <v>378.5993537922624</v>
      </c>
      <c r="R119" s="132">
        <f t="shared" si="21"/>
        <v>1.7800000000000007</v>
      </c>
      <c r="S119" s="164" t="e">
        <f t="shared" si="11"/>
        <v>#DIV/0!</v>
      </c>
      <c r="T119" s="132" t="e">
        <f t="shared" si="12"/>
        <v>#NUM!</v>
      </c>
      <c r="U119" s="138" t="e">
        <f t="shared" si="13"/>
        <v>#NUM!</v>
      </c>
      <c r="V119" s="132" t="e">
        <f t="shared" si="14"/>
        <v>#NUM!</v>
      </c>
      <c r="W119" s="132">
        <f t="shared" si="15"/>
        <v>79.99726331374212</v>
      </c>
      <c r="X119" s="138">
        <f t="shared" si="16"/>
        <v>-1.4385481540060525</v>
      </c>
      <c r="Y119" s="128" t="str">
        <f t="shared" si="17"/>
        <v>9993.6990201447-250.968553664026i</v>
      </c>
      <c r="Z119" s="128" t="e">
        <f t="shared" si="18"/>
        <v>#NUM!</v>
      </c>
      <c r="AA119" s="128" t="e">
        <f t="shared" si="22"/>
        <v>#NUM!</v>
      </c>
      <c r="AB119" s="128" t="e">
        <f t="shared" si="23"/>
        <v>#NUM!</v>
      </c>
      <c r="AC119" s="128" t="e">
        <f t="shared" si="24"/>
        <v>#NUM!</v>
      </c>
      <c r="AD119" s="128" t="e">
        <f t="shared" si="25"/>
        <v>#NUM!</v>
      </c>
      <c r="AE119" s="128" t="e">
        <f t="shared" si="26"/>
        <v>#NUM!</v>
      </c>
      <c r="AF119" s="130"/>
      <c r="AG119" s="130"/>
      <c r="AH119" s="130"/>
      <c r="AI119" s="130"/>
      <c r="AJ119" s="130"/>
      <c r="AK119" s="130"/>
      <c r="AL119" s="130"/>
      <c r="AM119" s="130"/>
      <c r="AN119" s="130"/>
      <c r="AO119" s="130"/>
      <c r="AP119" s="130"/>
      <c r="AQ119" s="130"/>
      <c r="AR119" s="130"/>
      <c r="AS119" s="130"/>
    </row>
    <row r="120" spans="1:45" s="166" customFormat="1" ht="12.75">
      <c r="A120" s="132" t="e">
        <f t="shared" si="0"/>
        <v>#DIV/0!</v>
      </c>
      <c r="B120" s="132">
        <f t="shared" si="19"/>
        <v>1.800000000000001</v>
      </c>
      <c r="C120" s="138">
        <f t="shared" si="20"/>
        <v>63.09573444801947</v>
      </c>
      <c r="D120" s="137" t="e">
        <f t="shared" si="1"/>
        <v>#DIV/0!</v>
      </c>
      <c r="E120" s="132" t="e">
        <f t="shared" si="2"/>
        <v>#DIV/0!</v>
      </c>
      <c r="G120" s="138"/>
      <c r="H120" s="184" t="str">
        <f t="shared" si="3"/>
        <v>1E+47-2.5224358585288E+53i</v>
      </c>
      <c r="I120" s="132" t="str">
        <f>IMSUM(IMDIV(1,COMPLEX(0,Q120*MLCC*10^-6)),MLCC_ESR*10^-3)</f>
        <v>1E+47-2.5224358585288E+53i</v>
      </c>
      <c r="J120" s="132" t="str">
        <f t="shared" si="4"/>
        <v>5E+46-1.2612179292644E+53i</v>
      </c>
      <c r="K120" s="132"/>
      <c r="L120" s="132" t="e">
        <f t="shared" si="5"/>
        <v>#DIV/0!</v>
      </c>
      <c r="M120" s="132" t="str">
        <f t="shared" si="6"/>
        <v>0</v>
      </c>
      <c r="N120" s="132" t="e">
        <f t="shared" si="7"/>
        <v>#DIV/0!</v>
      </c>
      <c r="O120" s="185" t="e">
        <f t="shared" si="8"/>
        <v>#DIV/0!</v>
      </c>
      <c r="P120" s="185" t="e">
        <f t="shared" si="9"/>
        <v>#DIV/0!</v>
      </c>
      <c r="Q120" s="132">
        <f t="shared" si="10"/>
        <v>396.4421916295008</v>
      </c>
      <c r="R120" s="132">
        <f t="shared" si="21"/>
        <v>1.8000000000000007</v>
      </c>
      <c r="S120" s="164" t="e">
        <f t="shared" si="11"/>
        <v>#DIV/0!</v>
      </c>
      <c r="T120" s="132" t="e">
        <f t="shared" si="12"/>
        <v>#NUM!</v>
      </c>
      <c r="U120" s="138" t="e">
        <f t="shared" si="13"/>
        <v>#NUM!</v>
      </c>
      <c r="V120" s="132" t="e">
        <f t="shared" si="14"/>
        <v>#NUM!</v>
      </c>
      <c r="W120" s="132">
        <f t="shared" si="15"/>
        <v>79.99699937438041</v>
      </c>
      <c r="X120" s="138">
        <f t="shared" si="16"/>
        <v>-1.5063143290768228</v>
      </c>
      <c r="Y120" s="128" t="str">
        <f t="shared" si="17"/>
        <v>9993.0915328442-262.780366430732i</v>
      </c>
      <c r="Z120" s="128" t="e">
        <f t="shared" si="18"/>
        <v>#NUM!</v>
      </c>
      <c r="AA120" s="128" t="e">
        <f t="shared" si="22"/>
        <v>#NUM!</v>
      </c>
      <c r="AB120" s="128" t="e">
        <f t="shared" si="23"/>
        <v>#NUM!</v>
      </c>
      <c r="AC120" s="128" t="e">
        <f t="shared" si="24"/>
        <v>#NUM!</v>
      </c>
      <c r="AD120" s="128" t="e">
        <f t="shared" si="25"/>
        <v>#NUM!</v>
      </c>
      <c r="AE120" s="128" t="e">
        <f t="shared" si="26"/>
        <v>#NUM!</v>
      </c>
      <c r="AF120" s="130"/>
      <c r="AG120" s="130"/>
      <c r="AH120" s="130"/>
      <c r="AI120" s="130"/>
      <c r="AJ120" s="130"/>
      <c r="AK120" s="130"/>
      <c r="AL120" s="130"/>
      <c r="AM120" s="130"/>
      <c r="AN120" s="130"/>
      <c r="AO120" s="130"/>
      <c r="AP120" s="130"/>
      <c r="AQ120" s="130"/>
      <c r="AR120" s="130"/>
      <c r="AS120" s="130"/>
    </row>
    <row r="121" spans="1:45" s="166" customFormat="1" ht="12.75">
      <c r="A121" s="132" t="e">
        <f t="shared" si="0"/>
        <v>#DIV/0!</v>
      </c>
      <c r="B121" s="132">
        <f t="shared" si="19"/>
        <v>1.820000000000001</v>
      </c>
      <c r="C121" s="138">
        <f t="shared" si="20"/>
        <v>66.06934480075974</v>
      </c>
      <c r="D121" s="137" t="e">
        <f t="shared" si="1"/>
        <v>#DIV/0!</v>
      </c>
      <c r="E121" s="132" t="e">
        <f t="shared" si="2"/>
        <v>#DIV/0!</v>
      </c>
      <c r="G121" s="138"/>
      <c r="H121" s="184" t="str">
        <f t="shared" si="3"/>
        <v>1E+47-2.40890754360962E+53i</v>
      </c>
      <c r="I121" s="132" t="str">
        <f>IMSUM(IMDIV(1,COMPLEX(0,Q121*MLCC*10^-6)),MLCC_ESR*10^-3)</f>
        <v>1E+47-2.40890754360962E+53i</v>
      </c>
      <c r="J121" s="132" t="str">
        <f t="shared" si="4"/>
        <v>5E+46-1.20445377180481E+53i</v>
      </c>
      <c r="K121" s="132"/>
      <c r="L121" s="132" t="e">
        <f t="shared" si="5"/>
        <v>#DIV/0!</v>
      </c>
      <c r="M121" s="132" t="str">
        <f t="shared" si="6"/>
        <v>0</v>
      </c>
      <c r="N121" s="132" t="e">
        <f t="shared" si="7"/>
        <v>#DIV/0!</v>
      </c>
      <c r="O121" s="185" t="e">
        <f t="shared" si="8"/>
        <v>#DIV/0!</v>
      </c>
      <c r="P121" s="185" t="e">
        <f t="shared" si="9"/>
        <v>#DIV/0!</v>
      </c>
      <c r="Q121" s="132">
        <f t="shared" si="10"/>
        <v>415.12593650711557</v>
      </c>
      <c r="R121" s="132">
        <f t="shared" si="21"/>
        <v>1.8200000000000007</v>
      </c>
      <c r="S121" s="164" t="e">
        <f t="shared" si="11"/>
        <v>#DIV/0!</v>
      </c>
      <c r="T121" s="132" t="e">
        <f t="shared" si="12"/>
        <v>#NUM!</v>
      </c>
      <c r="U121" s="138" t="e">
        <f t="shared" si="13"/>
        <v>#NUM!</v>
      </c>
      <c r="V121" s="132" t="e">
        <f t="shared" si="14"/>
        <v>#NUM!</v>
      </c>
      <c r="W121" s="132">
        <f t="shared" si="15"/>
        <v>79.99670998906073</v>
      </c>
      <c r="X121" s="138">
        <f t="shared" si="16"/>
        <v>-1.577269707988609</v>
      </c>
      <c r="Y121" s="128" t="str">
        <f t="shared" si="17"/>
        <v>9992.42552112521-275.146488991103i</v>
      </c>
      <c r="Z121" s="128" t="e">
        <f t="shared" si="18"/>
        <v>#NUM!</v>
      </c>
      <c r="AA121" s="128" t="e">
        <f t="shared" si="22"/>
        <v>#NUM!</v>
      </c>
      <c r="AB121" s="128" t="e">
        <f t="shared" si="23"/>
        <v>#NUM!</v>
      </c>
      <c r="AC121" s="128" t="e">
        <f t="shared" si="24"/>
        <v>#NUM!</v>
      </c>
      <c r="AD121" s="128" t="e">
        <f t="shared" si="25"/>
        <v>#NUM!</v>
      </c>
      <c r="AE121" s="128" t="e">
        <f t="shared" si="26"/>
        <v>#NUM!</v>
      </c>
      <c r="AF121" s="130"/>
      <c r="AG121" s="130"/>
      <c r="AH121" s="130"/>
      <c r="AI121" s="130"/>
      <c r="AJ121" s="130"/>
      <c r="AK121" s="130"/>
      <c r="AL121" s="130"/>
      <c r="AM121" s="130"/>
      <c r="AN121" s="130"/>
      <c r="AO121" s="130"/>
      <c r="AP121" s="130"/>
      <c r="AQ121" s="130"/>
      <c r="AR121" s="130"/>
      <c r="AS121" s="130"/>
    </row>
    <row r="122" spans="1:45" s="166" customFormat="1" ht="12.75">
      <c r="A122" s="132" t="e">
        <f t="shared" si="0"/>
        <v>#DIV/0!</v>
      </c>
      <c r="B122" s="132">
        <f t="shared" si="19"/>
        <v>1.8400000000000007</v>
      </c>
      <c r="C122" s="138">
        <f t="shared" si="20"/>
        <v>69.18309709189379</v>
      </c>
      <c r="D122" s="137" t="e">
        <f t="shared" si="1"/>
        <v>#DIV/0!</v>
      </c>
      <c r="E122" s="132" t="e">
        <f t="shared" si="2"/>
        <v>#DIV/0!</v>
      </c>
      <c r="G122" s="138"/>
      <c r="H122" s="184" t="str">
        <f t="shared" si="3"/>
        <v>1E+47-2.3004888445583E+53i</v>
      </c>
      <c r="I122" s="132" t="str">
        <f>IMSUM(IMDIV(1,COMPLEX(0,Q122*MLCC*10^-6)),MLCC_ESR*10^-3)</f>
        <v>1E+47-2.3004888445583E+53i</v>
      </c>
      <c r="J122" s="132" t="str">
        <f t="shared" si="4"/>
        <v>5E+46-1.15024442227915E+53i</v>
      </c>
      <c r="K122" s="132"/>
      <c r="L122" s="132" t="e">
        <f t="shared" si="5"/>
        <v>#DIV/0!</v>
      </c>
      <c r="M122" s="132" t="str">
        <f t="shared" si="6"/>
        <v>0</v>
      </c>
      <c r="N122" s="132" t="e">
        <f t="shared" si="7"/>
        <v>#DIV/0!</v>
      </c>
      <c r="O122" s="185" t="e">
        <f t="shared" si="8"/>
        <v>#DIV/0!</v>
      </c>
      <c r="P122" s="185" t="e">
        <f t="shared" si="9"/>
        <v>#DIV/0!</v>
      </c>
      <c r="Q122" s="132">
        <f t="shared" si="10"/>
        <v>434.69021915296577</v>
      </c>
      <c r="R122" s="132">
        <f t="shared" si="21"/>
        <v>1.8400000000000007</v>
      </c>
      <c r="S122" s="164" t="e">
        <f t="shared" si="11"/>
        <v>#DIV/0!</v>
      </c>
      <c r="T122" s="132" t="e">
        <f t="shared" si="12"/>
        <v>#NUM!</v>
      </c>
      <c r="U122" s="138" t="e">
        <f t="shared" si="13"/>
        <v>#NUM!</v>
      </c>
      <c r="V122" s="132" t="e">
        <f t="shared" si="14"/>
        <v>#NUM!</v>
      </c>
      <c r="W122" s="132">
        <f t="shared" si="15"/>
        <v>79.99639270652887</v>
      </c>
      <c r="X122" s="138">
        <f t="shared" si="16"/>
        <v>-1.6515639246824094</v>
      </c>
      <c r="Y122" s="128" t="str">
        <f t="shared" si="17"/>
        <v>9991.69535580118-288.092695560845i</v>
      </c>
      <c r="Z122" s="128" t="e">
        <f t="shared" si="18"/>
        <v>#NUM!</v>
      </c>
      <c r="AA122" s="128" t="e">
        <f t="shared" si="22"/>
        <v>#NUM!</v>
      </c>
      <c r="AB122" s="128" t="e">
        <f t="shared" si="23"/>
        <v>#NUM!</v>
      </c>
      <c r="AC122" s="128" t="e">
        <f t="shared" si="24"/>
        <v>#NUM!</v>
      </c>
      <c r="AD122" s="128" t="e">
        <f t="shared" si="25"/>
        <v>#NUM!</v>
      </c>
      <c r="AE122" s="128" t="e">
        <f t="shared" si="26"/>
        <v>#NUM!</v>
      </c>
      <c r="AF122" s="130"/>
      <c r="AG122" s="130"/>
      <c r="AH122" s="130"/>
      <c r="AI122" s="130"/>
      <c r="AJ122" s="130"/>
      <c r="AK122" s="130"/>
      <c r="AL122" s="130"/>
      <c r="AM122" s="130"/>
      <c r="AN122" s="130"/>
      <c r="AO122" s="130"/>
      <c r="AP122" s="130"/>
      <c r="AQ122" s="130"/>
      <c r="AR122" s="130"/>
      <c r="AS122" s="130"/>
    </row>
    <row r="123" spans="1:45" s="166" customFormat="1" ht="12.75">
      <c r="A123" s="132" t="e">
        <f t="shared" si="0"/>
        <v>#DIV/0!</v>
      </c>
      <c r="B123" s="132">
        <f t="shared" si="19"/>
        <v>1.8600000000000008</v>
      </c>
      <c r="C123" s="138">
        <f t="shared" si="20"/>
        <v>72.44359600749914</v>
      </c>
      <c r="D123" s="137" t="e">
        <f t="shared" si="1"/>
        <v>#DIV/0!</v>
      </c>
      <c r="E123" s="132" t="e">
        <f t="shared" si="2"/>
        <v>#DIV/0!</v>
      </c>
      <c r="G123" s="138"/>
      <c r="H123" s="184" t="str">
        <f t="shared" si="3"/>
        <v>1E+47-2.1969497907782E+53i</v>
      </c>
      <c r="I123" s="132" t="str">
        <f>IMSUM(IMDIV(1,COMPLEX(0,Q123*MLCC*10^-6)),MLCC_ESR*10^-3)</f>
        <v>1E+47-2.1969497907782E+53i</v>
      </c>
      <c r="J123" s="132" t="str">
        <f t="shared" si="4"/>
        <v>5E+46-1.0984748953891E+53i</v>
      </c>
      <c r="K123" s="132"/>
      <c r="L123" s="132" t="e">
        <f t="shared" si="5"/>
        <v>#DIV/0!</v>
      </c>
      <c r="M123" s="132" t="str">
        <f t="shared" si="6"/>
        <v>0</v>
      </c>
      <c r="N123" s="132" t="e">
        <f t="shared" si="7"/>
        <v>#DIV/0!</v>
      </c>
      <c r="O123" s="185" t="e">
        <f t="shared" si="8"/>
        <v>#DIV/0!</v>
      </c>
      <c r="P123" s="185" t="e">
        <f t="shared" si="9"/>
        <v>#DIV/0!</v>
      </c>
      <c r="Q123" s="132">
        <f t="shared" si="10"/>
        <v>455.17653803357234</v>
      </c>
      <c r="R123" s="132">
        <f t="shared" si="21"/>
        <v>1.8600000000000008</v>
      </c>
      <c r="S123" s="164" t="e">
        <f t="shared" si="11"/>
        <v>#DIV/0!</v>
      </c>
      <c r="T123" s="132" t="e">
        <f t="shared" si="12"/>
        <v>#NUM!</v>
      </c>
      <c r="U123" s="138" t="e">
        <f t="shared" si="13"/>
        <v>#NUM!</v>
      </c>
      <c r="V123" s="132" t="e">
        <f t="shared" si="14"/>
        <v>#NUM!</v>
      </c>
      <c r="W123" s="132">
        <f t="shared" si="15"/>
        <v>79.99604483979068</v>
      </c>
      <c r="X123" s="138">
        <f t="shared" si="16"/>
        <v>-1.7293535662525255</v>
      </c>
      <c r="Y123" s="128" t="str">
        <f t="shared" si="17"/>
        <v>9990.89486805292-301.645923418762i</v>
      </c>
      <c r="Z123" s="128" t="e">
        <f t="shared" si="18"/>
        <v>#NUM!</v>
      </c>
      <c r="AA123" s="128" t="e">
        <f t="shared" si="22"/>
        <v>#NUM!</v>
      </c>
      <c r="AB123" s="128" t="e">
        <f t="shared" si="23"/>
        <v>#NUM!</v>
      </c>
      <c r="AC123" s="128" t="e">
        <f t="shared" si="24"/>
        <v>#NUM!</v>
      </c>
      <c r="AD123" s="128" t="e">
        <f t="shared" si="25"/>
        <v>#NUM!</v>
      </c>
      <c r="AE123" s="128" t="e">
        <f t="shared" si="26"/>
        <v>#NUM!</v>
      </c>
      <c r="AF123" s="130"/>
      <c r="AG123" s="130"/>
      <c r="AH123" s="130"/>
      <c r="AI123" s="130"/>
      <c r="AJ123" s="130"/>
      <c r="AK123" s="130"/>
      <c r="AL123" s="130"/>
      <c r="AM123" s="130"/>
      <c r="AN123" s="130"/>
      <c r="AO123" s="130"/>
      <c r="AP123" s="130"/>
      <c r="AQ123" s="130"/>
      <c r="AR123" s="130"/>
      <c r="AS123" s="130"/>
    </row>
    <row r="124" spans="1:45" s="166" customFormat="1" ht="12.75">
      <c r="A124" s="132" t="e">
        <f t="shared" si="0"/>
        <v>#DIV/0!</v>
      </c>
      <c r="B124" s="132">
        <f t="shared" si="19"/>
        <v>1.880000000000001</v>
      </c>
      <c r="C124" s="138">
        <f t="shared" si="20"/>
        <v>75.85775750291856</v>
      </c>
      <c r="D124" s="137" t="e">
        <f t="shared" si="1"/>
        <v>#DIV/0!</v>
      </c>
      <c r="E124" s="132" t="e">
        <f t="shared" si="2"/>
        <v>#DIV/0!</v>
      </c>
      <c r="G124" s="138"/>
      <c r="H124" s="184" t="str">
        <f t="shared" si="3"/>
        <v>1E+47-2.09807076205452E+53i</v>
      </c>
      <c r="I124" s="132" t="str">
        <f>IMSUM(IMDIV(1,COMPLEX(0,Q124*MLCC*10^-6)),MLCC_ESR*10^-3)</f>
        <v>1E+47-2.09807076205452E+53i</v>
      </c>
      <c r="J124" s="132" t="str">
        <f t="shared" si="4"/>
        <v>5E+46-1.04903538102726E+53i</v>
      </c>
      <c r="K124" s="132"/>
      <c r="L124" s="132" t="e">
        <f t="shared" si="5"/>
        <v>#DIV/0!</v>
      </c>
      <c r="M124" s="132" t="str">
        <f t="shared" si="6"/>
        <v>0</v>
      </c>
      <c r="N124" s="132" t="e">
        <f t="shared" si="7"/>
        <v>#DIV/0!</v>
      </c>
      <c r="O124" s="185" t="e">
        <f t="shared" si="8"/>
        <v>#DIV/0!</v>
      </c>
      <c r="P124" s="185" t="e">
        <f t="shared" si="9"/>
        <v>#DIV/0!</v>
      </c>
      <c r="Q124" s="132">
        <f t="shared" si="10"/>
        <v>476.6283473779299</v>
      </c>
      <c r="R124" s="132">
        <f t="shared" si="21"/>
        <v>1.8800000000000008</v>
      </c>
      <c r="S124" s="164" t="e">
        <f t="shared" si="11"/>
        <v>#DIV/0!</v>
      </c>
      <c r="T124" s="132" t="e">
        <f t="shared" si="12"/>
        <v>#NUM!</v>
      </c>
      <c r="U124" s="138" t="e">
        <f t="shared" si="13"/>
        <v>#NUM!</v>
      </c>
      <c r="V124" s="132" t="e">
        <f t="shared" si="14"/>
        <v>#NUM!</v>
      </c>
      <c r="W124" s="132">
        <f t="shared" si="15"/>
        <v>79.99566344352031</v>
      </c>
      <c r="X124" s="138">
        <f t="shared" si="16"/>
        <v>-1.8108024860359002</v>
      </c>
      <c r="Y124" s="128" t="str">
        <f t="shared" si="17"/>
        <v>9990.01729806372-315.834320110199i</v>
      </c>
      <c r="Z124" s="128" t="e">
        <f t="shared" si="18"/>
        <v>#NUM!</v>
      </c>
      <c r="AA124" s="128" t="e">
        <f t="shared" si="22"/>
        <v>#NUM!</v>
      </c>
      <c r="AB124" s="128" t="e">
        <f t="shared" si="23"/>
        <v>#NUM!</v>
      </c>
      <c r="AC124" s="128" t="e">
        <f t="shared" si="24"/>
        <v>#NUM!</v>
      </c>
      <c r="AD124" s="128" t="e">
        <f t="shared" si="25"/>
        <v>#NUM!</v>
      </c>
      <c r="AE124" s="128" t="e">
        <f t="shared" si="26"/>
        <v>#NUM!</v>
      </c>
      <c r="AF124" s="130"/>
      <c r="AG124" s="130"/>
      <c r="AH124" s="130"/>
      <c r="AI124" s="130"/>
      <c r="AJ124" s="130"/>
      <c r="AK124" s="130"/>
      <c r="AL124" s="130"/>
      <c r="AM124" s="130"/>
      <c r="AN124" s="130"/>
      <c r="AO124" s="130"/>
      <c r="AP124" s="130"/>
      <c r="AQ124" s="130"/>
      <c r="AR124" s="130"/>
      <c r="AS124" s="130"/>
    </row>
    <row r="125" spans="1:45" s="166" customFormat="1" ht="12.75">
      <c r="A125" s="132" t="e">
        <f t="shared" si="0"/>
        <v>#DIV/0!</v>
      </c>
      <c r="B125" s="132">
        <f t="shared" si="19"/>
        <v>1.900000000000001</v>
      </c>
      <c r="C125" s="138">
        <f t="shared" si="20"/>
        <v>79.43282347242832</v>
      </c>
      <c r="D125" s="137" t="e">
        <f t="shared" si="1"/>
        <v>#DIV/0!</v>
      </c>
      <c r="E125" s="132" t="e">
        <f t="shared" si="2"/>
        <v>#DIV/0!</v>
      </c>
      <c r="G125" s="138"/>
      <c r="H125" s="184" t="str">
        <f t="shared" si="3"/>
        <v>1E+47-2.00364202271041E+53i</v>
      </c>
      <c r="I125" s="132" t="str">
        <f>IMSUM(IMDIV(1,COMPLEX(0,Q125*MLCC*10^-6)),MLCC_ESR*10^-3)</f>
        <v>1E+47-2.00364202271041E+53i</v>
      </c>
      <c r="J125" s="132" t="str">
        <f t="shared" si="4"/>
        <v>5E+46-1.0018210113552E+53i</v>
      </c>
      <c r="K125" s="132"/>
      <c r="L125" s="132" t="e">
        <f t="shared" si="5"/>
        <v>#DIV/0!</v>
      </c>
      <c r="M125" s="132" t="str">
        <f t="shared" si="6"/>
        <v>0</v>
      </c>
      <c r="N125" s="132" t="e">
        <f t="shared" si="7"/>
        <v>#DIV/0!</v>
      </c>
      <c r="O125" s="185" t="e">
        <f t="shared" si="8"/>
        <v>#DIV/0!</v>
      </c>
      <c r="P125" s="185" t="e">
        <f t="shared" si="9"/>
        <v>#DIV/0!</v>
      </c>
      <c r="Q125" s="132">
        <f t="shared" si="10"/>
        <v>499.0911493497514</v>
      </c>
      <c r="R125" s="132">
        <f t="shared" si="21"/>
        <v>1.9000000000000008</v>
      </c>
      <c r="S125" s="164" t="e">
        <f t="shared" si="11"/>
        <v>#DIV/0!</v>
      </c>
      <c r="T125" s="132" t="e">
        <f t="shared" si="12"/>
        <v>#NUM!</v>
      </c>
      <c r="U125" s="138" t="e">
        <f t="shared" si="13"/>
        <v>#NUM!</v>
      </c>
      <c r="V125" s="132" t="e">
        <f t="shared" si="14"/>
        <v>#NUM!</v>
      </c>
      <c r="W125" s="132">
        <f t="shared" si="15"/>
        <v>79.99524528931934</v>
      </c>
      <c r="X125" s="138">
        <f t="shared" si="16"/>
        <v>-1.8960821293054217</v>
      </c>
      <c r="Y125" s="128" t="str">
        <f t="shared" si="17"/>
        <v>9989.05523883955-330.687291758083i</v>
      </c>
      <c r="Z125" s="128" t="e">
        <f t="shared" si="18"/>
        <v>#NUM!</v>
      </c>
      <c r="AA125" s="128" t="e">
        <f t="shared" si="22"/>
        <v>#NUM!</v>
      </c>
      <c r="AB125" s="128" t="e">
        <f t="shared" si="23"/>
        <v>#NUM!</v>
      </c>
      <c r="AC125" s="128" t="e">
        <f t="shared" si="24"/>
        <v>#NUM!</v>
      </c>
      <c r="AD125" s="128" t="e">
        <f t="shared" si="25"/>
        <v>#NUM!</v>
      </c>
      <c r="AE125" s="128" t="e">
        <f t="shared" si="26"/>
        <v>#NUM!</v>
      </c>
      <c r="AF125" s="130"/>
      <c r="AG125" s="130"/>
      <c r="AH125" s="130"/>
      <c r="AI125" s="130"/>
      <c r="AJ125" s="130"/>
      <c r="AK125" s="130"/>
      <c r="AL125" s="130"/>
      <c r="AM125" s="130"/>
      <c r="AN125" s="130"/>
      <c r="AO125" s="130"/>
      <c r="AP125" s="130"/>
      <c r="AQ125" s="130"/>
      <c r="AR125" s="130"/>
      <c r="AS125" s="130"/>
    </row>
    <row r="126" spans="1:45" s="166" customFormat="1" ht="12.75">
      <c r="A126" s="132" t="e">
        <f t="shared" si="0"/>
        <v>#DIV/0!</v>
      </c>
      <c r="B126" s="132">
        <f t="shared" si="19"/>
        <v>1.9200000000000008</v>
      </c>
      <c r="C126" s="138">
        <f t="shared" si="20"/>
        <v>83.17637711026727</v>
      </c>
      <c r="D126" s="137" t="e">
        <f t="shared" si="1"/>
        <v>#DIV/0!</v>
      </c>
      <c r="E126" s="132" t="e">
        <f t="shared" si="2"/>
        <v>#DIV/0!</v>
      </c>
      <c r="G126" s="138"/>
      <c r="H126" s="184" t="str">
        <f t="shared" si="3"/>
        <v>1E+47-1.91346327672944E+53i</v>
      </c>
      <c r="I126" s="132" t="str">
        <f>IMSUM(IMDIV(1,COMPLEX(0,Q126*MLCC*10^-6)),MLCC_ESR*10^-3)</f>
        <v>1E+47-1.91346327672944E+53i</v>
      </c>
      <c r="J126" s="132" t="str">
        <f t="shared" si="4"/>
        <v>4.99999999999999E+46-9.56731638364721E+52i</v>
      </c>
      <c r="K126" s="132"/>
      <c r="L126" s="132" t="e">
        <f t="shared" si="5"/>
        <v>#DIV/0!</v>
      </c>
      <c r="M126" s="132" t="str">
        <f t="shared" si="6"/>
        <v>0</v>
      </c>
      <c r="N126" s="132" t="e">
        <f t="shared" si="7"/>
        <v>#DIV/0!</v>
      </c>
      <c r="O126" s="185" t="e">
        <f t="shared" si="8"/>
        <v>#DIV/0!</v>
      </c>
      <c r="P126" s="185" t="e">
        <f t="shared" si="9"/>
        <v>#DIV/0!</v>
      </c>
      <c r="Q126" s="132">
        <f t="shared" si="10"/>
        <v>522.6125905636598</v>
      </c>
      <c r="R126" s="132">
        <f t="shared" si="21"/>
        <v>1.9200000000000008</v>
      </c>
      <c r="S126" s="164" t="e">
        <f t="shared" si="11"/>
        <v>#DIV/0!</v>
      </c>
      <c r="T126" s="132" t="e">
        <f t="shared" si="12"/>
        <v>#NUM!</v>
      </c>
      <c r="U126" s="138" t="e">
        <f t="shared" si="13"/>
        <v>#NUM!</v>
      </c>
      <c r="V126" s="132" t="e">
        <f t="shared" si="14"/>
        <v>#NUM!</v>
      </c>
      <c r="W126" s="132">
        <f t="shared" si="15"/>
        <v>79.99478683862588</v>
      </c>
      <c r="X126" s="138">
        <f t="shared" si="16"/>
        <v>-1.9853718718456659</v>
      </c>
      <c r="Y126" s="128" t="str">
        <f t="shared" si="17"/>
        <v>9988.00057477776-346.235552370972i</v>
      </c>
      <c r="Z126" s="128" t="e">
        <f t="shared" si="18"/>
        <v>#NUM!</v>
      </c>
      <c r="AA126" s="128" t="e">
        <f t="shared" si="22"/>
        <v>#NUM!</v>
      </c>
      <c r="AB126" s="128" t="e">
        <f t="shared" si="23"/>
        <v>#NUM!</v>
      </c>
      <c r="AC126" s="128" t="e">
        <f t="shared" si="24"/>
        <v>#NUM!</v>
      </c>
      <c r="AD126" s="128" t="e">
        <f t="shared" si="25"/>
        <v>#NUM!</v>
      </c>
      <c r="AE126" s="128" t="e">
        <f t="shared" si="26"/>
        <v>#NUM!</v>
      </c>
      <c r="AF126" s="130"/>
      <c r="AG126" s="130"/>
      <c r="AH126" s="130"/>
      <c r="AI126" s="130"/>
      <c r="AJ126" s="130"/>
      <c r="AK126" s="130"/>
      <c r="AL126" s="130"/>
      <c r="AM126" s="130"/>
      <c r="AN126" s="130"/>
      <c r="AO126" s="130"/>
      <c r="AP126" s="130"/>
      <c r="AQ126" s="130"/>
      <c r="AR126" s="130"/>
      <c r="AS126" s="130"/>
    </row>
    <row r="127" spans="1:45" s="166" customFormat="1" ht="12.75">
      <c r="A127" s="132" t="e">
        <f t="shared" si="0"/>
        <v>#DIV/0!</v>
      </c>
      <c r="B127" s="132">
        <f t="shared" si="19"/>
        <v>1.9400000000000013</v>
      </c>
      <c r="C127" s="138">
        <f t="shared" si="20"/>
        <v>87.09635899560831</v>
      </c>
      <c r="D127" s="137" t="e">
        <f t="shared" si="1"/>
        <v>#DIV/0!</v>
      </c>
      <c r="E127" s="132" t="e">
        <f t="shared" si="2"/>
        <v>#DIV/0!</v>
      </c>
      <c r="G127" s="138"/>
      <c r="H127" s="184" t="str">
        <f t="shared" si="3"/>
        <v>1E+47-1.82734324290089E+53i</v>
      </c>
      <c r="I127" s="132" t="str">
        <f>IMSUM(IMDIV(1,COMPLEX(0,Q127*MLCC*10^-6)),MLCC_ESR*10^-3)</f>
        <v>1E+47-1.82734324290089E+53i</v>
      </c>
      <c r="J127" s="132" t="str">
        <f t="shared" si="4"/>
        <v>5E+46-9.13671621450445E+52i</v>
      </c>
      <c r="K127" s="132"/>
      <c r="L127" s="132" t="e">
        <f t="shared" si="5"/>
        <v>#DIV/0!</v>
      </c>
      <c r="M127" s="132" t="str">
        <f t="shared" si="6"/>
        <v>0</v>
      </c>
      <c r="N127" s="132" t="e">
        <f t="shared" si="7"/>
        <v>#DIV/0!</v>
      </c>
      <c r="O127" s="185" t="e">
        <f t="shared" si="8"/>
        <v>#DIV/0!</v>
      </c>
      <c r="P127" s="185" t="e">
        <f t="shared" si="9"/>
        <v>#DIV/0!</v>
      </c>
      <c r="Q127" s="132">
        <f t="shared" si="10"/>
        <v>547.2425631500447</v>
      </c>
      <c r="R127" s="132">
        <f t="shared" si="21"/>
        <v>1.9400000000000008</v>
      </c>
      <c r="S127" s="164" t="e">
        <f t="shared" si="11"/>
        <v>#DIV/0!</v>
      </c>
      <c r="T127" s="132" t="e">
        <f t="shared" si="12"/>
        <v>#NUM!</v>
      </c>
      <c r="U127" s="138" t="e">
        <f t="shared" si="13"/>
        <v>#NUM!</v>
      </c>
      <c r="V127" s="132" t="e">
        <f t="shared" si="14"/>
        <v>#NUM!</v>
      </c>
      <c r="W127" s="132">
        <f t="shared" si="15"/>
        <v>79.99428421305412</v>
      </c>
      <c r="X127" s="138">
        <f t="shared" si="16"/>
        <v>-2.0788593716563266</v>
      </c>
      <c r="Y127" s="128" t="str">
        <f t="shared" si="17"/>
        <v>9986.84441451168-362.511174008821i</v>
      </c>
      <c r="Z127" s="128" t="e">
        <f t="shared" si="18"/>
        <v>#NUM!</v>
      </c>
      <c r="AA127" s="128" t="e">
        <f t="shared" si="22"/>
        <v>#NUM!</v>
      </c>
      <c r="AB127" s="128" t="e">
        <f t="shared" si="23"/>
        <v>#NUM!</v>
      </c>
      <c r="AC127" s="128" t="e">
        <f t="shared" si="24"/>
        <v>#NUM!</v>
      </c>
      <c r="AD127" s="128" t="e">
        <f t="shared" si="25"/>
        <v>#NUM!</v>
      </c>
      <c r="AE127" s="128" t="e">
        <f t="shared" si="26"/>
        <v>#NUM!</v>
      </c>
      <c r="AF127" s="130"/>
      <c r="AG127" s="130"/>
      <c r="AH127" s="130"/>
      <c r="AI127" s="130"/>
      <c r="AJ127" s="130"/>
      <c r="AK127" s="130"/>
      <c r="AL127" s="130"/>
      <c r="AM127" s="130"/>
      <c r="AN127" s="130"/>
      <c r="AO127" s="130"/>
      <c r="AP127" s="130"/>
      <c r="AQ127" s="130"/>
      <c r="AR127" s="130"/>
      <c r="AS127" s="130"/>
    </row>
    <row r="128" spans="1:45" s="166" customFormat="1" ht="12.75">
      <c r="A128" s="132" t="e">
        <f t="shared" si="0"/>
        <v>#DIV/0!</v>
      </c>
      <c r="B128" s="132">
        <f t="shared" si="19"/>
        <v>1.960000000000001</v>
      </c>
      <c r="C128" s="138">
        <f t="shared" si="20"/>
        <v>91.20108393559121</v>
      </c>
      <c r="D128" s="137" t="e">
        <f t="shared" si="1"/>
        <v>#DIV/0!</v>
      </c>
      <c r="E128" s="132" t="e">
        <f t="shared" si="2"/>
        <v>#DIV/0!</v>
      </c>
      <c r="G128" s="138"/>
      <c r="H128" s="184" t="str">
        <f t="shared" si="3"/>
        <v>1E+47-1.74509924908672E+53i</v>
      </c>
      <c r="I128" s="132" t="str">
        <f>IMSUM(IMDIV(1,COMPLEX(0,Q128*MLCC*10^-6)),MLCC_ESR*10^-3)</f>
        <v>1E+47-1.74509924908672E+53i</v>
      </c>
      <c r="J128" s="132" t="str">
        <f t="shared" si="4"/>
        <v>5.00000000000001E+46-8.72549624543359E+52i</v>
      </c>
      <c r="K128" s="132"/>
      <c r="L128" s="132" t="e">
        <f t="shared" si="5"/>
        <v>#DIV/0!</v>
      </c>
      <c r="M128" s="132" t="str">
        <f t="shared" si="6"/>
        <v>0</v>
      </c>
      <c r="N128" s="132" t="e">
        <f t="shared" si="7"/>
        <v>#DIV/0!</v>
      </c>
      <c r="O128" s="185" t="e">
        <f t="shared" si="8"/>
        <v>#DIV/0!</v>
      </c>
      <c r="P128" s="185" t="e">
        <f t="shared" si="9"/>
        <v>#DIV/0!</v>
      </c>
      <c r="Q128" s="132">
        <f t="shared" si="10"/>
        <v>573.033310582959</v>
      </c>
      <c r="R128" s="132">
        <f t="shared" si="21"/>
        <v>1.9600000000000009</v>
      </c>
      <c r="S128" s="164" t="e">
        <f t="shared" si="11"/>
        <v>#DIV/0!</v>
      </c>
      <c r="T128" s="132" t="e">
        <f t="shared" si="12"/>
        <v>#NUM!</v>
      </c>
      <c r="U128" s="138" t="e">
        <f t="shared" si="13"/>
        <v>#NUM!</v>
      </c>
      <c r="V128" s="132" t="e">
        <f t="shared" si="14"/>
        <v>#NUM!</v>
      </c>
      <c r="W128" s="132">
        <f t="shared" si="15"/>
        <v>79.99373316192543</v>
      </c>
      <c r="X128" s="138">
        <f t="shared" si="16"/>
        <v>-2.1767409339880457</v>
      </c>
      <c r="Y128" s="128" t="str">
        <f t="shared" si="17"/>
        <v>9985.57701751932-379.547637633966i</v>
      </c>
      <c r="Z128" s="128" t="e">
        <f t="shared" si="18"/>
        <v>#NUM!</v>
      </c>
      <c r="AA128" s="128" t="e">
        <f t="shared" si="22"/>
        <v>#NUM!</v>
      </c>
      <c r="AB128" s="128" t="e">
        <f t="shared" si="23"/>
        <v>#NUM!</v>
      </c>
      <c r="AC128" s="128" t="e">
        <f t="shared" si="24"/>
        <v>#NUM!</v>
      </c>
      <c r="AD128" s="128" t="e">
        <f t="shared" si="25"/>
        <v>#NUM!</v>
      </c>
      <c r="AE128" s="128" t="e">
        <f t="shared" si="26"/>
        <v>#NUM!</v>
      </c>
      <c r="AF128" s="130"/>
      <c r="AG128" s="130"/>
      <c r="AH128" s="130"/>
      <c r="AI128" s="130"/>
      <c r="AJ128" s="130"/>
      <c r="AK128" s="130"/>
      <c r="AL128" s="130"/>
      <c r="AM128" s="130"/>
      <c r="AN128" s="130"/>
      <c r="AO128" s="130"/>
      <c r="AP128" s="130"/>
      <c r="AQ128" s="130"/>
      <c r="AR128" s="130"/>
      <c r="AS128" s="130"/>
    </row>
    <row r="129" spans="1:45" s="166" customFormat="1" ht="12.75">
      <c r="A129" s="132" t="e">
        <f t="shared" si="0"/>
        <v>#DIV/0!</v>
      </c>
      <c r="B129" s="132">
        <f t="shared" si="19"/>
        <v>1.980000000000001</v>
      </c>
      <c r="C129" s="138">
        <f t="shared" si="20"/>
        <v>95.49925860214383</v>
      </c>
      <c r="D129" s="137" t="e">
        <f t="shared" si="1"/>
        <v>#DIV/0!</v>
      </c>
      <c r="E129" s="132" t="e">
        <f t="shared" si="2"/>
        <v>#DIV/0!</v>
      </c>
      <c r="G129" s="138"/>
      <c r="H129" s="184" t="str">
        <f t="shared" si="3"/>
        <v>1E+47-1.66655684474939E+53i</v>
      </c>
      <c r="I129" s="132" t="str">
        <f>IMSUM(IMDIV(1,COMPLEX(0,Q129*MLCC*10^-6)),MLCC_ESR*10^-3)</f>
        <v>1E+47-1.66655684474939E+53i</v>
      </c>
      <c r="J129" s="132" t="str">
        <f t="shared" si="4"/>
        <v>5E+46-8.33278422374694E+52i</v>
      </c>
      <c r="K129" s="132"/>
      <c r="L129" s="132" t="e">
        <f t="shared" si="5"/>
        <v>#DIV/0!</v>
      </c>
      <c r="M129" s="132" t="str">
        <f t="shared" si="6"/>
        <v>0</v>
      </c>
      <c r="N129" s="132" t="e">
        <f t="shared" si="7"/>
        <v>#DIV/0!</v>
      </c>
      <c r="O129" s="185" t="e">
        <f t="shared" si="8"/>
        <v>#DIV/0!</v>
      </c>
      <c r="P129" s="185" t="e">
        <f t="shared" si="9"/>
        <v>#DIV/0!</v>
      </c>
      <c r="Q129" s="132">
        <f t="shared" si="10"/>
        <v>600.0395384955337</v>
      </c>
      <c r="R129" s="132">
        <f t="shared" si="21"/>
        <v>1.9800000000000009</v>
      </c>
      <c r="S129" s="164" t="e">
        <f t="shared" si="11"/>
        <v>#DIV/0!</v>
      </c>
      <c r="T129" s="132" t="e">
        <f t="shared" si="12"/>
        <v>#NUM!</v>
      </c>
      <c r="U129" s="138" t="e">
        <f t="shared" si="13"/>
        <v>#NUM!</v>
      </c>
      <c r="V129" s="132" t="e">
        <f t="shared" si="14"/>
        <v>#NUM!</v>
      </c>
      <c r="W129" s="132">
        <f t="shared" si="15"/>
        <v>79.99312902673067</v>
      </c>
      <c r="X129" s="138">
        <f t="shared" si="16"/>
        <v>-2.279221889864587</v>
      </c>
      <c r="Y129" s="128" t="str">
        <f t="shared" si="17"/>
        <v>9984.18771394338-397.379884436187i</v>
      </c>
      <c r="Z129" s="128" t="e">
        <f t="shared" si="18"/>
        <v>#NUM!</v>
      </c>
      <c r="AA129" s="128" t="e">
        <f t="shared" si="22"/>
        <v>#NUM!</v>
      </c>
      <c r="AB129" s="128" t="e">
        <f t="shared" si="23"/>
        <v>#NUM!</v>
      </c>
      <c r="AC129" s="128" t="e">
        <f t="shared" si="24"/>
        <v>#NUM!</v>
      </c>
      <c r="AD129" s="128" t="e">
        <f t="shared" si="25"/>
        <v>#NUM!</v>
      </c>
      <c r="AE129" s="128" t="e">
        <f t="shared" si="26"/>
        <v>#NUM!</v>
      </c>
      <c r="AF129" s="130"/>
      <c r="AG129" s="130"/>
      <c r="AH129" s="130"/>
      <c r="AI129" s="130"/>
      <c r="AJ129" s="130"/>
      <c r="AK129" s="130"/>
      <c r="AL129" s="130"/>
      <c r="AM129" s="130"/>
      <c r="AN129" s="130"/>
      <c r="AO129" s="130"/>
      <c r="AP129" s="130"/>
      <c r="AQ129" s="130"/>
      <c r="AR129" s="130"/>
      <c r="AS129" s="130"/>
    </row>
    <row r="130" spans="1:45" s="166" customFormat="1" ht="12.75">
      <c r="A130" s="132" t="e">
        <f t="shared" si="0"/>
        <v>#DIV/0!</v>
      </c>
      <c r="B130" s="132">
        <f t="shared" si="19"/>
        <v>2.000000000000001</v>
      </c>
      <c r="C130" s="138">
        <f t="shared" si="20"/>
        <v>100.00000000000023</v>
      </c>
      <c r="D130" s="137" t="e">
        <f t="shared" si="1"/>
        <v>#DIV/0!</v>
      </c>
      <c r="E130" s="132" t="e">
        <f t="shared" si="2"/>
        <v>#DIV/0!</v>
      </c>
      <c r="G130" s="138"/>
      <c r="H130" s="184" t="str">
        <f t="shared" si="3"/>
        <v>1E+47-1.59154943091895E+53i</v>
      </c>
      <c r="I130" s="132" t="str">
        <f>IMSUM(IMDIV(1,COMPLEX(0,Q130*MLCC*10^-6)),MLCC_ESR*10^-3)</f>
        <v>1E+47-1.59154943091895E+53i</v>
      </c>
      <c r="J130" s="132" t="str">
        <f t="shared" si="4"/>
        <v>5.00000000000001E+46-7.95774715459474E+52i</v>
      </c>
      <c r="K130" s="132"/>
      <c r="L130" s="132" t="e">
        <f t="shared" si="5"/>
        <v>#DIV/0!</v>
      </c>
      <c r="M130" s="132" t="str">
        <f t="shared" si="6"/>
        <v>0</v>
      </c>
      <c r="N130" s="132" t="e">
        <f t="shared" si="7"/>
        <v>#DIV/0!</v>
      </c>
      <c r="O130" s="185" t="e">
        <f t="shared" si="8"/>
        <v>#DIV/0!</v>
      </c>
      <c r="P130" s="185" t="e">
        <f t="shared" si="9"/>
        <v>#DIV/0!</v>
      </c>
      <c r="Q130" s="132">
        <f t="shared" si="10"/>
        <v>628.31853071796</v>
      </c>
      <c r="R130" s="132">
        <f t="shared" si="21"/>
        <v>2.000000000000001</v>
      </c>
      <c r="S130" s="164" t="e">
        <f t="shared" si="11"/>
        <v>#DIV/0!</v>
      </c>
      <c r="T130" s="132" t="e">
        <f t="shared" si="12"/>
        <v>#NUM!</v>
      </c>
      <c r="U130" s="138" t="e">
        <f t="shared" si="13"/>
        <v>#NUM!</v>
      </c>
      <c r="V130" s="132" t="e">
        <f t="shared" si="14"/>
        <v>#NUM!</v>
      </c>
      <c r="W130" s="132">
        <f t="shared" si="15"/>
        <v>79.99246670224052</v>
      </c>
      <c r="X130" s="138">
        <f t="shared" si="16"/>
        <v>-2.386516988183934</v>
      </c>
      <c r="Y130" s="128" t="str">
        <f t="shared" si="17"/>
        <v>9982.664817026-416.044367376075i</v>
      </c>
      <c r="Z130" s="128" t="e">
        <f t="shared" si="18"/>
        <v>#NUM!</v>
      </c>
      <c r="AA130" s="128" t="e">
        <f t="shared" si="22"/>
        <v>#NUM!</v>
      </c>
      <c r="AB130" s="128" t="e">
        <f t="shared" si="23"/>
        <v>#NUM!</v>
      </c>
      <c r="AC130" s="128" t="e">
        <f t="shared" si="24"/>
        <v>#NUM!</v>
      </c>
      <c r="AD130" s="128" t="e">
        <f t="shared" si="25"/>
        <v>#NUM!</v>
      </c>
      <c r="AE130" s="128" t="e">
        <f t="shared" si="26"/>
        <v>#NUM!</v>
      </c>
      <c r="AF130" s="130"/>
      <c r="AG130" s="130"/>
      <c r="AH130" s="130"/>
      <c r="AI130" s="130"/>
      <c r="AJ130" s="130"/>
      <c r="AK130" s="130"/>
      <c r="AL130" s="130"/>
      <c r="AM130" s="130"/>
      <c r="AN130" s="130"/>
      <c r="AO130" s="130"/>
      <c r="AP130" s="130"/>
      <c r="AQ130" s="130"/>
      <c r="AR130" s="130"/>
      <c r="AS130" s="130"/>
    </row>
    <row r="131" spans="1:45" s="166" customFormat="1" ht="12.75">
      <c r="A131" s="132" t="e">
        <f t="shared" si="0"/>
        <v>#DIV/0!</v>
      </c>
      <c r="B131" s="132">
        <f t="shared" si="19"/>
        <v>2.0200000000000014</v>
      </c>
      <c r="C131" s="138">
        <f t="shared" si="20"/>
        <v>104.71285480509026</v>
      </c>
      <c r="D131" s="137" t="e">
        <f t="shared" si="1"/>
        <v>#DIV/0!</v>
      </c>
      <c r="E131" s="132" t="e">
        <f t="shared" si="2"/>
        <v>#DIV/0!</v>
      </c>
      <c r="G131" s="138"/>
      <c r="H131" s="184" t="str">
        <f t="shared" si="3"/>
        <v>1E+47-1.51991790681423E+53i</v>
      </c>
      <c r="I131" s="132" t="str">
        <f>IMSUM(IMDIV(1,COMPLEX(0,Q131*MLCC*10^-6)),MLCC_ESR*10^-3)</f>
        <v>1E+47-1.51991790681423E+53i</v>
      </c>
      <c r="J131" s="132" t="str">
        <f t="shared" si="4"/>
        <v>5E+46-7.59958953407115E+52i</v>
      </c>
      <c r="K131" s="132"/>
      <c r="L131" s="132" t="e">
        <f t="shared" si="5"/>
        <v>#DIV/0!</v>
      </c>
      <c r="M131" s="132" t="str">
        <f t="shared" si="6"/>
        <v>0</v>
      </c>
      <c r="N131" s="132" t="e">
        <f t="shared" si="7"/>
        <v>#DIV/0!</v>
      </c>
      <c r="O131" s="185" t="e">
        <f t="shared" si="8"/>
        <v>#DIV/0!</v>
      </c>
      <c r="P131" s="185" t="e">
        <f t="shared" si="9"/>
        <v>#DIV/0!</v>
      </c>
      <c r="Q131" s="132">
        <f t="shared" si="10"/>
        <v>657.9302707841724</v>
      </c>
      <c r="R131" s="132">
        <f t="shared" si="21"/>
        <v>2.020000000000001</v>
      </c>
      <c r="S131" s="164" t="e">
        <f t="shared" si="11"/>
        <v>#DIV/0!</v>
      </c>
      <c r="T131" s="132" t="e">
        <f t="shared" si="12"/>
        <v>#NUM!</v>
      </c>
      <c r="U131" s="138" t="e">
        <f t="shared" si="13"/>
        <v>#NUM!</v>
      </c>
      <c r="V131" s="132" t="e">
        <f t="shared" si="14"/>
        <v>#NUM!</v>
      </c>
      <c r="W131" s="132">
        <f t="shared" si="15"/>
        <v>79.99174059395553</v>
      </c>
      <c r="X131" s="138">
        <f t="shared" si="16"/>
        <v>-2.498850801416747</v>
      </c>
      <c r="Y131" s="128" t="str">
        <f t="shared" si="17"/>
        <v>9980.99552751568-435.579102639379i</v>
      </c>
      <c r="Z131" s="128" t="e">
        <f t="shared" si="18"/>
        <v>#NUM!</v>
      </c>
      <c r="AA131" s="128" t="e">
        <f t="shared" si="22"/>
        <v>#NUM!</v>
      </c>
      <c r="AB131" s="128" t="e">
        <f t="shared" si="23"/>
        <v>#NUM!</v>
      </c>
      <c r="AC131" s="128" t="e">
        <f t="shared" si="24"/>
        <v>#NUM!</v>
      </c>
      <c r="AD131" s="128" t="e">
        <f t="shared" si="25"/>
        <v>#NUM!</v>
      </c>
      <c r="AE131" s="128" t="e">
        <f t="shared" si="26"/>
        <v>#NUM!</v>
      </c>
      <c r="AF131" s="130"/>
      <c r="AG131" s="130"/>
      <c r="AH131" s="130"/>
      <c r="AI131" s="130"/>
      <c r="AJ131" s="130"/>
      <c r="AK131" s="130"/>
      <c r="AL131" s="130"/>
      <c r="AM131" s="130"/>
      <c r="AN131" s="130"/>
      <c r="AO131" s="130"/>
      <c r="AP131" s="130"/>
      <c r="AQ131" s="130"/>
      <c r="AR131" s="130"/>
      <c r="AS131" s="130"/>
    </row>
    <row r="132" spans="1:45" s="166" customFormat="1" ht="12.75">
      <c r="A132" s="132" t="e">
        <f t="shared" si="0"/>
        <v>#DIV/0!</v>
      </c>
      <c r="B132" s="132">
        <f t="shared" si="19"/>
        <v>2.0400000000000014</v>
      </c>
      <c r="C132" s="138">
        <f t="shared" si="20"/>
        <v>109.6478196143188</v>
      </c>
      <c r="D132" s="137" t="e">
        <f t="shared" si="1"/>
        <v>#DIV/0!</v>
      </c>
      <c r="E132" s="132" t="e">
        <f t="shared" si="2"/>
        <v>#DIV/0!</v>
      </c>
      <c r="G132" s="138"/>
      <c r="H132" s="184" t="str">
        <f t="shared" si="3"/>
        <v>1E+47-1.45151033236881E+53i</v>
      </c>
      <c r="I132" s="132" t="str">
        <f>IMSUM(IMDIV(1,COMPLEX(0,Q132*MLCC*10^-6)),MLCC_ESR*10^-3)</f>
        <v>1E+47-1.45151033236881E+53i</v>
      </c>
      <c r="J132" s="132" t="str">
        <f t="shared" si="4"/>
        <v>5.00000000000001E+46-7.25755166184404E+52i</v>
      </c>
      <c r="K132" s="132"/>
      <c r="L132" s="132" t="e">
        <f t="shared" si="5"/>
        <v>#DIV/0!</v>
      </c>
      <c r="M132" s="132" t="str">
        <f t="shared" si="6"/>
        <v>0</v>
      </c>
      <c r="N132" s="132" t="e">
        <f t="shared" si="7"/>
        <v>#DIV/0!</v>
      </c>
      <c r="O132" s="185" t="e">
        <f t="shared" si="8"/>
        <v>#DIV/0!</v>
      </c>
      <c r="P132" s="185" t="e">
        <f t="shared" si="9"/>
        <v>#DIV/0!</v>
      </c>
      <c r="Q132" s="132">
        <f t="shared" si="10"/>
        <v>688.9375691649656</v>
      </c>
      <c r="R132" s="132">
        <f t="shared" si="21"/>
        <v>2.040000000000001</v>
      </c>
      <c r="S132" s="164" t="e">
        <f t="shared" si="11"/>
        <v>#DIV/0!</v>
      </c>
      <c r="T132" s="132" t="e">
        <f t="shared" si="12"/>
        <v>#NUM!</v>
      </c>
      <c r="U132" s="138" t="e">
        <f t="shared" si="13"/>
        <v>#NUM!</v>
      </c>
      <c r="V132" s="132" t="e">
        <f t="shared" si="14"/>
        <v>#NUM!</v>
      </c>
      <c r="W132" s="132">
        <f t="shared" si="15"/>
        <v>79.99094457156177</v>
      </c>
      <c r="X132" s="138">
        <f t="shared" si="16"/>
        <v>-2.616458144832172</v>
      </c>
      <c r="Y132" s="128" t="str">
        <f t="shared" si="17"/>
        <v>9979.16582935602-456.023720635685i</v>
      </c>
      <c r="Z132" s="128" t="e">
        <f t="shared" si="18"/>
        <v>#NUM!</v>
      </c>
      <c r="AA132" s="128" t="e">
        <f t="shared" si="22"/>
        <v>#NUM!</v>
      </c>
      <c r="AB132" s="128" t="e">
        <f t="shared" si="23"/>
        <v>#NUM!</v>
      </c>
      <c r="AC132" s="128" t="e">
        <f t="shared" si="24"/>
        <v>#NUM!</v>
      </c>
      <c r="AD132" s="128" t="e">
        <f t="shared" si="25"/>
        <v>#NUM!</v>
      </c>
      <c r="AE132" s="128" t="e">
        <f t="shared" si="26"/>
        <v>#NUM!</v>
      </c>
      <c r="AF132" s="130"/>
      <c r="AG132" s="130"/>
      <c r="AH132" s="130"/>
      <c r="AI132" s="130"/>
      <c r="AJ132" s="130"/>
      <c r="AK132" s="130"/>
      <c r="AL132" s="130"/>
      <c r="AM132" s="130"/>
      <c r="AN132" s="130"/>
      <c r="AO132" s="130"/>
      <c r="AP132" s="130"/>
      <c r="AQ132" s="130"/>
      <c r="AR132" s="130"/>
      <c r="AS132" s="130"/>
    </row>
    <row r="133" spans="1:45" s="166" customFormat="1" ht="12.75">
      <c r="A133" s="132" t="e">
        <f t="shared" si="0"/>
        <v>#DIV/0!</v>
      </c>
      <c r="B133" s="132">
        <f t="shared" si="19"/>
        <v>2.060000000000001</v>
      </c>
      <c r="C133" s="138">
        <f t="shared" si="20"/>
        <v>114.81536214968857</v>
      </c>
      <c r="D133" s="137" t="e">
        <f t="shared" si="1"/>
        <v>#DIV/0!</v>
      </c>
      <c r="E133" s="132" t="e">
        <f t="shared" si="2"/>
        <v>#DIV/0!</v>
      </c>
      <c r="G133" s="138"/>
      <c r="H133" s="184" t="str">
        <f t="shared" si="3"/>
        <v>1E+47-1.38618160594573E+53i</v>
      </c>
      <c r="I133" s="132" t="str">
        <f>IMSUM(IMDIV(1,COMPLEX(0,Q133*MLCC*10^-6)),MLCC_ESR*10^-3)</f>
        <v>1E+47-1.38618160594573E+53i</v>
      </c>
      <c r="J133" s="132" t="str">
        <f t="shared" si="4"/>
        <v>5.00000000000001E+46-6.93090802972864E+52i</v>
      </c>
      <c r="K133" s="132"/>
      <c r="L133" s="132" t="e">
        <f t="shared" si="5"/>
        <v>#DIV/0!</v>
      </c>
      <c r="M133" s="132" t="str">
        <f t="shared" si="6"/>
        <v>0</v>
      </c>
      <c r="N133" s="132" t="e">
        <f t="shared" si="7"/>
        <v>#DIV/0!</v>
      </c>
      <c r="O133" s="185" t="e">
        <f t="shared" si="8"/>
        <v>#DIV/0!</v>
      </c>
      <c r="P133" s="185" t="e">
        <f t="shared" si="9"/>
        <v>#DIV/0!</v>
      </c>
      <c r="Q133" s="132">
        <f t="shared" si="10"/>
        <v>721.4061964974264</v>
      </c>
      <c r="R133" s="132">
        <f t="shared" si="21"/>
        <v>2.060000000000001</v>
      </c>
      <c r="S133" s="164" t="e">
        <f t="shared" si="11"/>
        <v>#DIV/0!</v>
      </c>
      <c r="T133" s="132" t="e">
        <f t="shared" si="12"/>
        <v>#NUM!</v>
      </c>
      <c r="U133" s="138" t="e">
        <f t="shared" si="13"/>
        <v>#NUM!</v>
      </c>
      <c r="V133" s="132" t="e">
        <f t="shared" si="14"/>
        <v>#NUM!</v>
      </c>
      <c r="W133" s="132">
        <f t="shared" si="15"/>
        <v>79.99007191802816</v>
      </c>
      <c r="X133" s="138">
        <f t="shared" si="16"/>
        <v>-2.739584509075037</v>
      </c>
      <c r="Y133" s="128" t="str">
        <f t="shared" si="17"/>
        <v>9977.16037591546-477.419516106408i</v>
      </c>
      <c r="Z133" s="128" t="e">
        <f t="shared" si="18"/>
        <v>#NUM!</v>
      </c>
      <c r="AA133" s="128" t="e">
        <f t="shared" si="22"/>
        <v>#NUM!</v>
      </c>
      <c r="AB133" s="128" t="e">
        <f t="shared" si="23"/>
        <v>#NUM!</v>
      </c>
      <c r="AC133" s="128" t="e">
        <f t="shared" si="24"/>
        <v>#NUM!</v>
      </c>
      <c r="AD133" s="128" t="e">
        <f t="shared" si="25"/>
        <v>#NUM!</v>
      </c>
      <c r="AE133" s="128" t="e">
        <f t="shared" si="26"/>
        <v>#NUM!</v>
      </c>
      <c r="AF133" s="130"/>
      <c r="AG133" s="130"/>
      <c r="AH133" s="130"/>
      <c r="AI133" s="130"/>
      <c r="AJ133" s="130"/>
      <c r="AK133" s="130"/>
      <c r="AL133" s="130"/>
      <c r="AM133" s="130"/>
      <c r="AN133" s="130"/>
      <c r="AO133" s="130"/>
      <c r="AP133" s="130"/>
      <c r="AQ133" s="130"/>
      <c r="AR133" s="130"/>
      <c r="AS133" s="130"/>
    </row>
    <row r="134" spans="1:45" s="166" customFormat="1" ht="12.75">
      <c r="A134" s="132" t="e">
        <f t="shared" si="0"/>
        <v>#DIV/0!</v>
      </c>
      <c r="B134" s="132">
        <f t="shared" si="19"/>
        <v>2.080000000000001</v>
      </c>
      <c r="C134" s="138">
        <f t="shared" si="20"/>
        <v>120.22644346174157</v>
      </c>
      <c r="D134" s="137" t="e">
        <f t="shared" si="1"/>
        <v>#DIV/0!</v>
      </c>
      <c r="E134" s="132" t="e">
        <f t="shared" si="2"/>
        <v>#DIV/0!</v>
      </c>
      <c r="G134" s="138"/>
      <c r="H134" s="184" t="str">
        <f t="shared" si="3"/>
        <v>1E+47-1.32379315655746E+53i</v>
      </c>
      <c r="I134" s="132" t="str">
        <f>IMSUM(IMDIV(1,COMPLEX(0,Q134*MLCC*10^-6)),MLCC_ESR*10^-3)</f>
        <v>1E+47-1.32379315655746E+53i</v>
      </c>
      <c r="J134" s="132" t="str">
        <f t="shared" si="4"/>
        <v>5.00000000000001E+46-6.61896578278729E+52i</v>
      </c>
      <c r="K134" s="132"/>
      <c r="L134" s="132" t="e">
        <f t="shared" si="5"/>
        <v>#DIV/0!</v>
      </c>
      <c r="M134" s="132" t="str">
        <f t="shared" si="6"/>
        <v>0</v>
      </c>
      <c r="N134" s="132" t="e">
        <f t="shared" si="7"/>
        <v>#DIV/0!</v>
      </c>
      <c r="O134" s="185" t="e">
        <f t="shared" si="8"/>
        <v>#DIV/0!</v>
      </c>
      <c r="P134" s="185" t="e">
        <f t="shared" si="9"/>
        <v>#DIV/0!</v>
      </c>
      <c r="Q134" s="132">
        <f t="shared" si="10"/>
        <v>755.4050230932719</v>
      </c>
      <c r="R134" s="132">
        <f t="shared" si="21"/>
        <v>2.080000000000001</v>
      </c>
      <c r="S134" s="164" t="e">
        <f t="shared" si="11"/>
        <v>#DIV/0!</v>
      </c>
      <c r="T134" s="132" t="e">
        <f t="shared" si="12"/>
        <v>#NUM!</v>
      </c>
      <c r="U134" s="138" t="e">
        <f t="shared" si="13"/>
        <v>#NUM!</v>
      </c>
      <c r="V134" s="132" t="e">
        <f t="shared" si="14"/>
        <v>#NUM!</v>
      </c>
      <c r="W134" s="132">
        <f t="shared" si="15"/>
        <v>79.98911527395195</v>
      </c>
      <c r="X134" s="138">
        <f t="shared" si="16"/>
        <v>-2.86848650579398</v>
      </c>
      <c r="Y134" s="128" t="str">
        <f t="shared" si="17"/>
        <v>9974.96236596617-499.809496828791i</v>
      </c>
      <c r="Z134" s="128" t="e">
        <f t="shared" si="18"/>
        <v>#NUM!</v>
      </c>
      <c r="AA134" s="128" t="e">
        <f t="shared" si="22"/>
        <v>#NUM!</v>
      </c>
      <c r="AB134" s="128" t="e">
        <f t="shared" si="23"/>
        <v>#NUM!</v>
      </c>
      <c r="AC134" s="128" t="e">
        <f t="shared" si="24"/>
        <v>#NUM!</v>
      </c>
      <c r="AD134" s="128" t="e">
        <f t="shared" si="25"/>
        <v>#NUM!</v>
      </c>
      <c r="AE134" s="128" t="e">
        <f t="shared" si="26"/>
        <v>#NUM!</v>
      </c>
      <c r="AF134" s="130"/>
      <c r="AG134" s="130"/>
      <c r="AH134" s="130"/>
      <c r="AI134" s="130"/>
      <c r="AJ134" s="130"/>
      <c r="AK134" s="130"/>
      <c r="AL134" s="130"/>
      <c r="AM134" s="130"/>
      <c r="AN134" s="130"/>
      <c r="AO134" s="130"/>
      <c r="AP134" s="130"/>
      <c r="AQ134" s="130"/>
      <c r="AR134" s="130"/>
      <c r="AS134" s="130"/>
    </row>
    <row r="135" spans="1:45" s="166" customFormat="1" ht="12.75">
      <c r="A135" s="132" t="e">
        <f t="shared" si="0"/>
        <v>#DIV/0!</v>
      </c>
      <c r="B135" s="132">
        <f t="shared" si="19"/>
        <v>2.1000000000000014</v>
      </c>
      <c r="C135" s="138">
        <f t="shared" si="20"/>
        <v>125.89254117941711</v>
      </c>
      <c r="D135" s="137" t="e">
        <f t="shared" si="1"/>
        <v>#DIV/0!</v>
      </c>
      <c r="E135" s="132" t="e">
        <f t="shared" si="2"/>
        <v>#DIV/0!</v>
      </c>
      <c r="G135" s="138"/>
      <c r="H135" s="184" t="str">
        <f t="shared" si="3"/>
        <v>1E+47-1.26421264993828E+53i</v>
      </c>
      <c r="I135" s="132" t="str">
        <f>IMSUM(IMDIV(1,COMPLEX(0,Q135*MLCC*10^-6)),MLCC_ESR*10^-3)</f>
        <v>1E+47-1.26421264993828E+53i</v>
      </c>
      <c r="J135" s="132" t="str">
        <f t="shared" si="4"/>
        <v>4.99999999999999E+46-6.32106324969141E+52i</v>
      </c>
      <c r="K135" s="132"/>
      <c r="L135" s="132" t="e">
        <f t="shared" si="5"/>
        <v>#DIV/0!</v>
      </c>
      <c r="M135" s="132" t="str">
        <f t="shared" si="6"/>
        <v>0</v>
      </c>
      <c r="N135" s="132" t="e">
        <f t="shared" si="7"/>
        <v>#DIV/0!</v>
      </c>
      <c r="O135" s="185" t="e">
        <f t="shared" si="8"/>
        <v>#DIV/0!</v>
      </c>
      <c r="P135" s="185" t="e">
        <f t="shared" si="9"/>
        <v>#DIV/0!</v>
      </c>
      <c r="Q135" s="132">
        <f t="shared" si="10"/>
        <v>791.0061650220146</v>
      </c>
      <c r="R135" s="132">
        <f t="shared" si="21"/>
        <v>2.100000000000001</v>
      </c>
      <c r="S135" s="164" t="e">
        <f t="shared" si="11"/>
        <v>#DIV/0!</v>
      </c>
      <c r="T135" s="132" t="e">
        <f t="shared" si="12"/>
        <v>#NUM!</v>
      </c>
      <c r="U135" s="138" t="e">
        <f t="shared" si="13"/>
        <v>#NUM!</v>
      </c>
      <c r="V135" s="132" t="e">
        <f t="shared" si="14"/>
        <v>#NUM!</v>
      </c>
      <c r="W135" s="132">
        <f t="shared" si="15"/>
        <v>79.98806657672563</v>
      </c>
      <c r="X135" s="138">
        <f t="shared" si="16"/>
        <v>-3.0034323258730415</v>
      </c>
      <c r="Y135" s="128" t="str">
        <f t="shared" si="17"/>
        <v>9972.55340856727-523.238430312823i</v>
      </c>
      <c r="Z135" s="128" t="e">
        <f t="shared" si="18"/>
        <v>#NUM!</v>
      </c>
      <c r="AA135" s="128" t="e">
        <f t="shared" si="22"/>
        <v>#NUM!</v>
      </c>
      <c r="AB135" s="128" t="e">
        <f t="shared" si="23"/>
        <v>#NUM!</v>
      </c>
      <c r="AC135" s="128" t="e">
        <f t="shared" si="24"/>
        <v>#NUM!</v>
      </c>
      <c r="AD135" s="128" t="e">
        <f t="shared" si="25"/>
        <v>#NUM!</v>
      </c>
      <c r="AE135" s="128" t="e">
        <f t="shared" si="26"/>
        <v>#NUM!</v>
      </c>
      <c r="AF135" s="130"/>
      <c r="AG135" s="130"/>
      <c r="AH135" s="130"/>
      <c r="AI135" s="130"/>
      <c r="AJ135" s="130"/>
      <c r="AK135" s="130"/>
      <c r="AL135" s="130"/>
      <c r="AM135" s="130"/>
      <c r="AN135" s="130"/>
      <c r="AO135" s="130"/>
      <c r="AP135" s="130"/>
      <c r="AQ135" s="130"/>
      <c r="AR135" s="130"/>
      <c r="AS135" s="130"/>
    </row>
    <row r="136" spans="1:45" s="166" customFormat="1" ht="12.75">
      <c r="A136" s="132" t="e">
        <f t="shared" si="0"/>
        <v>#DIV/0!</v>
      </c>
      <c r="B136" s="132">
        <f t="shared" si="19"/>
        <v>2.120000000000001</v>
      </c>
      <c r="C136" s="138">
        <f t="shared" si="20"/>
        <v>131.82567385564107</v>
      </c>
      <c r="D136" s="137" t="e">
        <f t="shared" si="1"/>
        <v>#DIV/0!</v>
      </c>
      <c r="E136" s="132" t="e">
        <f t="shared" si="2"/>
        <v>#DIV/0!</v>
      </c>
      <c r="G136" s="138"/>
      <c r="H136" s="184" t="str">
        <f t="shared" si="3"/>
        <v>1E+47-1.20731370784557E+53i</v>
      </c>
      <c r="I136" s="132" t="str">
        <f>IMSUM(IMDIV(1,COMPLEX(0,Q136*MLCC*10^-6)),MLCC_ESR*10^-3)</f>
        <v>1E+47-1.20731370784557E+53i</v>
      </c>
      <c r="J136" s="132" t="str">
        <f t="shared" si="4"/>
        <v>4.99999999999999E+46-6.03656853922786E+52i</v>
      </c>
      <c r="K136" s="132"/>
      <c r="L136" s="132" t="e">
        <f t="shared" si="5"/>
        <v>#DIV/0!</v>
      </c>
      <c r="M136" s="132" t="str">
        <f t="shared" si="6"/>
        <v>0</v>
      </c>
      <c r="N136" s="132" t="e">
        <f t="shared" si="7"/>
        <v>#DIV/0!</v>
      </c>
      <c r="O136" s="185" t="e">
        <f t="shared" si="8"/>
        <v>#DIV/0!</v>
      </c>
      <c r="P136" s="185" t="e">
        <f t="shared" si="9"/>
        <v>#DIV/0!</v>
      </c>
      <c r="Q136" s="132">
        <f t="shared" si="10"/>
        <v>828.2851370788121</v>
      </c>
      <c r="R136" s="132">
        <f t="shared" si="21"/>
        <v>2.120000000000001</v>
      </c>
      <c r="S136" s="164" t="e">
        <f t="shared" si="11"/>
        <v>#DIV/0!</v>
      </c>
      <c r="T136" s="132" t="e">
        <f t="shared" si="12"/>
        <v>#NUM!</v>
      </c>
      <c r="U136" s="138" t="e">
        <f t="shared" si="13"/>
        <v>#NUM!</v>
      </c>
      <c r="V136" s="132" t="e">
        <f t="shared" si="14"/>
        <v>#NUM!</v>
      </c>
      <c r="W136" s="132">
        <f t="shared" si="15"/>
        <v>79.9869169940636</v>
      </c>
      <c r="X136" s="138">
        <f t="shared" si="16"/>
        <v>-3.144702209646729</v>
      </c>
      <c r="Y136" s="128" t="str">
        <f t="shared" si="17"/>
        <v>9969.91337595442-547.752887785317i</v>
      </c>
      <c r="Z136" s="128" t="e">
        <f t="shared" si="18"/>
        <v>#NUM!</v>
      </c>
      <c r="AA136" s="128" t="e">
        <f t="shared" si="22"/>
        <v>#NUM!</v>
      </c>
      <c r="AB136" s="128" t="e">
        <f t="shared" si="23"/>
        <v>#NUM!</v>
      </c>
      <c r="AC136" s="128" t="e">
        <f t="shared" si="24"/>
        <v>#NUM!</v>
      </c>
      <c r="AD136" s="128" t="e">
        <f t="shared" si="25"/>
        <v>#NUM!</v>
      </c>
      <c r="AE136" s="128" t="e">
        <f t="shared" si="26"/>
        <v>#NUM!</v>
      </c>
      <c r="AF136" s="130"/>
      <c r="AG136" s="130"/>
      <c r="AH136" s="130"/>
      <c r="AI136" s="130"/>
      <c r="AJ136" s="130"/>
      <c r="AK136" s="130"/>
      <c r="AL136" s="130"/>
      <c r="AM136" s="130"/>
      <c r="AN136" s="130"/>
      <c r="AO136" s="130"/>
      <c r="AP136" s="130"/>
      <c r="AQ136" s="130"/>
      <c r="AR136" s="130"/>
      <c r="AS136" s="130"/>
    </row>
    <row r="137" spans="1:45" s="166" customFormat="1" ht="12.75">
      <c r="A137" s="132" t="e">
        <f t="shared" si="0"/>
        <v>#DIV/0!</v>
      </c>
      <c r="B137" s="132">
        <f t="shared" si="19"/>
        <v>2.140000000000001</v>
      </c>
      <c r="C137" s="138">
        <f t="shared" si="20"/>
        <v>138.03842646028886</v>
      </c>
      <c r="D137" s="137" t="e">
        <f t="shared" si="1"/>
        <v>#DIV/0!</v>
      </c>
      <c r="E137" s="132" t="e">
        <f t="shared" si="2"/>
        <v>#DIV/0!</v>
      </c>
      <c r="G137" s="138"/>
      <c r="H137" s="184" t="str">
        <f t="shared" si="3"/>
        <v>1E+47-1.15297563999457E+53i</v>
      </c>
      <c r="I137" s="132" t="str">
        <f>IMSUM(IMDIV(1,COMPLEX(0,Q137*MLCC*10^-6)),MLCC_ESR*10^-3)</f>
        <v>1E+47-1.15297563999457E+53i</v>
      </c>
      <c r="J137" s="132" t="str">
        <f t="shared" si="4"/>
        <v>4.99999999999999E+46-5.76487819997286E+52i</v>
      </c>
      <c r="K137" s="132"/>
      <c r="L137" s="132" t="e">
        <f t="shared" si="5"/>
        <v>#DIV/0!</v>
      </c>
      <c r="M137" s="132" t="str">
        <f t="shared" si="6"/>
        <v>0</v>
      </c>
      <c r="N137" s="132" t="e">
        <f t="shared" si="7"/>
        <v>#DIV/0!</v>
      </c>
      <c r="O137" s="185" t="e">
        <f t="shared" si="8"/>
        <v>#DIV/0!</v>
      </c>
      <c r="P137" s="185" t="e">
        <f t="shared" si="9"/>
        <v>#DIV/0!</v>
      </c>
      <c r="Q137" s="132">
        <f t="shared" si="10"/>
        <v>867.3210129614768</v>
      </c>
      <c r="R137" s="132">
        <f t="shared" si="21"/>
        <v>2.140000000000001</v>
      </c>
      <c r="S137" s="164" t="e">
        <f t="shared" si="11"/>
        <v>#DIV/0!</v>
      </c>
      <c r="T137" s="132" t="e">
        <f t="shared" si="12"/>
        <v>#NUM!</v>
      </c>
      <c r="U137" s="138" t="e">
        <f t="shared" si="13"/>
        <v>#NUM!</v>
      </c>
      <c r="V137" s="132" t="e">
        <f t="shared" si="14"/>
        <v>#NUM!</v>
      </c>
      <c r="W137" s="132">
        <f t="shared" si="15"/>
        <v>79.98565685139044</v>
      </c>
      <c r="X137" s="138">
        <f t="shared" si="16"/>
        <v>-3.29258892827758</v>
      </c>
      <c r="Y137" s="128" t="str">
        <f t="shared" si="17"/>
        <v>9967.02024348546-573.401284638342i</v>
      </c>
      <c r="Z137" s="128" t="e">
        <f t="shared" si="18"/>
        <v>#NUM!</v>
      </c>
      <c r="AA137" s="128" t="e">
        <f t="shared" si="22"/>
        <v>#NUM!</v>
      </c>
      <c r="AB137" s="128" t="e">
        <f t="shared" si="23"/>
        <v>#NUM!</v>
      </c>
      <c r="AC137" s="128" t="e">
        <f t="shared" si="24"/>
        <v>#NUM!</v>
      </c>
      <c r="AD137" s="128" t="e">
        <f t="shared" si="25"/>
        <v>#NUM!</v>
      </c>
      <c r="AE137" s="128" t="e">
        <f t="shared" si="26"/>
        <v>#NUM!</v>
      </c>
      <c r="AF137" s="130"/>
      <c r="AG137" s="130"/>
      <c r="AH137" s="130"/>
      <c r="AI137" s="130"/>
      <c r="AJ137" s="130"/>
      <c r="AK137" s="130"/>
      <c r="AL137" s="130"/>
      <c r="AM137" s="130"/>
      <c r="AN137" s="130"/>
      <c r="AO137" s="130"/>
      <c r="AP137" s="130"/>
      <c r="AQ137" s="130"/>
      <c r="AR137" s="130"/>
      <c r="AS137" s="130"/>
    </row>
    <row r="138" spans="1:45" s="166" customFormat="1" ht="12.75">
      <c r="A138" s="132" t="e">
        <f t="shared" si="0"/>
        <v>#DIV/0!</v>
      </c>
      <c r="B138" s="132">
        <f t="shared" si="19"/>
        <v>2.160000000000001</v>
      </c>
      <c r="C138" s="138">
        <f t="shared" si="20"/>
        <v>144.5439770745931</v>
      </c>
      <c r="D138" s="137" t="e">
        <f t="shared" si="1"/>
        <v>#DIV/0!</v>
      </c>
      <c r="E138" s="132" t="e">
        <f t="shared" si="2"/>
        <v>#DIV/0!</v>
      </c>
      <c r="G138" s="138"/>
      <c r="H138" s="184" t="str">
        <f t="shared" si="3"/>
        <v>1E+47-1.10108318805814E+53i</v>
      </c>
      <c r="I138" s="132" t="str">
        <f>IMSUM(IMDIV(1,COMPLEX(0,Q138*MLCC*10^-6)),MLCC_ESR*10^-3)</f>
        <v>1E+47-1.10108318805814E+53i</v>
      </c>
      <c r="J138" s="132" t="str">
        <f t="shared" si="4"/>
        <v>4.99999999999999E+46-5.50541594029071E+52i</v>
      </c>
      <c r="K138" s="132"/>
      <c r="L138" s="132" t="e">
        <f t="shared" si="5"/>
        <v>#DIV/0!</v>
      </c>
      <c r="M138" s="132" t="str">
        <f t="shared" si="6"/>
        <v>0</v>
      </c>
      <c r="N138" s="132" t="e">
        <f t="shared" si="7"/>
        <v>#DIV/0!</v>
      </c>
      <c r="O138" s="185" t="e">
        <f t="shared" si="8"/>
        <v>#DIV/0!</v>
      </c>
      <c r="P138" s="185" t="e">
        <f t="shared" si="9"/>
        <v>#DIV/0!</v>
      </c>
      <c r="Q138" s="132">
        <f t="shared" si="10"/>
        <v>908.1965929963864</v>
      </c>
      <c r="R138" s="132">
        <f t="shared" si="21"/>
        <v>2.160000000000001</v>
      </c>
      <c r="S138" s="164" t="e">
        <f t="shared" si="11"/>
        <v>#DIV/0!</v>
      </c>
      <c r="T138" s="132" t="e">
        <f t="shared" si="12"/>
        <v>#NUM!</v>
      </c>
      <c r="U138" s="138" t="e">
        <f t="shared" si="13"/>
        <v>#NUM!</v>
      </c>
      <c r="V138" s="132" t="e">
        <f t="shared" si="14"/>
        <v>#NUM!</v>
      </c>
      <c r="W138" s="132">
        <f t="shared" si="15"/>
        <v>79.98427555255303</v>
      </c>
      <c r="X138" s="138">
        <f t="shared" si="16"/>
        <v>-3.447398275240735</v>
      </c>
      <c r="Y138" s="128" t="str">
        <f t="shared" si="17"/>
        <v>9963.84991564009-600.233916385781i</v>
      </c>
      <c r="Z138" s="128" t="e">
        <f t="shared" si="18"/>
        <v>#NUM!</v>
      </c>
      <c r="AA138" s="128" t="e">
        <f t="shared" si="22"/>
        <v>#NUM!</v>
      </c>
      <c r="AB138" s="128" t="e">
        <f t="shared" si="23"/>
        <v>#NUM!</v>
      </c>
      <c r="AC138" s="128" t="e">
        <f t="shared" si="24"/>
        <v>#NUM!</v>
      </c>
      <c r="AD138" s="128" t="e">
        <f t="shared" si="25"/>
        <v>#NUM!</v>
      </c>
      <c r="AE138" s="128" t="e">
        <f t="shared" si="26"/>
        <v>#NUM!</v>
      </c>
      <c r="AF138" s="130"/>
      <c r="AG138" s="130"/>
      <c r="AH138" s="130"/>
      <c r="AI138" s="130"/>
      <c r="AJ138" s="130"/>
      <c r="AK138" s="130"/>
      <c r="AL138" s="130"/>
      <c r="AM138" s="130"/>
      <c r="AN138" s="130"/>
      <c r="AO138" s="130"/>
      <c r="AP138" s="130"/>
      <c r="AQ138" s="130"/>
      <c r="AR138" s="130"/>
      <c r="AS138" s="130"/>
    </row>
    <row r="139" spans="1:45" s="166" customFormat="1" ht="12.75">
      <c r="A139" s="132" t="e">
        <f t="shared" si="0"/>
        <v>#DIV/0!</v>
      </c>
      <c r="B139" s="132">
        <f t="shared" si="19"/>
        <v>2.1800000000000015</v>
      </c>
      <c r="C139" s="138">
        <f t="shared" si="20"/>
        <v>151.3561248436213</v>
      </c>
      <c r="D139" s="137" t="e">
        <f t="shared" si="1"/>
        <v>#DIV/0!</v>
      </c>
      <c r="E139" s="132" t="e">
        <f t="shared" si="2"/>
        <v>#DIV/0!</v>
      </c>
      <c r="G139" s="138"/>
      <c r="H139" s="184" t="str">
        <f t="shared" si="3"/>
        <v>1E+47-1.05152628118837E+53i</v>
      </c>
      <c r="I139" s="132" t="str">
        <f>IMSUM(IMDIV(1,COMPLEX(0,Q139*MLCC*10^-6)),MLCC_ESR*10^-3)</f>
        <v>1E+47-1.05152628118837E+53i</v>
      </c>
      <c r="J139" s="132" t="str">
        <f t="shared" si="4"/>
        <v>5.00000000000001E+46-5.25763140594184E+52i</v>
      </c>
      <c r="K139" s="132"/>
      <c r="L139" s="132" t="e">
        <f t="shared" si="5"/>
        <v>#DIV/0!</v>
      </c>
      <c r="M139" s="132" t="str">
        <f t="shared" si="6"/>
        <v>0</v>
      </c>
      <c r="N139" s="132" t="e">
        <f t="shared" si="7"/>
        <v>#DIV/0!</v>
      </c>
      <c r="O139" s="185" t="e">
        <f t="shared" si="8"/>
        <v>#DIV/0!</v>
      </c>
      <c r="P139" s="185" t="e">
        <f t="shared" si="9"/>
        <v>#DIV/0!</v>
      </c>
      <c r="Q139" s="132">
        <f t="shared" si="10"/>
        <v>950.9985797690805</v>
      </c>
      <c r="R139" s="132">
        <f t="shared" si="21"/>
        <v>2.180000000000001</v>
      </c>
      <c r="S139" s="164" t="e">
        <f t="shared" si="11"/>
        <v>#DIV/0!</v>
      </c>
      <c r="T139" s="132" t="e">
        <f t="shared" si="12"/>
        <v>#NUM!</v>
      </c>
      <c r="U139" s="138" t="e">
        <f t="shared" si="13"/>
        <v>#NUM!</v>
      </c>
      <c r="V139" s="132" t="e">
        <f t="shared" si="14"/>
        <v>#NUM!</v>
      </c>
      <c r="W139" s="132">
        <f t="shared" si="15"/>
        <v>79.98276149327798</v>
      </c>
      <c r="X139" s="138">
        <f t="shared" si="16"/>
        <v>-3.6094495665884545</v>
      </c>
      <c r="Y139" s="128" t="str">
        <f t="shared" si="17"/>
        <v>9960.3760370234-628.302989020279i</v>
      </c>
      <c r="Z139" s="128" t="e">
        <f t="shared" si="18"/>
        <v>#NUM!</v>
      </c>
      <c r="AA139" s="128" t="e">
        <f t="shared" si="22"/>
        <v>#NUM!</v>
      </c>
      <c r="AB139" s="128" t="e">
        <f t="shared" si="23"/>
        <v>#NUM!</v>
      </c>
      <c r="AC139" s="128" t="e">
        <f t="shared" si="24"/>
        <v>#NUM!</v>
      </c>
      <c r="AD139" s="128" t="e">
        <f t="shared" si="25"/>
        <v>#NUM!</v>
      </c>
      <c r="AE139" s="128" t="e">
        <f t="shared" si="26"/>
        <v>#NUM!</v>
      </c>
      <c r="AF139" s="130"/>
      <c r="AG139" s="130"/>
      <c r="AH139" s="130"/>
      <c r="AI139" s="130"/>
      <c r="AJ139" s="130"/>
      <c r="AK139" s="130"/>
      <c r="AL139" s="130"/>
      <c r="AM139" s="130"/>
      <c r="AN139" s="130"/>
      <c r="AO139" s="130"/>
      <c r="AP139" s="130"/>
      <c r="AQ139" s="130"/>
      <c r="AR139" s="130"/>
      <c r="AS139" s="130"/>
    </row>
    <row r="140" spans="1:45" s="166" customFormat="1" ht="12.75">
      <c r="A140" s="132" t="e">
        <f t="shared" si="0"/>
        <v>#DIV/0!</v>
      </c>
      <c r="B140" s="132">
        <f t="shared" si="19"/>
        <v>2.2000000000000015</v>
      </c>
      <c r="C140" s="138">
        <f t="shared" si="20"/>
        <v>158.48931924611182</v>
      </c>
      <c r="D140" s="137" t="e">
        <f t="shared" si="1"/>
        <v>#DIV/0!</v>
      </c>
      <c r="E140" s="132" t="e">
        <f t="shared" si="2"/>
        <v>#DIV/0!</v>
      </c>
      <c r="G140" s="138"/>
      <c r="H140" s="184" t="str">
        <f t="shared" si="3"/>
        <v>1E+47-1.00419980254158E+53i</v>
      </c>
      <c r="I140" s="132" t="str">
        <f>IMSUM(IMDIV(1,COMPLEX(0,Q140*MLCC*10^-6)),MLCC_ESR*10^-3)</f>
        <v>1E+47-1.00419980254158E+53i</v>
      </c>
      <c r="J140" s="132" t="str">
        <f t="shared" si="4"/>
        <v>4.99999999999999E+46-5.02099901270791E+52i</v>
      </c>
      <c r="K140" s="132"/>
      <c r="L140" s="132" t="e">
        <f t="shared" si="5"/>
        <v>#DIV/0!</v>
      </c>
      <c r="M140" s="132" t="str">
        <f t="shared" si="6"/>
        <v>0</v>
      </c>
      <c r="N140" s="132" t="e">
        <f t="shared" si="7"/>
        <v>#DIV/0!</v>
      </c>
      <c r="O140" s="185" t="e">
        <f t="shared" si="8"/>
        <v>#DIV/0!</v>
      </c>
      <c r="P140" s="185" t="e">
        <f t="shared" si="9"/>
        <v>#DIV/0!</v>
      </c>
      <c r="Q140" s="132">
        <f t="shared" si="10"/>
        <v>995.8177620320646</v>
      </c>
      <c r="R140" s="132">
        <f t="shared" si="21"/>
        <v>2.200000000000001</v>
      </c>
      <c r="S140" s="164" t="e">
        <f t="shared" si="11"/>
        <v>#DIV/0!</v>
      </c>
      <c r="T140" s="132" t="e">
        <f t="shared" si="12"/>
        <v>#NUM!</v>
      </c>
      <c r="U140" s="138" t="e">
        <f t="shared" si="13"/>
        <v>#NUM!</v>
      </c>
      <c r="V140" s="132" t="e">
        <f t="shared" si="14"/>
        <v>#NUM!</v>
      </c>
      <c r="W140" s="132">
        <f t="shared" si="15"/>
        <v>79.98110196675307</v>
      </c>
      <c r="X140" s="138">
        <f t="shared" si="16"/>
        <v>-3.7790761483529174</v>
      </c>
      <c r="Y140" s="128" t="str">
        <f t="shared" si="17"/>
        <v>9956.56978727895-657.662642490975i</v>
      </c>
      <c r="Z140" s="128" t="e">
        <f t="shared" si="18"/>
        <v>#NUM!</v>
      </c>
      <c r="AA140" s="128" t="e">
        <f t="shared" si="22"/>
        <v>#NUM!</v>
      </c>
      <c r="AB140" s="128" t="e">
        <f t="shared" si="23"/>
        <v>#NUM!</v>
      </c>
      <c r="AC140" s="128" t="e">
        <f t="shared" si="24"/>
        <v>#NUM!</v>
      </c>
      <c r="AD140" s="128" t="e">
        <f t="shared" si="25"/>
        <v>#NUM!</v>
      </c>
      <c r="AE140" s="128" t="e">
        <f t="shared" si="26"/>
        <v>#NUM!</v>
      </c>
      <c r="AF140" s="130"/>
      <c r="AG140" s="130"/>
      <c r="AH140" s="130"/>
      <c r="AI140" s="130"/>
      <c r="AJ140" s="130"/>
      <c r="AK140" s="130"/>
      <c r="AL140" s="130"/>
      <c r="AM140" s="130"/>
      <c r="AN140" s="130"/>
      <c r="AO140" s="130"/>
      <c r="AP140" s="130"/>
      <c r="AQ140" s="130"/>
      <c r="AR140" s="130"/>
      <c r="AS140" s="130"/>
    </row>
    <row r="141" spans="1:45" s="166" customFormat="1" ht="12.75">
      <c r="A141" s="132" t="e">
        <f t="shared" si="0"/>
        <v>#DIV/0!</v>
      </c>
      <c r="B141" s="132">
        <f t="shared" si="19"/>
        <v>2.220000000000001</v>
      </c>
      <c r="C141" s="138">
        <f t="shared" si="20"/>
        <v>165.95869074375653</v>
      </c>
      <c r="D141" s="137" t="e">
        <f t="shared" si="1"/>
        <v>#DIV/0!</v>
      </c>
      <c r="E141" s="132" t="e">
        <f t="shared" si="2"/>
        <v>#DIV/0!</v>
      </c>
      <c r="G141" s="138"/>
      <c r="H141" s="184" t="str">
        <f t="shared" si="3"/>
        <v>1E+47-9.59003366311403E+52i</v>
      </c>
      <c r="I141" s="132" t="str">
        <f>IMSUM(IMDIV(1,COMPLEX(0,Q141*MLCC*10^-6)),MLCC_ESR*10^-3)</f>
        <v>1E+47-9.59003366311403E+52i</v>
      </c>
      <c r="J141" s="132" t="str">
        <f t="shared" si="4"/>
        <v>5.00000000000002E+46-4.795016831557E+52i</v>
      </c>
      <c r="K141" s="132"/>
      <c r="L141" s="132" t="e">
        <f t="shared" si="5"/>
        <v>#DIV/0!</v>
      </c>
      <c r="M141" s="132" t="str">
        <f t="shared" si="6"/>
        <v>0</v>
      </c>
      <c r="N141" s="132" t="e">
        <f t="shared" si="7"/>
        <v>#DIV/0!</v>
      </c>
      <c r="O141" s="185" t="e">
        <f t="shared" si="8"/>
        <v>#DIV/0!</v>
      </c>
      <c r="P141" s="185" t="e">
        <f t="shared" si="9"/>
        <v>#DIV/0!</v>
      </c>
      <c r="Q141" s="132">
        <f t="shared" si="10"/>
        <v>1042.7492072799319</v>
      </c>
      <c r="R141" s="132">
        <f t="shared" si="21"/>
        <v>2.220000000000001</v>
      </c>
      <c r="S141" s="164" t="e">
        <f t="shared" si="11"/>
        <v>#DIV/0!</v>
      </c>
      <c r="T141" s="132" t="e">
        <f t="shared" si="12"/>
        <v>#NUM!</v>
      </c>
      <c r="U141" s="138" t="e">
        <f t="shared" si="13"/>
        <v>#NUM!</v>
      </c>
      <c r="V141" s="132" t="e">
        <f t="shared" si="14"/>
        <v>#NUM!</v>
      </c>
      <c r="W141" s="132">
        <f t="shared" si="15"/>
        <v>79.97928306066675</v>
      </c>
      <c r="X141" s="138">
        <f t="shared" si="16"/>
        <v>-3.9566259090832325</v>
      </c>
      <c r="Y141" s="128" t="str">
        <f t="shared" si="17"/>
        <v>9952.39965878016-688.3689658281i</v>
      </c>
      <c r="Z141" s="128" t="e">
        <f t="shared" si="18"/>
        <v>#NUM!</v>
      </c>
      <c r="AA141" s="128" t="e">
        <f t="shared" si="22"/>
        <v>#NUM!</v>
      </c>
      <c r="AB141" s="128" t="e">
        <f t="shared" si="23"/>
        <v>#NUM!</v>
      </c>
      <c r="AC141" s="128" t="e">
        <f t="shared" si="24"/>
        <v>#NUM!</v>
      </c>
      <c r="AD141" s="128" t="e">
        <f t="shared" si="25"/>
        <v>#NUM!</v>
      </c>
      <c r="AE141" s="128" t="e">
        <f t="shared" si="26"/>
        <v>#NUM!</v>
      </c>
      <c r="AF141" s="130"/>
      <c r="AG141" s="130"/>
      <c r="AH141" s="130"/>
      <c r="AI141" s="130"/>
      <c r="AJ141" s="130"/>
      <c r="AK141" s="130"/>
      <c r="AL141" s="130"/>
      <c r="AM141" s="130"/>
      <c r="AN141" s="130"/>
      <c r="AO141" s="130"/>
      <c r="AP141" s="130"/>
      <c r="AQ141" s="130"/>
      <c r="AR141" s="130"/>
      <c r="AS141" s="130"/>
    </row>
    <row r="142" spans="1:45" s="166" customFormat="1" ht="12.75">
      <c r="A142" s="132" t="e">
        <f t="shared" si="0"/>
        <v>#DIV/0!</v>
      </c>
      <c r="B142" s="132">
        <f t="shared" si="19"/>
        <v>2.240000000000001</v>
      </c>
      <c r="C142" s="138">
        <f t="shared" si="20"/>
        <v>173.780082874938</v>
      </c>
      <c r="D142" s="137" t="e">
        <f t="shared" si="1"/>
        <v>#DIV/0!</v>
      </c>
      <c r="E142" s="132" t="e">
        <f t="shared" si="2"/>
        <v>#DIV/0!</v>
      </c>
      <c r="G142" s="138"/>
      <c r="H142" s="184" t="str">
        <f t="shared" si="3"/>
        <v>1E+47-9.15841104796989E+52i</v>
      </c>
      <c r="I142" s="132" t="str">
        <f>IMSUM(IMDIV(1,COMPLEX(0,Q142*MLCC*10^-6)),MLCC_ESR*10^-3)</f>
        <v>1E+47-9.15841104796989E+52i</v>
      </c>
      <c r="J142" s="132" t="str">
        <f t="shared" si="4"/>
        <v>5.00000000000001E+46-4.57920552398494E+52i</v>
      </c>
      <c r="K142" s="132"/>
      <c r="L142" s="132" t="e">
        <f t="shared" si="5"/>
        <v>#DIV/0!</v>
      </c>
      <c r="M142" s="132" t="str">
        <f t="shared" si="6"/>
        <v>0</v>
      </c>
      <c r="N142" s="132" t="e">
        <f t="shared" si="7"/>
        <v>#DIV/0!</v>
      </c>
      <c r="O142" s="185" t="e">
        <f t="shared" si="8"/>
        <v>#DIV/0!</v>
      </c>
      <c r="P142" s="185" t="e">
        <f t="shared" si="9"/>
        <v>#DIV/0!</v>
      </c>
      <c r="Q142" s="132">
        <f t="shared" si="10"/>
        <v>1091.8924634002612</v>
      </c>
      <c r="R142" s="132">
        <f t="shared" si="21"/>
        <v>2.240000000000001</v>
      </c>
      <c r="S142" s="164" t="e">
        <f t="shared" si="11"/>
        <v>#DIV/0!</v>
      </c>
      <c r="T142" s="132" t="e">
        <f t="shared" si="12"/>
        <v>#NUM!</v>
      </c>
      <c r="U142" s="138" t="e">
        <f t="shared" si="13"/>
        <v>#NUM!</v>
      </c>
      <c r="V142" s="132" t="e">
        <f t="shared" si="14"/>
        <v>#NUM!</v>
      </c>
      <c r="W142" s="132">
        <f t="shared" si="15"/>
        <v>79.9772895449936</v>
      </c>
      <c r="X142" s="138">
        <f t="shared" si="16"/>
        <v>-4.142461795095151</v>
      </c>
      <c r="Y142" s="128" t="str">
        <f t="shared" si="17"/>
        <v>9947.83121594016-720.480002221146i</v>
      </c>
      <c r="Z142" s="128" t="e">
        <f t="shared" si="18"/>
        <v>#NUM!</v>
      </c>
      <c r="AA142" s="128" t="e">
        <f t="shared" si="22"/>
        <v>#NUM!</v>
      </c>
      <c r="AB142" s="128" t="e">
        <f t="shared" si="23"/>
        <v>#NUM!</v>
      </c>
      <c r="AC142" s="128" t="e">
        <f t="shared" si="24"/>
        <v>#NUM!</v>
      </c>
      <c r="AD142" s="128" t="e">
        <f t="shared" si="25"/>
        <v>#NUM!</v>
      </c>
      <c r="AE142" s="128" t="e">
        <f t="shared" si="26"/>
        <v>#NUM!</v>
      </c>
      <c r="AF142" s="130"/>
      <c r="AG142" s="130"/>
      <c r="AH142" s="130"/>
      <c r="AI142" s="130"/>
      <c r="AJ142" s="130"/>
      <c r="AK142" s="130"/>
      <c r="AL142" s="130"/>
      <c r="AM142" s="130"/>
      <c r="AN142" s="130"/>
      <c r="AO142" s="130"/>
      <c r="AP142" s="130"/>
      <c r="AQ142" s="130"/>
      <c r="AR142" s="130"/>
      <c r="AS142" s="130"/>
    </row>
    <row r="143" spans="1:45" s="166" customFormat="1" ht="12.75">
      <c r="A143" s="132" t="e">
        <f t="shared" si="0"/>
        <v>#DIV/0!</v>
      </c>
      <c r="B143" s="132">
        <f t="shared" si="19"/>
        <v>2.2600000000000016</v>
      </c>
      <c r="C143" s="138">
        <f t="shared" si="20"/>
        <v>181.97008586099895</v>
      </c>
      <c r="D143" s="137" t="e">
        <f t="shared" si="1"/>
        <v>#DIV/0!</v>
      </c>
      <c r="E143" s="132" t="e">
        <f t="shared" si="2"/>
        <v>#DIV/0!</v>
      </c>
      <c r="G143" s="138"/>
      <c r="H143" s="184" t="str">
        <f t="shared" si="3"/>
        <v>1E+47-8.74621465054801E+52i</v>
      </c>
      <c r="I143" s="132" t="str">
        <f>IMSUM(IMDIV(1,COMPLEX(0,Q143*MLCC*10^-6)),MLCC_ESR*10^-3)</f>
        <v>1E+47-8.74621465054801E+52i</v>
      </c>
      <c r="J143" s="132" t="str">
        <f t="shared" si="4"/>
        <v>4.99999999999999E+46-4.37310732527401E+52i</v>
      </c>
      <c r="K143" s="132"/>
      <c r="L143" s="132" t="e">
        <f t="shared" si="5"/>
        <v>#DIV/0!</v>
      </c>
      <c r="M143" s="132" t="str">
        <f t="shared" si="6"/>
        <v>0</v>
      </c>
      <c r="N143" s="132" t="e">
        <f t="shared" si="7"/>
        <v>#DIV/0!</v>
      </c>
      <c r="O143" s="185" t="e">
        <f t="shared" si="8"/>
        <v>#DIV/0!</v>
      </c>
      <c r="P143" s="185" t="e">
        <f t="shared" si="9"/>
        <v>#DIV/0!</v>
      </c>
      <c r="Q143" s="132">
        <f t="shared" si="10"/>
        <v>1143.3517698280364</v>
      </c>
      <c r="R143" s="132">
        <f t="shared" si="21"/>
        <v>2.260000000000001</v>
      </c>
      <c r="S143" s="164" t="e">
        <f t="shared" si="11"/>
        <v>#DIV/0!</v>
      </c>
      <c r="T143" s="132" t="e">
        <f t="shared" si="12"/>
        <v>#NUM!</v>
      </c>
      <c r="U143" s="138" t="e">
        <f t="shared" si="13"/>
        <v>#NUM!</v>
      </c>
      <c r="V143" s="132" t="e">
        <f t="shared" si="14"/>
        <v>#NUM!</v>
      </c>
      <c r="W143" s="132">
        <f t="shared" si="15"/>
        <v>79.97510474976748</v>
      </c>
      <c r="X143" s="138">
        <f t="shared" si="16"/>
        <v>-4.3369623255336816</v>
      </c>
      <c r="Y143" s="128" t="str">
        <f t="shared" si="17"/>
        <v>9942.82683496541-754.055742110676i</v>
      </c>
      <c r="Z143" s="128" t="e">
        <f t="shared" si="18"/>
        <v>#NUM!</v>
      </c>
      <c r="AA143" s="128" t="e">
        <f t="shared" si="22"/>
        <v>#NUM!</v>
      </c>
      <c r="AB143" s="128" t="e">
        <f t="shared" si="23"/>
        <v>#NUM!</v>
      </c>
      <c r="AC143" s="128" t="e">
        <f t="shared" si="24"/>
        <v>#NUM!</v>
      </c>
      <c r="AD143" s="128" t="e">
        <f t="shared" si="25"/>
        <v>#NUM!</v>
      </c>
      <c r="AE143" s="128" t="e">
        <f t="shared" si="26"/>
        <v>#NUM!</v>
      </c>
      <c r="AF143" s="130"/>
      <c r="AG143" s="130"/>
      <c r="AH143" s="130"/>
      <c r="AI143" s="130"/>
      <c r="AJ143" s="130"/>
      <c r="AK143" s="130"/>
      <c r="AL143" s="130"/>
      <c r="AM143" s="130"/>
      <c r="AN143" s="130"/>
      <c r="AO143" s="130"/>
      <c r="AP143" s="130"/>
      <c r="AQ143" s="130"/>
      <c r="AR143" s="130"/>
      <c r="AS143" s="130"/>
    </row>
    <row r="144" spans="1:45" s="166" customFormat="1" ht="12.75">
      <c r="A144" s="132" t="e">
        <f t="shared" si="0"/>
        <v>#DIV/0!</v>
      </c>
      <c r="B144" s="132">
        <f t="shared" si="19"/>
        <v>2.280000000000001</v>
      </c>
      <c r="C144" s="138">
        <f aca="true" t="shared" si="27" ref="C144:C207">10^R144</f>
        <v>190.5460717963253</v>
      </c>
      <c r="D144" s="137" t="e">
        <f aca="true" t="shared" si="28" ref="D144:D207">S144+U144</f>
        <v>#DIV/0!</v>
      </c>
      <c r="E144" s="132" t="e">
        <f aca="true" t="shared" si="29" ref="E144:E207">P144+V144</f>
        <v>#DIV/0!</v>
      </c>
      <c r="G144" s="138"/>
      <c r="H144" s="184" t="str">
        <f aca="true" t="shared" si="30" ref="H144:H207">IMSUM(IMDIV(1,COMPLEX(0,Q144*COUT*10^-6)),ESR*10^-3)</f>
        <v>1E+47-8.35257014702543E+52i</v>
      </c>
      <c r="I144" s="132" t="str">
        <f>IMSUM(IMDIV(1,COMPLEX(0,Q144*MLCC*10^-6)),MLCC_ESR*10^-3)</f>
        <v>1E+47-8.35257014702543E+52i</v>
      </c>
      <c r="J144" s="132" t="str">
        <f aca="true" t="shared" si="31" ref="J144:J207">IMDIV(IMPRODUCT(H144,I144),IMSUM(H144,I144))</f>
        <v>5.00000000000002E+46-4.1762850735127E+52i</v>
      </c>
      <c r="K144" s="132"/>
      <c r="L144" s="132" t="e">
        <f aca="true" t="shared" si="32" ref="L144:L207">IMDIV(IMPRODUCT(J144,VOUT/IOUT_max),IMSUM(J144,VOUT/IOUT_max))</f>
        <v>#DIV/0!</v>
      </c>
      <c r="M144" s="132" t="str">
        <f aca="true" t="shared" si="33" ref="M144:M207">COMPLEX(DCR*10^-3,Q144*LOUT*10^-6)</f>
        <v>0</v>
      </c>
      <c r="N144" s="132" t="e">
        <f aca="true" t="shared" si="34" ref="N144:N207">IMDIV(L144,IMSUM(M144,L144))</f>
        <v>#DIV/0!</v>
      </c>
      <c r="O144" s="185" t="e">
        <f aca="true" t="shared" si="35" ref="O144:O207">20*LOG(IMABS(N144))</f>
        <v>#DIV/0!</v>
      </c>
      <c r="P144" s="185" t="e">
        <f aca="true" t="shared" si="36" ref="P144:P207">180/PI()*IMARGUMENT(N144)</f>
        <v>#DIV/0!</v>
      </c>
      <c r="Q144" s="132">
        <f aca="true" t="shared" si="37" ref="Q144:Q207">2*PI()*C144</f>
        <v>1197.2362786514577</v>
      </c>
      <c r="R144" s="132">
        <f t="shared" si="21"/>
        <v>2.280000000000001</v>
      </c>
      <c r="S144" s="164" t="e">
        <f aca="true" t="shared" si="38" ref="S144:S207">20*LOG(IMABS(N144)*$F$62)</f>
        <v>#DIV/0!</v>
      </c>
      <c r="T144" s="132" t="e">
        <f aca="true" t="shared" si="39" ref="T144:T207">COMPLEX(1,Q144*(R_1+R_2)*C_1*10^-12)</f>
        <v>#NUM!</v>
      </c>
      <c r="U144" s="138" t="e">
        <f aca="true" t="shared" si="40" ref="U144:U207">20*LOG(IMABS(AE153))</f>
        <v>#NUM!</v>
      </c>
      <c r="V144" s="132" t="e">
        <f aca="true" t="shared" si="41" ref="V144:V207">IF(180/PI()*IMARGUMENT(AE153)&lt;0,180/PI()*IMARGUMENT(AE153)+360,180/PI()*IMARGUMENT(AE153))</f>
        <v>#NUM!</v>
      </c>
      <c r="W144" s="132">
        <f aca="true" t="shared" si="42" ref="W144:W207">20*LOG(IMABS(Y144))</f>
        <v>79.97271043203676</v>
      </c>
      <c r="X144" s="138">
        <f aca="true" t="shared" si="43" ref="X144:X207">180/PI()*IMARGUMENT(Y144)</f>
        <v>-4.540522103801061</v>
      </c>
      <c r="Y144" s="128" t="str">
        <f aca="true" t="shared" si="44" ref="Y144:Y207">IMDIV(10^(DCGAIN/20),IMPRODUCT(COMPLEX(1,2*PI()*C144/(2*PI()*(GBWP*10^6/10^(DCGAIN/20)))),COMPLEX(1,2*PI()*C144/(2*PI()*EAP*10^6))))</f>
        <v>9937.34542287879-789.158102077038i</v>
      </c>
      <c r="Z144" s="128" t="e">
        <f aca="true" t="shared" si="45" ref="Z144:Z207">IMDIV(1,COMPLEX(0,2*PI()*C144*C_3*10^-12))</f>
        <v>#NUM!</v>
      </c>
      <c r="AA144" s="128" t="e">
        <f t="shared" si="22"/>
        <v>#NUM!</v>
      </c>
      <c r="AB144" s="128" t="e">
        <f t="shared" si="23"/>
        <v>#NUM!</v>
      </c>
      <c r="AC144" s="128" t="e">
        <f t="shared" si="24"/>
        <v>#NUM!</v>
      </c>
      <c r="AD144" s="128" t="e">
        <f t="shared" si="25"/>
        <v>#NUM!</v>
      </c>
      <c r="AE144" s="128" t="e">
        <f t="shared" si="26"/>
        <v>#NUM!</v>
      </c>
      <c r="AF144" s="130"/>
      <c r="AG144" s="130"/>
      <c r="AH144" s="130"/>
      <c r="AI144" s="130"/>
      <c r="AJ144" s="130"/>
      <c r="AK144" s="130"/>
      <c r="AL144" s="130"/>
      <c r="AM144" s="130"/>
      <c r="AN144" s="130"/>
      <c r="AO144" s="130"/>
      <c r="AP144" s="130"/>
      <c r="AQ144" s="130"/>
      <c r="AR144" s="130"/>
      <c r="AS144" s="130"/>
    </row>
    <row r="145" spans="1:45" s="166" customFormat="1" ht="12.75">
      <c r="A145" s="132" t="e">
        <f aca="true" t="shared" si="46" ref="A145:A208">ROUND(ABS(D145),3)</f>
        <v>#DIV/0!</v>
      </c>
      <c r="B145" s="132">
        <f aca="true" t="shared" si="47" ref="B145:B208">LOG(C145)</f>
        <v>2.300000000000001</v>
      </c>
      <c r="C145" s="138">
        <f t="shared" si="27"/>
        <v>199.52623149688853</v>
      </c>
      <c r="D145" s="137" t="e">
        <f t="shared" si="28"/>
        <v>#DIV/0!</v>
      </c>
      <c r="E145" s="132" t="e">
        <f t="shared" si="29"/>
        <v>#DIV/0!</v>
      </c>
      <c r="G145" s="138"/>
      <c r="H145" s="184" t="str">
        <f t="shared" si="30"/>
        <v>1E+47-7.97664256463329E+52i</v>
      </c>
      <c r="I145" s="132" t="str">
        <f>IMSUM(IMDIV(1,COMPLEX(0,Q145*MLCC*10^-6)),MLCC_ESR*10^-3)</f>
        <v>1E+47-7.97664256463329E+52i</v>
      </c>
      <c r="J145" s="132" t="str">
        <f t="shared" si="31"/>
        <v>5.00000000000001E+46-3.98832128231664E+52i</v>
      </c>
      <c r="K145" s="132"/>
      <c r="L145" s="132" t="e">
        <f t="shared" si="32"/>
        <v>#DIV/0!</v>
      </c>
      <c r="M145" s="132" t="str">
        <f t="shared" si="33"/>
        <v>0</v>
      </c>
      <c r="N145" s="132" t="e">
        <f t="shared" si="34"/>
        <v>#DIV/0!</v>
      </c>
      <c r="O145" s="185" t="e">
        <f t="shared" si="35"/>
        <v>#DIV/0!</v>
      </c>
      <c r="P145" s="185" t="e">
        <f t="shared" si="36"/>
        <v>#DIV/0!</v>
      </c>
      <c r="Q145" s="132">
        <f t="shared" si="37"/>
        <v>1253.6602861381627</v>
      </c>
      <c r="R145" s="132">
        <f aca="true" t="shared" si="48" ref="R145:R208">R144+0.02</f>
        <v>2.300000000000001</v>
      </c>
      <c r="S145" s="164" t="e">
        <f t="shared" si="38"/>
        <v>#DIV/0!</v>
      </c>
      <c r="T145" s="132" t="e">
        <f t="shared" si="39"/>
        <v>#NUM!</v>
      </c>
      <c r="U145" s="138" t="e">
        <f t="shared" si="40"/>
        <v>#NUM!</v>
      </c>
      <c r="V145" s="132" t="e">
        <f t="shared" si="41"/>
        <v>#NUM!</v>
      </c>
      <c r="W145" s="132">
        <f t="shared" si="42"/>
        <v>79.97008663114927</v>
      </c>
      <c r="X145" s="138">
        <f t="shared" si="43"/>
        <v>-4.753552321277916</v>
      </c>
      <c r="Y145" s="128" t="str">
        <f t="shared" si="44"/>
        <v>9931.34211465998-825.850886999936i</v>
      </c>
      <c r="Z145" s="128" t="e">
        <f t="shared" si="45"/>
        <v>#NUM!</v>
      </c>
      <c r="AA145" s="128" t="e">
        <f t="shared" si="22"/>
        <v>#NUM!</v>
      </c>
      <c r="AB145" s="128" t="e">
        <f t="shared" si="23"/>
        <v>#NUM!</v>
      </c>
      <c r="AC145" s="128" t="e">
        <f t="shared" si="24"/>
        <v>#NUM!</v>
      </c>
      <c r="AD145" s="128" t="e">
        <f t="shared" si="25"/>
        <v>#NUM!</v>
      </c>
      <c r="AE145" s="128" t="e">
        <f t="shared" si="26"/>
        <v>#NUM!</v>
      </c>
      <c r="AF145" s="130"/>
      <c r="AG145" s="130"/>
      <c r="AH145" s="130"/>
      <c r="AI145" s="130"/>
      <c r="AJ145" s="130"/>
      <c r="AK145" s="130"/>
      <c r="AL145" s="130"/>
      <c r="AM145" s="130"/>
      <c r="AN145" s="130"/>
      <c r="AO145" s="130"/>
      <c r="AP145" s="130"/>
      <c r="AQ145" s="130"/>
      <c r="AR145" s="130"/>
      <c r="AS145" s="130"/>
    </row>
    <row r="146" spans="1:45" s="166" customFormat="1" ht="12.75">
      <c r="A146" s="132" t="e">
        <f t="shared" si="46"/>
        <v>#DIV/0!</v>
      </c>
      <c r="B146" s="132">
        <f t="shared" si="47"/>
        <v>2.3200000000000016</v>
      </c>
      <c r="C146" s="138">
        <f t="shared" si="27"/>
        <v>208.9296130854047</v>
      </c>
      <c r="D146" s="137" t="e">
        <f t="shared" si="28"/>
        <v>#DIV/0!</v>
      </c>
      <c r="E146" s="132" t="e">
        <f t="shared" si="29"/>
        <v>#DIV/0!</v>
      </c>
      <c r="G146" s="138"/>
      <c r="H146" s="184" t="str">
        <f t="shared" si="30"/>
        <v>1E+47-7.61763451056779E+52i</v>
      </c>
      <c r="I146" s="132" t="str">
        <f>IMSUM(IMDIV(1,COMPLEX(0,Q146*MLCC*10^-6)),MLCC_ESR*10^-3)</f>
        <v>1E+47-7.61763451056779E+52i</v>
      </c>
      <c r="J146" s="132" t="str">
        <f t="shared" si="31"/>
        <v>5.00000000000001E+46-3.80881725528389E+52i</v>
      </c>
      <c r="K146" s="132"/>
      <c r="L146" s="132" t="e">
        <f t="shared" si="32"/>
        <v>#DIV/0!</v>
      </c>
      <c r="M146" s="132" t="str">
        <f t="shared" si="33"/>
        <v>0</v>
      </c>
      <c r="N146" s="132" t="e">
        <f t="shared" si="34"/>
        <v>#DIV/0!</v>
      </c>
      <c r="O146" s="185" t="e">
        <f t="shared" si="35"/>
        <v>#DIV/0!</v>
      </c>
      <c r="P146" s="185" t="e">
        <f t="shared" si="36"/>
        <v>#DIV/0!</v>
      </c>
      <c r="Q146" s="132">
        <f t="shared" si="37"/>
        <v>1312.7434751729306</v>
      </c>
      <c r="R146" s="132">
        <f t="shared" si="48"/>
        <v>2.320000000000001</v>
      </c>
      <c r="S146" s="164" t="e">
        <f t="shared" si="38"/>
        <v>#DIV/0!</v>
      </c>
      <c r="T146" s="132" t="e">
        <f t="shared" si="39"/>
        <v>#NUM!</v>
      </c>
      <c r="U146" s="138" t="e">
        <f t="shared" si="40"/>
        <v>#NUM!</v>
      </c>
      <c r="V146" s="132" t="e">
        <f t="shared" si="41"/>
        <v>#NUM!</v>
      </c>
      <c r="W146" s="132">
        <f t="shared" si="42"/>
        <v>79.9672115114698</v>
      </c>
      <c r="X146" s="138">
        <f t="shared" si="43"/>
        <v>-4.9764812485542675</v>
      </c>
      <c r="Y146" s="128" t="str">
        <f t="shared" si="44"/>
        <v>9924.76794739966-864.19973261826i</v>
      </c>
      <c r="Z146" s="128" t="e">
        <f t="shared" si="45"/>
        <v>#NUM!</v>
      </c>
      <c r="AA146" s="128" t="e">
        <f t="shared" si="22"/>
        <v>#NUM!</v>
      </c>
      <c r="AB146" s="128" t="e">
        <f t="shared" si="23"/>
        <v>#NUM!</v>
      </c>
      <c r="AC146" s="128" t="e">
        <f t="shared" si="24"/>
        <v>#NUM!</v>
      </c>
      <c r="AD146" s="128" t="e">
        <f t="shared" si="25"/>
        <v>#NUM!</v>
      </c>
      <c r="AE146" s="128" t="e">
        <f t="shared" si="26"/>
        <v>#NUM!</v>
      </c>
      <c r="AF146" s="130"/>
      <c r="AG146" s="130"/>
      <c r="AH146" s="130"/>
      <c r="AI146" s="130"/>
      <c r="AJ146" s="130"/>
      <c r="AK146" s="130"/>
      <c r="AL146" s="130"/>
      <c r="AM146" s="130"/>
      <c r="AN146" s="130"/>
      <c r="AO146" s="130"/>
      <c r="AP146" s="130"/>
      <c r="AQ146" s="130"/>
      <c r="AR146" s="130"/>
      <c r="AS146" s="130"/>
    </row>
    <row r="147" spans="1:45" s="166" customFormat="1" ht="12.75">
      <c r="A147" s="132" t="e">
        <f t="shared" si="46"/>
        <v>#DIV/0!</v>
      </c>
      <c r="B147" s="132">
        <f t="shared" si="47"/>
        <v>2.3400000000000016</v>
      </c>
      <c r="C147" s="138">
        <f t="shared" si="27"/>
        <v>218.776162394956</v>
      </c>
      <c r="D147" s="137" t="e">
        <f t="shared" si="28"/>
        <v>#DIV/0!</v>
      </c>
      <c r="E147" s="132" t="e">
        <f t="shared" si="29"/>
        <v>#DIV/0!</v>
      </c>
      <c r="G147" s="138"/>
      <c r="H147" s="184" t="str">
        <f t="shared" si="30"/>
        <v>1E+47-7.27478448061328E+52i</v>
      </c>
      <c r="I147" s="132" t="str">
        <f>IMSUM(IMDIV(1,COMPLEX(0,Q147*MLCC*10^-6)),MLCC_ESR*10^-3)</f>
        <v>1E+47-7.27478448061328E+52i</v>
      </c>
      <c r="J147" s="132" t="str">
        <f t="shared" si="31"/>
        <v>5.00000000000003E+46-3.63739224030663E+52i</v>
      </c>
      <c r="K147" s="132"/>
      <c r="L147" s="132" t="e">
        <f t="shared" si="32"/>
        <v>#DIV/0!</v>
      </c>
      <c r="M147" s="132" t="str">
        <f t="shared" si="33"/>
        <v>0</v>
      </c>
      <c r="N147" s="132" t="e">
        <f t="shared" si="34"/>
        <v>#DIV/0!</v>
      </c>
      <c r="O147" s="185" t="e">
        <f t="shared" si="35"/>
        <v>#DIV/0!</v>
      </c>
      <c r="P147" s="185" t="e">
        <f t="shared" si="36"/>
        <v>#DIV/0!</v>
      </c>
      <c r="Q147" s="132">
        <f t="shared" si="37"/>
        <v>1374.6111691211227</v>
      </c>
      <c r="R147" s="132">
        <f t="shared" si="48"/>
        <v>2.340000000000001</v>
      </c>
      <c r="S147" s="164" t="e">
        <f t="shared" si="38"/>
        <v>#DIV/0!</v>
      </c>
      <c r="T147" s="132" t="e">
        <f t="shared" si="39"/>
        <v>#NUM!</v>
      </c>
      <c r="U147" s="138" t="e">
        <f t="shared" si="40"/>
        <v>#NUM!</v>
      </c>
      <c r="V147" s="132" t="e">
        <f t="shared" si="41"/>
        <v>#NUM!</v>
      </c>
      <c r="W147" s="132">
        <f t="shared" si="42"/>
        <v>79.96406119159008</v>
      </c>
      <c r="X147" s="138">
        <f t="shared" si="43"/>
        <v>-5.2097547085804345</v>
      </c>
      <c r="Y147" s="128" t="str">
        <f t="shared" si="44"/>
        <v>9917.56951044595-904.272025237536i</v>
      </c>
      <c r="Z147" s="128" t="e">
        <f t="shared" si="45"/>
        <v>#NUM!</v>
      </c>
      <c r="AA147" s="128" t="e">
        <f t="shared" si="22"/>
        <v>#NUM!</v>
      </c>
      <c r="AB147" s="128" t="e">
        <f t="shared" si="23"/>
        <v>#NUM!</v>
      </c>
      <c r="AC147" s="128" t="e">
        <f t="shared" si="24"/>
        <v>#NUM!</v>
      </c>
      <c r="AD147" s="128" t="e">
        <f t="shared" si="25"/>
        <v>#NUM!</v>
      </c>
      <c r="AE147" s="128" t="e">
        <f t="shared" si="26"/>
        <v>#NUM!</v>
      </c>
      <c r="AF147" s="130"/>
      <c r="AG147" s="130"/>
      <c r="AH147" s="130"/>
      <c r="AI147" s="130"/>
      <c r="AJ147" s="130"/>
      <c r="AK147" s="130"/>
      <c r="AL147" s="130"/>
      <c r="AM147" s="130"/>
      <c r="AN147" s="130"/>
      <c r="AO147" s="130"/>
      <c r="AP147" s="130"/>
      <c r="AQ147" s="130"/>
      <c r="AR147" s="130"/>
      <c r="AS147" s="130"/>
    </row>
    <row r="148" spans="1:45" s="166" customFormat="1" ht="12.75">
      <c r="A148" s="132" t="e">
        <f t="shared" si="46"/>
        <v>#DIV/0!</v>
      </c>
      <c r="B148" s="132">
        <f t="shared" si="47"/>
        <v>2.360000000000001</v>
      </c>
      <c r="C148" s="138">
        <f t="shared" si="27"/>
        <v>229.08676527677804</v>
      </c>
      <c r="D148" s="137" t="e">
        <f t="shared" si="28"/>
        <v>#DIV/0!</v>
      </c>
      <c r="E148" s="132" t="e">
        <f t="shared" si="29"/>
        <v>#DIV/0!</v>
      </c>
      <c r="G148" s="138"/>
      <c r="H148" s="184" t="str">
        <f t="shared" si="30"/>
        <v>1E+47-6.94736524388947E+52i</v>
      </c>
      <c r="I148" s="132" t="str">
        <f>IMSUM(IMDIV(1,COMPLEX(0,Q148*MLCC*10^-6)),MLCC_ESR*10^-3)</f>
        <v>1E+47-6.94736524388947E+52i</v>
      </c>
      <c r="J148" s="132" t="str">
        <f t="shared" si="31"/>
        <v>4.99999999999997E+46-3.47368262194474E+52i</v>
      </c>
      <c r="K148" s="132"/>
      <c r="L148" s="132" t="e">
        <f t="shared" si="32"/>
        <v>#DIV/0!</v>
      </c>
      <c r="M148" s="132" t="str">
        <f t="shared" si="33"/>
        <v>0</v>
      </c>
      <c r="N148" s="132" t="e">
        <f t="shared" si="34"/>
        <v>#DIV/0!</v>
      </c>
      <c r="O148" s="185" t="e">
        <f t="shared" si="35"/>
        <v>#DIV/0!</v>
      </c>
      <c r="P148" s="185" t="e">
        <f t="shared" si="36"/>
        <v>#DIV/0!</v>
      </c>
      <c r="Q148" s="132">
        <f t="shared" si="37"/>
        <v>1439.3945976563505</v>
      </c>
      <c r="R148" s="132">
        <f t="shared" si="48"/>
        <v>2.360000000000001</v>
      </c>
      <c r="S148" s="164" t="e">
        <f t="shared" si="38"/>
        <v>#DIV/0!</v>
      </c>
      <c r="T148" s="132" t="e">
        <f t="shared" si="39"/>
        <v>#NUM!</v>
      </c>
      <c r="U148" s="138" t="e">
        <f t="shared" si="40"/>
        <v>#NUM!</v>
      </c>
      <c r="V148" s="132" t="e">
        <f t="shared" si="41"/>
        <v>#NUM!</v>
      </c>
      <c r="W148" s="132">
        <f t="shared" si="42"/>
        <v>79.96060955905273</v>
      </c>
      <c r="X148" s="138">
        <f t="shared" si="43"/>
        <v>-5.45383652523516</v>
      </c>
      <c r="Y148" s="128" t="str">
        <f t="shared" si="44"/>
        <v>9909.68857064549-946.136794910754i</v>
      </c>
      <c r="Z148" s="128" t="e">
        <f t="shared" si="45"/>
        <v>#NUM!</v>
      </c>
      <c r="AA148" s="128" t="e">
        <f t="shared" si="22"/>
        <v>#NUM!</v>
      </c>
      <c r="AB148" s="128" t="e">
        <f t="shared" si="23"/>
        <v>#NUM!</v>
      </c>
      <c r="AC148" s="128" t="e">
        <f t="shared" si="24"/>
        <v>#NUM!</v>
      </c>
      <c r="AD148" s="128" t="e">
        <f t="shared" si="25"/>
        <v>#NUM!</v>
      </c>
      <c r="AE148" s="128" t="e">
        <f t="shared" si="26"/>
        <v>#NUM!</v>
      </c>
      <c r="AF148" s="130"/>
      <c r="AG148" s="130"/>
      <c r="AH148" s="130"/>
      <c r="AI148" s="130"/>
      <c r="AJ148" s="130"/>
      <c r="AK148" s="130"/>
      <c r="AL148" s="130"/>
      <c r="AM148" s="130"/>
      <c r="AN148" s="130"/>
      <c r="AO148" s="130"/>
      <c r="AP148" s="130"/>
      <c r="AQ148" s="130"/>
      <c r="AR148" s="130"/>
      <c r="AS148" s="130"/>
    </row>
    <row r="149" spans="1:45" s="166" customFormat="1" ht="12.75">
      <c r="A149" s="132" t="e">
        <f t="shared" si="46"/>
        <v>#DIV/0!</v>
      </c>
      <c r="B149" s="132">
        <f t="shared" si="47"/>
        <v>2.3800000000000012</v>
      </c>
      <c r="C149" s="138">
        <f t="shared" si="27"/>
        <v>239.88329190194978</v>
      </c>
      <c r="D149" s="137" t="e">
        <f t="shared" si="28"/>
        <v>#DIV/0!</v>
      </c>
      <c r="E149" s="132" t="e">
        <f t="shared" si="29"/>
        <v>#DIV/0!</v>
      </c>
      <c r="G149" s="138"/>
      <c r="H149" s="184" t="str">
        <f t="shared" si="30"/>
        <v>1E+47-6.63468230029746E+52i</v>
      </c>
      <c r="I149" s="132" t="str">
        <f>IMSUM(IMDIV(1,COMPLEX(0,Q149*MLCC*10^-6)),MLCC_ESR*10^-3)</f>
        <v>1E+47-6.63468230029746E+52i</v>
      </c>
      <c r="J149" s="132" t="str">
        <f t="shared" si="31"/>
        <v>4.99999999999998E+46-3.31734115014874E+52i</v>
      </c>
      <c r="K149" s="132"/>
      <c r="L149" s="132" t="e">
        <f t="shared" si="32"/>
        <v>#DIV/0!</v>
      </c>
      <c r="M149" s="132" t="str">
        <f t="shared" si="33"/>
        <v>0</v>
      </c>
      <c r="N149" s="132" t="e">
        <f t="shared" si="34"/>
        <v>#DIV/0!</v>
      </c>
      <c r="O149" s="185" t="e">
        <f t="shared" si="35"/>
        <v>#DIV/0!</v>
      </c>
      <c r="P149" s="185" t="e">
        <f t="shared" si="36"/>
        <v>#DIV/0!</v>
      </c>
      <c r="Q149" s="132">
        <f t="shared" si="37"/>
        <v>1507.2311751162026</v>
      </c>
      <c r="R149" s="132">
        <f t="shared" si="48"/>
        <v>2.3800000000000012</v>
      </c>
      <c r="S149" s="164" t="e">
        <f t="shared" si="38"/>
        <v>#DIV/0!</v>
      </c>
      <c r="T149" s="132" t="e">
        <f t="shared" si="39"/>
        <v>#NUM!</v>
      </c>
      <c r="U149" s="138" t="e">
        <f t="shared" si="40"/>
        <v>#NUM!</v>
      </c>
      <c r="V149" s="132" t="e">
        <f t="shared" si="41"/>
        <v>#NUM!</v>
      </c>
      <c r="W149" s="132">
        <f t="shared" si="42"/>
        <v>79.95682806957801</v>
      </c>
      <c r="X149" s="138">
        <f t="shared" si="43"/>
        <v>-5.7092089397788195</v>
      </c>
      <c r="Y149" s="128" t="str">
        <f t="shared" si="44"/>
        <v>9901.06167195515-989.864577955441i</v>
      </c>
      <c r="Z149" s="128" t="e">
        <f t="shared" si="45"/>
        <v>#NUM!</v>
      </c>
      <c r="AA149" s="128" t="e">
        <f t="shared" si="22"/>
        <v>#NUM!</v>
      </c>
      <c r="AB149" s="128" t="e">
        <f t="shared" si="23"/>
        <v>#NUM!</v>
      </c>
      <c r="AC149" s="128" t="e">
        <f t="shared" si="24"/>
        <v>#NUM!</v>
      </c>
      <c r="AD149" s="128" t="e">
        <f t="shared" si="25"/>
        <v>#NUM!</v>
      </c>
      <c r="AE149" s="128" t="e">
        <f t="shared" si="26"/>
        <v>#NUM!</v>
      </c>
      <c r="AF149" s="130"/>
      <c r="AG149" s="130"/>
      <c r="AH149" s="130"/>
      <c r="AI149" s="130"/>
      <c r="AJ149" s="130"/>
      <c r="AK149" s="130"/>
      <c r="AL149" s="130"/>
      <c r="AM149" s="130"/>
      <c r="AN149" s="130"/>
      <c r="AO149" s="130"/>
      <c r="AP149" s="130"/>
      <c r="AQ149" s="130"/>
      <c r="AR149" s="130"/>
      <c r="AS149" s="130"/>
    </row>
    <row r="150" spans="1:45" s="166" customFormat="1" ht="12.75">
      <c r="A150" s="132" t="e">
        <f t="shared" si="46"/>
        <v>#DIV/0!</v>
      </c>
      <c r="B150" s="132">
        <f t="shared" si="47"/>
        <v>2.4000000000000017</v>
      </c>
      <c r="C150" s="138">
        <f t="shared" si="27"/>
        <v>251.18864315095894</v>
      </c>
      <c r="D150" s="137" t="e">
        <f t="shared" si="28"/>
        <v>#DIV/0!</v>
      </c>
      <c r="E150" s="132" t="e">
        <f t="shared" si="29"/>
        <v>#DIV/0!</v>
      </c>
      <c r="G150" s="138"/>
      <c r="H150" s="184" t="str">
        <f t="shared" si="30"/>
        <v>1E+47-6.33607240739172E+52i</v>
      </c>
      <c r="I150" s="132" t="str">
        <f>IMSUM(IMDIV(1,COMPLEX(0,Q150*MLCC*10^-6)),MLCC_ESR*10^-3)</f>
        <v>1E+47-6.33607240739172E+52i</v>
      </c>
      <c r="J150" s="132" t="str">
        <f t="shared" si="31"/>
        <v>4.99999999999997E+46-3.16803620369587E+52i</v>
      </c>
      <c r="K150" s="132"/>
      <c r="L150" s="132" t="e">
        <f t="shared" si="32"/>
        <v>#DIV/0!</v>
      </c>
      <c r="M150" s="132" t="str">
        <f t="shared" si="33"/>
        <v>0</v>
      </c>
      <c r="N150" s="132" t="e">
        <f t="shared" si="34"/>
        <v>#DIV/0!</v>
      </c>
      <c r="O150" s="185" t="e">
        <f t="shared" si="35"/>
        <v>#DIV/0!</v>
      </c>
      <c r="P150" s="185" t="e">
        <f t="shared" si="36"/>
        <v>#DIV/0!</v>
      </c>
      <c r="Q150" s="132">
        <f t="shared" si="37"/>
        <v>1578.2647919764813</v>
      </c>
      <c r="R150" s="132">
        <f t="shared" si="48"/>
        <v>2.4000000000000012</v>
      </c>
      <c r="S150" s="164" t="e">
        <f t="shared" si="38"/>
        <v>#DIV/0!</v>
      </c>
      <c r="T150" s="132" t="e">
        <f t="shared" si="39"/>
        <v>#NUM!</v>
      </c>
      <c r="U150" s="138" t="e">
        <f t="shared" si="40"/>
        <v>#NUM!</v>
      </c>
      <c r="V150" s="132" t="e">
        <f t="shared" si="41"/>
        <v>#NUM!</v>
      </c>
      <c r="W150" s="132">
        <f t="shared" si="42"/>
        <v>79.95268552975782</v>
      </c>
      <c r="X150" s="138">
        <f t="shared" si="43"/>
        <v>-5.9763729865026445</v>
      </c>
      <c r="Y150" s="128" t="str">
        <f t="shared" si="44"/>
        <v>9891.61970893721-1035.52724416517i</v>
      </c>
      <c r="Z150" s="128" t="e">
        <f t="shared" si="45"/>
        <v>#NUM!</v>
      </c>
      <c r="AA150" s="128" t="e">
        <f t="shared" si="22"/>
        <v>#NUM!</v>
      </c>
      <c r="AB150" s="128" t="e">
        <f t="shared" si="23"/>
        <v>#NUM!</v>
      </c>
      <c r="AC150" s="128" t="e">
        <f t="shared" si="24"/>
        <v>#NUM!</v>
      </c>
      <c r="AD150" s="128" t="e">
        <f t="shared" si="25"/>
        <v>#NUM!</v>
      </c>
      <c r="AE150" s="128" t="e">
        <f t="shared" si="26"/>
        <v>#NUM!</v>
      </c>
      <c r="AF150" s="130"/>
      <c r="AG150" s="130"/>
      <c r="AH150" s="130"/>
      <c r="AI150" s="130"/>
      <c r="AJ150" s="130"/>
      <c r="AK150" s="130"/>
      <c r="AL150" s="130"/>
      <c r="AM150" s="130"/>
      <c r="AN150" s="130"/>
      <c r="AO150" s="130"/>
      <c r="AP150" s="130"/>
      <c r="AQ150" s="130"/>
      <c r="AR150" s="130"/>
      <c r="AS150" s="130"/>
    </row>
    <row r="151" spans="1:45" s="166" customFormat="1" ht="12.75">
      <c r="A151" s="132" t="e">
        <f t="shared" si="46"/>
        <v>#DIV/0!</v>
      </c>
      <c r="B151" s="132">
        <f t="shared" si="47"/>
        <v>2.4200000000000017</v>
      </c>
      <c r="C151" s="138">
        <f t="shared" si="27"/>
        <v>263.02679918953913</v>
      </c>
      <c r="D151" s="137" t="e">
        <f t="shared" si="28"/>
        <v>#DIV/0!</v>
      </c>
      <c r="E151" s="132" t="e">
        <f t="shared" si="29"/>
        <v>#DIV/0!</v>
      </c>
      <c r="G151" s="138"/>
      <c r="H151" s="184" t="str">
        <f t="shared" si="30"/>
        <v>1E+47-6.05090217355407E+52i</v>
      </c>
      <c r="I151" s="132" t="str">
        <f>IMSUM(IMDIV(1,COMPLEX(0,Q151*MLCC*10^-6)),MLCC_ESR*10^-3)</f>
        <v>1E+47-6.05090217355407E+52i</v>
      </c>
      <c r="J151" s="132" t="str">
        <f t="shared" si="31"/>
        <v>4.99999999999996E+46-3.02545108677705E+52i</v>
      </c>
      <c r="K151" s="132"/>
      <c r="L151" s="132" t="e">
        <f t="shared" si="32"/>
        <v>#DIV/0!</v>
      </c>
      <c r="M151" s="132" t="str">
        <f t="shared" si="33"/>
        <v>0</v>
      </c>
      <c r="N151" s="132" t="e">
        <f t="shared" si="34"/>
        <v>#DIV/0!</v>
      </c>
      <c r="O151" s="185" t="e">
        <f t="shared" si="35"/>
        <v>#DIV/0!</v>
      </c>
      <c r="P151" s="185" t="e">
        <f t="shared" si="36"/>
        <v>#DIV/0!</v>
      </c>
      <c r="Q151" s="132">
        <f t="shared" si="37"/>
        <v>1652.6461200621877</v>
      </c>
      <c r="R151" s="132">
        <f t="shared" si="48"/>
        <v>2.4200000000000013</v>
      </c>
      <c r="S151" s="164" t="e">
        <f t="shared" si="38"/>
        <v>#DIV/0!</v>
      </c>
      <c r="T151" s="132" t="e">
        <f t="shared" si="39"/>
        <v>#NUM!</v>
      </c>
      <c r="U151" s="138" t="e">
        <f t="shared" si="40"/>
        <v>#NUM!</v>
      </c>
      <c r="V151" s="132" t="e">
        <f t="shared" si="41"/>
        <v>#NUM!</v>
      </c>
      <c r="W151" s="132">
        <f t="shared" si="42"/>
        <v>79.94814786216793</v>
      </c>
      <c r="X151" s="138">
        <f t="shared" si="43"/>
        <v>-6.255848817589303</v>
      </c>
      <c r="Y151" s="128" t="str">
        <f t="shared" si="44"/>
        <v>9881.28747396071-1083.19778352716i</v>
      </c>
      <c r="Z151" s="128" t="e">
        <f t="shared" si="45"/>
        <v>#NUM!</v>
      </c>
      <c r="AA151" s="128" t="e">
        <f t="shared" si="22"/>
        <v>#NUM!</v>
      </c>
      <c r="AB151" s="128" t="e">
        <f t="shared" si="23"/>
        <v>#NUM!</v>
      </c>
      <c r="AC151" s="128" t="e">
        <f t="shared" si="24"/>
        <v>#NUM!</v>
      </c>
      <c r="AD151" s="128" t="e">
        <f t="shared" si="25"/>
        <v>#NUM!</v>
      </c>
      <c r="AE151" s="128" t="e">
        <f t="shared" si="26"/>
        <v>#NUM!</v>
      </c>
      <c r="AF151" s="130"/>
      <c r="AG151" s="130"/>
      <c r="AH151" s="130"/>
      <c r="AI151" s="130"/>
      <c r="AJ151" s="130"/>
      <c r="AK151" s="130"/>
      <c r="AL151" s="130"/>
      <c r="AM151" s="130"/>
      <c r="AN151" s="130"/>
      <c r="AO151" s="130"/>
      <c r="AP151" s="130"/>
      <c r="AQ151" s="130"/>
      <c r="AR151" s="130"/>
      <c r="AS151" s="130"/>
    </row>
    <row r="152" spans="1:45" s="166" customFormat="1" ht="12.75">
      <c r="A152" s="132" t="e">
        <f t="shared" si="46"/>
        <v>#DIV/0!</v>
      </c>
      <c r="B152" s="132">
        <f t="shared" si="47"/>
        <v>2.4400000000000013</v>
      </c>
      <c r="C152" s="138">
        <f t="shared" si="27"/>
        <v>275.42287033381757</v>
      </c>
      <c r="D152" s="137" t="e">
        <f t="shared" si="28"/>
        <v>#DIV/0!</v>
      </c>
      <c r="E152" s="132" t="e">
        <f t="shared" si="29"/>
        <v>#DIV/0!</v>
      </c>
      <c r="G152" s="138"/>
      <c r="H152" s="184" t="str">
        <f t="shared" si="30"/>
        <v>1E+47-5.77856671448514E+52i</v>
      </c>
      <c r="I152" s="132" t="str">
        <f>IMSUM(IMDIV(1,COMPLEX(0,Q152*MLCC*10^-6)),MLCC_ESR*10^-3)</f>
        <v>1E+47-5.77856671448514E+52i</v>
      </c>
      <c r="J152" s="132" t="str">
        <f t="shared" si="31"/>
        <v>5.00000000000001E+46-2.88928335724257E+52i</v>
      </c>
      <c r="K152" s="132"/>
      <c r="L152" s="132" t="e">
        <f t="shared" si="32"/>
        <v>#DIV/0!</v>
      </c>
      <c r="M152" s="132" t="str">
        <f t="shared" si="33"/>
        <v>0</v>
      </c>
      <c r="N152" s="132" t="e">
        <f t="shared" si="34"/>
        <v>#DIV/0!</v>
      </c>
      <c r="O152" s="185" t="e">
        <f t="shared" si="35"/>
        <v>#DIV/0!</v>
      </c>
      <c r="P152" s="185" t="e">
        <f t="shared" si="36"/>
        <v>#DIV/0!</v>
      </c>
      <c r="Q152" s="132">
        <f t="shared" si="37"/>
        <v>1730.532932142671</v>
      </c>
      <c r="R152" s="132">
        <f t="shared" si="48"/>
        <v>2.4400000000000013</v>
      </c>
      <c r="S152" s="164" t="e">
        <f t="shared" si="38"/>
        <v>#DIV/0!</v>
      </c>
      <c r="T152" s="132" t="e">
        <f t="shared" si="39"/>
        <v>#NUM!</v>
      </c>
      <c r="U152" s="138" t="e">
        <f t="shared" si="40"/>
        <v>#NUM!</v>
      </c>
      <c r="V152" s="132" t="e">
        <f t="shared" si="41"/>
        <v>#NUM!</v>
      </c>
      <c r="W152" s="132">
        <f t="shared" si="42"/>
        <v>79.94317785184967</v>
      </c>
      <c r="X152" s="138">
        <f t="shared" si="43"/>
        <v>-6.5481759657552585</v>
      </c>
      <c r="Y152" s="128" t="str">
        <f t="shared" si="44"/>
        <v>9869.98317833131-1132.95004667116i</v>
      </c>
      <c r="Z152" s="128" t="e">
        <f t="shared" si="45"/>
        <v>#NUM!</v>
      </c>
      <c r="AA152" s="128" t="e">
        <f t="shared" si="22"/>
        <v>#NUM!</v>
      </c>
      <c r="AB152" s="128" t="e">
        <f t="shared" si="23"/>
        <v>#NUM!</v>
      </c>
      <c r="AC152" s="128" t="e">
        <f t="shared" si="24"/>
        <v>#NUM!</v>
      </c>
      <c r="AD152" s="128" t="e">
        <f t="shared" si="25"/>
        <v>#NUM!</v>
      </c>
      <c r="AE152" s="128" t="e">
        <f t="shared" si="26"/>
        <v>#NUM!</v>
      </c>
      <c r="AF152" s="130"/>
      <c r="AG152" s="130"/>
      <c r="AH152" s="130"/>
      <c r="AI152" s="130"/>
      <c r="AJ152" s="130"/>
      <c r="AK152" s="130"/>
      <c r="AL152" s="130"/>
      <c r="AM152" s="130"/>
      <c r="AN152" s="130"/>
      <c r="AO152" s="130"/>
      <c r="AP152" s="130"/>
      <c r="AQ152" s="130"/>
      <c r="AR152" s="130"/>
      <c r="AS152" s="130"/>
    </row>
    <row r="153" spans="1:45" s="166" customFormat="1" ht="12.75">
      <c r="A153" s="132" t="e">
        <f t="shared" si="46"/>
        <v>#DIV/0!</v>
      </c>
      <c r="B153" s="132">
        <f t="shared" si="47"/>
        <v>2.4600000000000013</v>
      </c>
      <c r="C153" s="138">
        <f t="shared" si="27"/>
        <v>288.4031503126615</v>
      </c>
      <c r="D153" s="137" t="e">
        <f t="shared" si="28"/>
        <v>#DIV/0!</v>
      </c>
      <c r="E153" s="132" t="e">
        <f t="shared" si="29"/>
        <v>#DIV/0!</v>
      </c>
      <c r="G153" s="138"/>
      <c r="H153" s="184" t="str">
        <f t="shared" si="30"/>
        <v>1E+47-5.51848837016355E+52i</v>
      </c>
      <c r="I153" s="132" t="str">
        <f>IMSUM(IMDIV(1,COMPLEX(0,Q153*MLCC*10^-6)),MLCC_ESR*10^-3)</f>
        <v>1E+47-5.51848837016355E+52i</v>
      </c>
      <c r="J153" s="132" t="str">
        <f t="shared" si="31"/>
        <v>4.99999999999999E+46-2.75924418508178E+52i</v>
      </c>
      <c r="K153" s="132"/>
      <c r="L153" s="132" t="e">
        <f t="shared" si="32"/>
        <v>#DIV/0!</v>
      </c>
      <c r="M153" s="132" t="str">
        <f t="shared" si="33"/>
        <v>0</v>
      </c>
      <c r="N153" s="132" t="e">
        <f t="shared" si="34"/>
        <v>#DIV/0!</v>
      </c>
      <c r="O153" s="185" t="e">
        <f t="shared" si="35"/>
        <v>#DIV/0!</v>
      </c>
      <c r="P153" s="185" t="e">
        <f t="shared" si="36"/>
        <v>#DIV/0!</v>
      </c>
      <c r="Q153" s="132">
        <f t="shared" si="37"/>
        <v>1812.0904365888205</v>
      </c>
      <c r="R153" s="132">
        <f t="shared" si="48"/>
        <v>2.4600000000000013</v>
      </c>
      <c r="S153" s="164" t="e">
        <f t="shared" si="38"/>
        <v>#DIV/0!</v>
      </c>
      <c r="T153" s="132" t="e">
        <f t="shared" si="39"/>
        <v>#NUM!</v>
      </c>
      <c r="U153" s="138" t="e">
        <f t="shared" si="40"/>
        <v>#NUM!</v>
      </c>
      <c r="V153" s="132" t="e">
        <f t="shared" si="41"/>
        <v>#NUM!</v>
      </c>
      <c r="W153" s="132">
        <f t="shared" si="42"/>
        <v>79.93773487313133</v>
      </c>
      <c r="X153" s="138">
        <f t="shared" si="43"/>
        <v>-6.853913531639932</v>
      </c>
      <c r="Y153" s="128" t="str">
        <f t="shared" si="44"/>
        <v>9857.61794807765-1184.85843265183i</v>
      </c>
      <c r="Z153" s="128" t="e">
        <f t="shared" si="45"/>
        <v>#NUM!</v>
      </c>
      <c r="AA153" s="128" t="e">
        <f aca="true" t="shared" si="49" ref="AA153:AA216">IMSUM(R_3,IMDIV(1,COMPLEX(0,2*PI()*C144*C_2*10^-12)))</f>
        <v>#NUM!</v>
      </c>
      <c r="AB153" s="128" t="e">
        <f aca="true" t="shared" si="50" ref="AB153:AB216">IMSUM(R_2,IMDIV(1,COMPLEX(0,2*PI()*C144*C_1*10^-12)))</f>
        <v>#NUM!</v>
      </c>
      <c r="AC153" s="128" t="e">
        <f aca="true" t="shared" si="51" ref="AC153:AC216">IMDIV(IMPRODUCT(Z144,AA153),IMSUM(Z144,AA153))</f>
        <v>#NUM!</v>
      </c>
      <c r="AD153" s="128" t="e">
        <f aca="true" t="shared" si="52" ref="AD153:AD216">IMDIV(IMPRODUCT(AB153,R_1),IMSUM(AB153,R_1))</f>
        <v>#NUM!</v>
      </c>
      <c r="AE153" s="128" t="e">
        <f aca="true" t="shared" si="53" ref="AE153:AE216">IMDIV(IMPRODUCT(-1,Y144),IMSUM(1,IMDIV(AD153,R_4),IMPRODUCT(IMDIV(AD153,AC153),IMSUM(1,Y144))))</f>
        <v>#NUM!</v>
      </c>
      <c r="AF153" s="130"/>
      <c r="AG153" s="130"/>
      <c r="AH153" s="130"/>
      <c r="AI153" s="130"/>
      <c r="AJ153" s="130"/>
      <c r="AK153" s="130"/>
      <c r="AL153" s="130"/>
      <c r="AM153" s="130"/>
      <c r="AN153" s="130"/>
      <c r="AO153" s="130"/>
      <c r="AP153" s="130"/>
      <c r="AQ153" s="130"/>
      <c r="AR153" s="130"/>
      <c r="AS153" s="130"/>
    </row>
    <row r="154" spans="1:45" s="166" customFormat="1" ht="12.75">
      <c r="A154" s="132" t="e">
        <f t="shared" si="46"/>
        <v>#DIV/0!</v>
      </c>
      <c r="B154" s="132">
        <f t="shared" si="47"/>
        <v>2.4800000000000018</v>
      </c>
      <c r="C154" s="138">
        <f t="shared" si="27"/>
        <v>301.99517204020276</v>
      </c>
      <c r="D154" s="137" t="e">
        <f t="shared" si="28"/>
        <v>#DIV/0!</v>
      </c>
      <c r="E154" s="132" t="e">
        <f t="shared" si="29"/>
        <v>#DIV/0!</v>
      </c>
      <c r="G154" s="138"/>
      <c r="H154" s="184" t="str">
        <f t="shared" si="30"/>
        <v>1E+47-5.27011547955172E+52i</v>
      </c>
      <c r="I154" s="132" t="str">
        <f>IMSUM(IMDIV(1,COMPLEX(0,Q154*MLCC*10^-6)),MLCC_ESR*10^-3)</f>
        <v>1E+47-5.27011547955172E+52i</v>
      </c>
      <c r="J154" s="132" t="str">
        <f t="shared" si="31"/>
        <v>4.99999999999995E+46-2.63505773977587E+52i</v>
      </c>
      <c r="K154" s="132"/>
      <c r="L154" s="132" t="e">
        <f t="shared" si="32"/>
        <v>#DIV/0!</v>
      </c>
      <c r="M154" s="132" t="str">
        <f t="shared" si="33"/>
        <v>0</v>
      </c>
      <c r="N154" s="132" t="e">
        <f t="shared" si="34"/>
        <v>#DIV/0!</v>
      </c>
      <c r="O154" s="185" t="e">
        <f t="shared" si="35"/>
        <v>#DIV/0!</v>
      </c>
      <c r="P154" s="185" t="e">
        <f t="shared" si="36"/>
        <v>#DIV/0!</v>
      </c>
      <c r="Q154" s="132">
        <f t="shared" si="37"/>
        <v>1897.4916278021733</v>
      </c>
      <c r="R154" s="132">
        <f t="shared" si="48"/>
        <v>2.4800000000000013</v>
      </c>
      <c r="S154" s="164" t="e">
        <f t="shared" si="38"/>
        <v>#DIV/0!</v>
      </c>
      <c r="T154" s="132" t="e">
        <f t="shared" si="39"/>
        <v>#NUM!</v>
      </c>
      <c r="U154" s="138" t="e">
        <f t="shared" si="40"/>
        <v>#NUM!</v>
      </c>
      <c r="V154" s="132" t="e">
        <f t="shared" si="41"/>
        <v>#NUM!</v>
      </c>
      <c r="W154" s="132">
        <f t="shared" si="42"/>
        <v>79.93177459580058</v>
      </c>
      <c r="X154" s="138">
        <f t="shared" si="43"/>
        <v>-7.173640281133998</v>
      </c>
      <c r="Y154" s="128" t="str">
        <f t="shared" si="44"/>
        <v>9844.09529575159-1238.9975170137i</v>
      </c>
      <c r="Z154" s="128" t="e">
        <f t="shared" si="45"/>
        <v>#NUM!</v>
      </c>
      <c r="AA154" s="128" t="e">
        <f t="shared" si="49"/>
        <v>#NUM!</v>
      </c>
      <c r="AB154" s="128" t="e">
        <f t="shared" si="50"/>
        <v>#NUM!</v>
      </c>
      <c r="AC154" s="128" t="e">
        <f t="shared" si="51"/>
        <v>#NUM!</v>
      </c>
      <c r="AD154" s="128" t="e">
        <f t="shared" si="52"/>
        <v>#NUM!</v>
      </c>
      <c r="AE154" s="128" t="e">
        <f t="shared" si="53"/>
        <v>#NUM!</v>
      </c>
      <c r="AF154" s="130"/>
      <c r="AG154" s="130"/>
      <c r="AH154" s="130"/>
      <c r="AI154" s="130"/>
      <c r="AJ154" s="130"/>
      <c r="AK154" s="130"/>
      <c r="AL154" s="130"/>
      <c r="AM154" s="130"/>
      <c r="AN154" s="130"/>
      <c r="AO154" s="130"/>
      <c r="AP154" s="130"/>
      <c r="AQ154" s="130"/>
      <c r="AR154" s="130"/>
      <c r="AS154" s="130"/>
    </row>
    <row r="155" spans="1:45" s="166" customFormat="1" ht="12.75">
      <c r="A155" s="132" t="e">
        <f t="shared" si="46"/>
        <v>#DIV/0!</v>
      </c>
      <c r="B155" s="132">
        <f t="shared" si="47"/>
        <v>2.5000000000000018</v>
      </c>
      <c r="C155" s="138">
        <f t="shared" si="27"/>
        <v>316.2277660168391</v>
      </c>
      <c r="D155" s="137" t="e">
        <f t="shared" si="28"/>
        <v>#DIV/0!</v>
      </c>
      <c r="E155" s="132" t="e">
        <f t="shared" si="29"/>
        <v>#DIV/0!</v>
      </c>
      <c r="G155" s="138"/>
      <c r="H155" s="184" t="str">
        <f t="shared" si="30"/>
        <v>1E+47-5.03292121044868E+52i</v>
      </c>
      <c r="I155" s="132" t="str">
        <f>IMSUM(IMDIV(1,COMPLEX(0,Q155*MLCC*10^-6)),MLCC_ESR*10^-3)</f>
        <v>1E+47-5.03292121044868E+52i</v>
      </c>
      <c r="J155" s="132" t="str">
        <f t="shared" si="31"/>
        <v>5.00000000000004E+46-2.51646060522433E+52i</v>
      </c>
      <c r="K155" s="132"/>
      <c r="L155" s="132" t="e">
        <f t="shared" si="32"/>
        <v>#DIV/0!</v>
      </c>
      <c r="M155" s="132" t="str">
        <f t="shared" si="33"/>
        <v>0</v>
      </c>
      <c r="N155" s="132" t="e">
        <f t="shared" si="34"/>
        <v>#DIV/0!</v>
      </c>
      <c r="O155" s="185" t="e">
        <f t="shared" si="35"/>
        <v>#DIV/0!</v>
      </c>
      <c r="P155" s="185" t="e">
        <f t="shared" si="36"/>
        <v>#DIV/0!</v>
      </c>
      <c r="Q155" s="132">
        <f t="shared" si="37"/>
        <v>1986.9176531592275</v>
      </c>
      <c r="R155" s="132">
        <f t="shared" si="48"/>
        <v>2.5000000000000013</v>
      </c>
      <c r="S155" s="164" t="e">
        <f t="shared" si="38"/>
        <v>#DIV/0!</v>
      </c>
      <c r="T155" s="132" t="e">
        <f t="shared" si="39"/>
        <v>#NUM!</v>
      </c>
      <c r="U155" s="138" t="e">
        <f t="shared" si="40"/>
        <v>#NUM!</v>
      </c>
      <c r="V155" s="132" t="e">
        <f t="shared" si="41"/>
        <v>#NUM!</v>
      </c>
      <c r="W155" s="132">
        <f t="shared" si="42"/>
        <v>79.92524866970827</v>
      </c>
      <c r="X155" s="138">
        <f t="shared" si="43"/>
        <v>-7.507954635890934</v>
      </c>
      <c r="Y155" s="128" t="str">
        <f t="shared" si="44"/>
        <v>9829.31057037547-1295.44161241384i</v>
      </c>
      <c r="Z155" s="128" t="e">
        <f t="shared" si="45"/>
        <v>#NUM!</v>
      </c>
      <c r="AA155" s="128" t="e">
        <f t="shared" si="49"/>
        <v>#NUM!</v>
      </c>
      <c r="AB155" s="128" t="e">
        <f t="shared" si="50"/>
        <v>#NUM!</v>
      </c>
      <c r="AC155" s="128" t="e">
        <f t="shared" si="51"/>
        <v>#NUM!</v>
      </c>
      <c r="AD155" s="128" t="e">
        <f t="shared" si="52"/>
        <v>#NUM!</v>
      </c>
      <c r="AE155" s="128" t="e">
        <f t="shared" si="53"/>
        <v>#NUM!</v>
      </c>
      <c r="AF155" s="130"/>
      <c r="AG155" s="130"/>
      <c r="AH155" s="130"/>
      <c r="AI155" s="130"/>
      <c r="AJ155" s="130"/>
      <c r="AK155" s="130"/>
      <c r="AL155" s="130"/>
      <c r="AM155" s="130"/>
      <c r="AN155" s="130"/>
      <c r="AO155" s="130"/>
      <c r="AP155" s="130"/>
      <c r="AQ155" s="130"/>
      <c r="AR155" s="130"/>
      <c r="AS155" s="130"/>
    </row>
    <row r="156" spans="1:45" s="166" customFormat="1" ht="12.75">
      <c r="A156" s="132" t="e">
        <f t="shared" si="46"/>
        <v>#DIV/0!</v>
      </c>
      <c r="B156" s="132">
        <f t="shared" si="47"/>
        <v>2.5200000000000014</v>
      </c>
      <c r="C156" s="138">
        <f t="shared" si="27"/>
        <v>331.1311214825922</v>
      </c>
      <c r="D156" s="137" t="e">
        <f t="shared" si="28"/>
        <v>#DIV/0!</v>
      </c>
      <c r="E156" s="132" t="e">
        <f t="shared" si="29"/>
        <v>#DIV/0!</v>
      </c>
      <c r="G156" s="138"/>
      <c r="H156" s="184" t="str">
        <f t="shared" si="30"/>
        <v>1E+47-4.80640244200853E+52i</v>
      </c>
      <c r="I156" s="132" t="str">
        <f>IMSUM(IMDIV(1,COMPLEX(0,Q156*MLCC*10^-6)),MLCC_ESR*10^-3)</f>
        <v>1E+47-4.80640244200853E+52i</v>
      </c>
      <c r="J156" s="132" t="str">
        <f t="shared" si="31"/>
        <v>4.99999999999999E+46-2.40320122100427E+52i</v>
      </c>
      <c r="K156" s="132"/>
      <c r="L156" s="132" t="e">
        <f t="shared" si="32"/>
        <v>#DIV/0!</v>
      </c>
      <c r="M156" s="132" t="str">
        <f t="shared" si="33"/>
        <v>0</v>
      </c>
      <c r="N156" s="132" t="e">
        <f t="shared" si="34"/>
        <v>#DIV/0!</v>
      </c>
      <c r="O156" s="185" t="e">
        <f t="shared" si="35"/>
        <v>#DIV/0!</v>
      </c>
      <c r="P156" s="185" t="e">
        <f t="shared" si="36"/>
        <v>#DIV/0!</v>
      </c>
      <c r="Q156" s="132">
        <f t="shared" si="37"/>
        <v>2080.558197249322</v>
      </c>
      <c r="R156" s="132">
        <f t="shared" si="48"/>
        <v>2.5200000000000014</v>
      </c>
      <c r="S156" s="164" t="e">
        <f t="shared" si="38"/>
        <v>#DIV/0!</v>
      </c>
      <c r="T156" s="132" t="e">
        <f t="shared" si="39"/>
        <v>#NUM!</v>
      </c>
      <c r="U156" s="138" t="e">
        <f t="shared" si="40"/>
        <v>#NUM!</v>
      </c>
      <c r="V156" s="132" t="e">
        <f t="shared" si="41"/>
        <v>#NUM!</v>
      </c>
      <c r="W156" s="132">
        <f t="shared" si="42"/>
        <v>79.91810438698819</v>
      </c>
      <c r="X156" s="138">
        <f t="shared" si="43"/>
        <v>-7.857474538137241</v>
      </c>
      <c r="Y156" s="128" t="str">
        <f t="shared" si="44"/>
        <v>9813.15038861409-1354.26425339575i</v>
      </c>
      <c r="Z156" s="128" t="e">
        <f t="shared" si="45"/>
        <v>#NUM!</v>
      </c>
      <c r="AA156" s="128" t="e">
        <f t="shared" si="49"/>
        <v>#NUM!</v>
      </c>
      <c r="AB156" s="128" t="e">
        <f t="shared" si="50"/>
        <v>#NUM!</v>
      </c>
      <c r="AC156" s="128" t="e">
        <f t="shared" si="51"/>
        <v>#NUM!</v>
      </c>
      <c r="AD156" s="128" t="e">
        <f t="shared" si="52"/>
        <v>#NUM!</v>
      </c>
      <c r="AE156" s="128" t="e">
        <f t="shared" si="53"/>
        <v>#NUM!</v>
      </c>
      <c r="AF156" s="130"/>
      <c r="AG156" s="130"/>
      <c r="AH156" s="130"/>
      <c r="AI156" s="130"/>
      <c r="AJ156" s="130"/>
      <c r="AK156" s="130"/>
      <c r="AL156" s="130"/>
      <c r="AM156" s="130"/>
      <c r="AN156" s="130"/>
      <c r="AO156" s="130"/>
      <c r="AP156" s="130"/>
      <c r="AQ156" s="130"/>
      <c r="AR156" s="130"/>
      <c r="AS156" s="130"/>
    </row>
    <row r="157" spans="1:45" s="166" customFormat="1" ht="12.75">
      <c r="A157" s="132" t="e">
        <f t="shared" si="46"/>
        <v>#DIV/0!</v>
      </c>
      <c r="B157" s="132">
        <f t="shared" si="47"/>
        <v>2.5400000000000014</v>
      </c>
      <c r="C157" s="138">
        <f t="shared" si="27"/>
        <v>346.7368504525328</v>
      </c>
      <c r="D157" s="137" t="e">
        <f t="shared" si="28"/>
        <v>#DIV/0!</v>
      </c>
      <c r="E157" s="132" t="e">
        <f t="shared" si="29"/>
        <v>#DIV/0!</v>
      </c>
      <c r="G157" s="138"/>
      <c r="H157" s="184" t="str">
        <f t="shared" si="30"/>
        <v>1E+47-4.59007869755347E+52i</v>
      </c>
      <c r="I157" s="132" t="str">
        <f>IMSUM(IMDIV(1,COMPLEX(0,Q157*MLCC*10^-6)),MLCC_ESR*10^-3)</f>
        <v>1E+47-4.59007869755347E+52i</v>
      </c>
      <c r="J157" s="132" t="str">
        <f t="shared" si="31"/>
        <v>4.99999999999999E+46-2.29503934877674E+52i</v>
      </c>
      <c r="K157" s="132"/>
      <c r="L157" s="132" t="e">
        <f t="shared" si="32"/>
        <v>#DIV/0!</v>
      </c>
      <c r="M157" s="132" t="str">
        <f t="shared" si="33"/>
        <v>0</v>
      </c>
      <c r="N157" s="132" t="e">
        <f t="shared" si="34"/>
        <v>#DIV/0!</v>
      </c>
      <c r="O157" s="185" t="e">
        <f t="shared" si="35"/>
        <v>#DIV/0!</v>
      </c>
      <c r="P157" s="185" t="e">
        <f t="shared" si="36"/>
        <v>#DIV/0!</v>
      </c>
      <c r="Q157" s="132">
        <f t="shared" si="37"/>
        <v>2178.6118842210794</v>
      </c>
      <c r="R157" s="132">
        <f t="shared" si="48"/>
        <v>2.5400000000000014</v>
      </c>
      <c r="S157" s="164" t="e">
        <f t="shared" si="38"/>
        <v>#DIV/0!</v>
      </c>
      <c r="T157" s="132" t="e">
        <f t="shared" si="39"/>
        <v>#NUM!</v>
      </c>
      <c r="U157" s="138" t="e">
        <f t="shared" si="40"/>
        <v>#NUM!</v>
      </c>
      <c r="V157" s="132" t="e">
        <f t="shared" si="41"/>
        <v>#NUM!</v>
      </c>
      <c r="W157" s="132">
        <f t="shared" si="42"/>
        <v>79.91028432122162</v>
      </c>
      <c r="X157" s="138">
        <f t="shared" si="43"/>
        <v>-8.222837168591312</v>
      </c>
      <c r="Y157" s="128" t="str">
        <f t="shared" si="44"/>
        <v>9795.49205138708-1415.53759623785i</v>
      </c>
      <c r="Z157" s="128" t="e">
        <f t="shared" si="45"/>
        <v>#NUM!</v>
      </c>
      <c r="AA157" s="128" t="e">
        <f t="shared" si="49"/>
        <v>#NUM!</v>
      </c>
      <c r="AB157" s="128" t="e">
        <f t="shared" si="50"/>
        <v>#NUM!</v>
      </c>
      <c r="AC157" s="128" t="e">
        <f t="shared" si="51"/>
        <v>#NUM!</v>
      </c>
      <c r="AD157" s="128" t="e">
        <f t="shared" si="52"/>
        <v>#NUM!</v>
      </c>
      <c r="AE157" s="128" t="e">
        <f t="shared" si="53"/>
        <v>#NUM!</v>
      </c>
      <c r="AF157" s="130"/>
      <c r="AG157" s="130"/>
      <c r="AH157" s="130"/>
      <c r="AI157" s="130"/>
      <c r="AJ157" s="130"/>
      <c r="AK157" s="130"/>
      <c r="AL157" s="130"/>
      <c r="AM157" s="130"/>
      <c r="AN157" s="130"/>
      <c r="AO157" s="130"/>
      <c r="AP157" s="130"/>
      <c r="AQ157" s="130"/>
      <c r="AR157" s="130"/>
      <c r="AS157" s="130"/>
    </row>
    <row r="158" spans="1:45" s="166" customFormat="1" ht="12.75">
      <c r="A158" s="132" t="e">
        <f t="shared" si="46"/>
        <v>#DIV/0!</v>
      </c>
      <c r="B158" s="132">
        <f t="shared" si="47"/>
        <v>2.560000000000002</v>
      </c>
      <c r="C158" s="138">
        <f t="shared" si="27"/>
        <v>363.07805477010277</v>
      </c>
      <c r="D158" s="137" t="e">
        <f t="shared" si="28"/>
        <v>#DIV/0!</v>
      </c>
      <c r="E158" s="132" t="e">
        <f t="shared" si="29"/>
        <v>#DIV/0!</v>
      </c>
      <c r="G158" s="138"/>
      <c r="H158" s="184" t="str">
        <f t="shared" si="30"/>
        <v>1E+47-4.3834911254185E+52i</v>
      </c>
      <c r="I158" s="132" t="str">
        <f>IMSUM(IMDIV(1,COMPLEX(0,Q158*MLCC*10^-6)),MLCC_ESR*10^-3)</f>
        <v>1E+47-4.3834911254185E+52i</v>
      </c>
      <c r="J158" s="132" t="str">
        <f t="shared" si="31"/>
        <v>5.00000000000001E+46-2.19174556270924E+52i</v>
      </c>
      <c r="K158" s="132"/>
      <c r="L158" s="132" t="e">
        <f t="shared" si="32"/>
        <v>#DIV/0!</v>
      </c>
      <c r="M158" s="132" t="str">
        <f t="shared" si="33"/>
        <v>0</v>
      </c>
      <c r="N158" s="132" t="e">
        <f t="shared" si="34"/>
        <v>#DIV/0!</v>
      </c>
      <c r="O158" s="185" t="e">
        <f t="shared" si="35"/>
        <v>#DIV/0!</v>
      </c>
      <c r="P158" s="185" t="e">
        <f t="shared" si="36"/>
        <v>#DIV/0!</v>
      </c>
      <c r="Q158" s="132">
        <f t="shared" si="37"/>
        <v>2281.2866990908547</v>
      </c>
      <c r="R158" s="132">
        <f t="shared" si="48"/>
        <v>2.5600000000000014</v>
      </c>
      <c r="S158" s="164" t="e">
        <f t="shared" si="38"/>
        <v>#DIV/0!</v>
      </c>
      <c r="T158" s="132" t="e">
        <f t="shared" si="39"/>
        <v>#NUM!</v>
      </c>
      <c r="U158" s="138" t="e">
        <f t="shared" si="40"/>
        <v>#NUM!</v>
      </c>
      <c r="V158" s="132" t="e">
        <f t="shared" si="41"/>
        <v>#NUM!</v>
      </c>
      <c r="W158" s="132">
        <f t="shared" si="42"/>
        <v>79.90172594307155</v>
      </c>
      <c r="X158" s="138">
        <f t="shared" si="43"/>
        <v>-8.604698493821441</v>
      </c>
      <c r="Y158" s="128" t="str">
        <f t="shared" si="44"/>
        <v>9776.20295149671-1479.33172416561i</v>
      </c>
      <c r="Z158" s="128" t="e">
        <f t="shared" si="45"/>
        <v>#NUM!</v>
      </c>
      <c r="AA158" s="128" t="e">
        <f t="shared" si="49"/>
        <v>#NUM!</v>
      </c>
      <c r="AB158" s="128" t="e">
        <f t="shared" si="50"/>
        <v>#NUM!</v>
      </c>
      <c r="AC158" s="128" t="e">
        <f t="shared" si="51"/>
        <v>#NUM!</v>
      </c>
      <c r="AD158" s="128" t="e">
        <f t="shared" si="52"/>
        <v>#NUM!</v>
      </c>
      <c r="AE158" s="128" t="e">
        <f t="shared" si="53"/>
        <v>#NUM!</v>
      </c>
      <c r="AF158" s="130"/>
      <c r="AG158" s="130"/>
      <c r="AH158" s="130"/>
      <c r="AI158" s="130"/>
      <c r="AJ158" s="130"/>
      <c r="AK158" s="130"/>
      <c r="AL158" s="130"/>
      <c r="AM158" s="130"/>
      <c r="AN158" s="130"/>
      <c r="AO158" s="130"/>
      <c r="AP158" s="130"/>
      <c r="AQ158" s="130"/>
      <c r="AR158" s="130"/>
      <c r="AS158" s="130"/>
    </row>
    <row r="159" spans="1:45" s="166" customFormat="1" ht="12.75">
      <c r="A159" s="132" t="e">
        <f t="shared" si="46"/>
        <v>#DIV/0!</v>
      </c>
      <c r="B159" s="132">
        <f t="shared" si="47"/>
        <v>2.580000000000002</v>
      </c>
      <c r="C159" s="138">
        <f t="shared" si="27"/>
        <v>380.18939632056265</v>
      </c>
      <c r="D159" s="137" t="e">
        <f t="shared" si="28"/>
        <v>#DIV/0!</v>
      </c>
      <c r="E159" s="132" t="e">
        <f t="shared" si="29"/>
        <v>#DIV/0!</v>
      </c>
      <c r="G159" s="138"/>
      <c r="H159" s="184" t="str">
        <f t="shared" si="30"/>
        <v>1E+47-4.18620152566541E+52i</v>
      </c>
      <c r="I159" s="132" t="str">
        <f>IMSUM(IMDIV(1,COMPLEX(0,Q159*MLCC*10^-6)),MLCC_ESR*10^-3)</f>
        <v>1E+47-4.18620152566541E+52i</v>
      </c>
      <c r="J159" s="132" t="str">
        <f t="shared" si="31"/>
        <v>5E+46-2.0931007628327E+52i</v>
      </c>
      <c r="K159" s="132"/>
      <c r="L159" s="132" t="e">
        <f t="shared" si="32"/>
        <v>#DIV/0!</v>
      </c>
      <c r="M159" s="132" t="str">
        <f t="shared" si="33"/>
        <v>0</v>
      </c>
      <c r="N159" s="132" t="e">
        <f t="shared" si="34"/>
        <v>#DIV/0!</v>
      </c>
      <c r="O159" s="185" t="e">
        <f t="shared" si="35"/>
        <v>#DIV/0!</v>
      </c>
      <c r="P159" s="185" t="e">
        <f t="shared" si="36"/>
        <v>#DIV/0!</v>
      </c>
      <c r="Q159" s="132">
        <f t="shared" si="37"/>
        <v>2388.800428906836</v>
      </c>
      <c r="R159" s="132">
        <f t="shared" si="48"/>
        <v>2.5800000000000014</v>
      </c>
      <c r="S159" s="164" t="e">
        <f t="shared" si="38"/>
        <v>#DIV/0!</v>
      </c>
      <c r="T159" s="132" t="e">
        <f t="shared" si="39"/>
        <v>#NUM!</v>
      </c>
      <c r="U159" s="138" t="e">
        <f t="shared" si="40"/>
        <v>#NUM!</v>
      </c>
      <c r="V159" s="132" t="e">
        <f t="shared" si="41"/>
        <v>#NUM!</v>
      </c>
      <c r="W159" s="132">
        <f t="shared" si="42"/>
        <v>79.89236121216433</v>
      </c>
      <c r="X159" s="138">
        <f t="shared" si="43"/>
        <v>-9.003732616734624</v>
      </c>
      <c r="Y159" s="128" t="str">
        <f t="shared" si="44"/>
        <v>9755.1399794529-1545.71384765026i</v>
      </c>
      <c r="Z159" s="128" t="e">
        <f t="shared" si="45"/>
        <v>#NUM!</v>
      </c>
      <c r="AA159" s="128" t="e">
        <f t="shared" si="49"/>
        <v>#NUM!</v>
      </c>
      <c r="AB159" s="128" t="e">
        <f t="shared" si="50"/>
        <v>#NUM!</v>
      </c>
      <c r="AC159" s="128" t="e">
        <f t="shared" si="51"/>
        <v>#NUM!</v>
      </c>
      <c r="AD159" s="128" t="e">
        <f t="shared" si="52"/>
        <v>#NUM!</v>
      </c>
      <c r="AE159" s="128" t="e">
        <f t="shared" si="53"/>
        <v>#NUM!</v>
      </c>
      <c r="AF159" s="130"/>
      <c r="AG159" s="130"/>
      <c r="AH159" s="130"/>
      <c r="AI159" s="130"/>
      <c r="AJ159" s="130"/>
      <c r="AK159" s="130"/>
      <c r="AL159" s="130"/>
      <c r="AM159" s="130"/>
      <c r="AN159" s="130"/>
      <c r="AO159" s="130"/>
      <c r="AP159" s="130"/>
      <c r="AQ159" s="130"/>
      <c r="AR159" s="130"/>
      <c r="AS159" s="130"/>
    </row>
    <row r="160" spans="1:45" s="166" customFormat="1" ht="12.75">
      <c r="A160" s="132" t="e">
        <f t="shared" si="46"/>
        <v>#DIV/0!</v>
      </c>
      <c r="B160" s="132">
        <f t="shared" si="47"/>
        <v>2.6000000000000014</v>
      </c>
      <c r="C160" s="138">
        <f t="shared" si="27"/>
        <v>398.1071705534987</v>
      </c>
      <c r="D160" s="137" t="e">
        <f t="shared" si="28"/>
        <v>#DIV/0!</v>
      </c>
      <c r="E160" s="132" t="e">
        <f t="shared" si="29"/>
        <v>#DIV/0!</v>
      </c>
      <c r="G160" s="138"/>
      <c r="H160" s="184" t="str">
        <f t="shared" si="30"/>
        <v>1E+47-3.9977914206021E+52i</v>
      </c>
      <c r="I160" s="132" t="str">
        <f>IMSUM(IMDIV(1,COMPLEX(0,Q160*MLCC*10^-6)),MLCC_ESR*10^-3)</f>
        <v>1E+47-3.9977914206021E+52i</v>
      </c>
      <c r="J160" s="132" t="str">
        <f t="shared" si="31"/>
        <v>4.99999999999999E+46-1.99889571030106E+52i</v>
      </c>
      <c r="K160" s="132"/>
      <c r="L160" s="132" t="e">
        <f t="shared" si="32"/>
        <v>#DIV/0!</v>
      </c>
      <c r="M160" s="132" t="str">
        <f t="shared" si="33"/>
        <v>0</v>
      </c>
      <c r="N160" s="132" t="e">
        <f t="shared" si="34"/>
        <v>#DIV/0!</v>
      </c>
      <c r="O160" s="185" t="e">
        <f t="shared" si="35"/>
        <v>#DIV/0!</v>
      </c>
      <c r="P160" s="185" t="e">
        <f t="shared" si="36"/>
        <v>#DIV/0!</v>
      </c>
      <c r="Q160" s="132">
        <f t="shared" si="37"/>
        <v>2501.3811247045805</v>
      </c>
      <c r="R160" s="132">
        <f t="shared" si="48"/>
        <v>2.6000000000000014</v>
      </c>
      <c r="S160" s="164" t="e">
        <f t="shared" si="38"/>
        <v>#DIV/0!</v>
      </c>
      <c r="T160" s="132" t="e">
        <f t="shared" si="39"/>
        <v>#NUM!</v>
      </c>
      <c r="U160" s="138" t="e">
        <f t="shared" si="40"/>
        <v>#NUM!</v>
      </c>
      <c r="V160" s="132" t="e">
        <f t="shared" si="41"/>
        <v>#NUM!</v>
      </c>
      <c r="W160" s="132">
        <f t="shared" si="42"/>
        <v>79.88211614532202</v>
      </c>
      <c r="X160" s="138">
        <f t="shared" si="43"/>
        <v>-9.42063090111588</v>
      </c>
      <c r="Y160" s="128" t="str">
        <f t="shared" si="44"/>
        <v>9732.1489365603-1614.74738906127i</v>
      </c>
      <c r="Z160" s="128" t="e">
        <f t="shared" si="45"/>
        <v>#NUM!</v>
      </c>
      <c r="AA160" s="128" t="e">
        <f t="shared" si="49"/>
        <v>#NUM!</v>
      </c>
      <c r="AB160" s="128" t="e">
        <f t="shared" si="50"/>
        <v>#NUM!</v>
      </c>
      <c r="AC160" s="128" t="e">
        <f t="shared" si="51"/>
        <v>#NUM!</v>
      </c>
      <c r="AD160" s="128" t="e">
        <f t="shared" si="52"/>
        <v>#NUM!</v>
      </c>
      <c r="AE160" s="128" t="e">
        <f t="shared" si="53"/>
        <v>#NUM!</v>
      </c>
      <c r="AF160" s="130"/>
      <c r="AG160" s="130"/>
      <c r="AH160" s="130"/>
      <c r="AI160" s="130"/>
      <c r="AJ160" s="130"/>
      <c r="AK160" s="130"/>
      <c r="AL160" s="130"/>
      <c r="AM160" s="130"/>
      <c r="AN160" s="130"/>
      <c r="AO160" s="130"/>
      <c r="AP160" s="130"/>
      <c r="AQ160" s="130"/>
      <c r="AR160" s="130"/>
      <c r="AS160" s="130"/>
    </row>
    <row r="161" spans="1:45" s="166" customFormat="1" ht="12.75">
      <c r="A161" s="132" t="e">
        <f t="shared" si="46"/>
        <v>#DIV/0!</v>
      </c>
      <c r="B161" s="132">
        <f t="shared" si="47"/>
        <v>2.620000000000002</v>
      </c>
      <c r="C161" s="138">
        <f t="shared" si="27"/>
        <v>416.8693834703372</v>
      </c>
      <c r="D161" s="137" t="e">
        <f t="shared" si="28"/>
        <v>#DIV/0!</v>
      </c>
      <c r="E161" s="132" t="e">
        <f t="shared" si="29"/>
        <v>#DIV/0!</v>
      </c>
      <c r="G161" s="138"/>
      <c r="H161" s="184" t="str">
        <f t="shared" si="30"/>
        <v>1E+47-3.81786116713511E+52i</v>
      </c>
      <c r="I161" s="132" t="str">
        <f>IMSUM(IMDIV(1,COMPLEX(0,Q161*MLCC*10^-6)),MLCC_ESR*10^-3)</f>
        <v>1E+47-3.81786116713511E+52i</v>
      </c>
      <c r="J161" s="132" t="str">
        <f t="shared" si="31"/>
        <v>4.99999999999999E+46-1.90893058356756E+52i</v>
      </c>
      <c r="K161" s="132"/>
      <c r="L161" s="132" t="e">
        <f t="shared" si="32"/>
        <v>#DIV/0!</v>
      </c>
      <c r="M161" s="132" t="str">
        <f t="shared" si="33"/>
        <v>0</v>
      </c>
      <c r="N161" s="132" t="e">
        <f t="shared" si="34"/>
        <v>#DIV/0!</v>
      </c>
      <c r="O161" s="185" t="e">
        <f t="shared" si="35"/>
        <v>#DIV/0!</v>
      </c>
      <c r="P161" s="185" t="e">
        <f t="shared" si="36"/>
        <v>#DIV/0!</v>
      </c>
      <c r="Q161" s="132">
        <f t="shared" si="37"/>
        <v>2619.2675852338352</v>
      </c>
      <c r="R161" s="132">
        <f t="shared" si="48"/>
        <v>2.6200000000000014</v>
      </c>
      <c r="S161" s="164" t="e">
        <f t="shared" si="38"/>
        <v>#DIV/0!</v>
      </c>
      <c r="T161" s="132" t="e">
        <f t="shared" si="39"/>
        <v>#NUM!</v>
      </c>
      <c r="U161" s="138" t="e">
        <f t="shared" si="40"/>
        <v>#NUM!</v>
      </c>
      <c r="V161" s="132" t="e">
        <f t="shared" si="41"/>
        <v>#NUM!</v>
      </c>
      <c r="W161" s="132">
        <f t="shared" si="42"/>
        <v>79.87091036165214</v>
      </c>
      <c r="X161" s="138">
        <f t="shared" si="43"/>
        <v>-9.856100838260314</v>
      </c>
      <c r="Y161" s="128" t="str">
        <f t="shared" si="44"/>
        <v>9707.0639665158-1686.49094064465i</v>
      </c>
      <c r="Z161" s="128" t="e">
        <f t="shared" si="45"/>
        <v>#NUM!</v>
      </c>
      <c r="AA161" s="128" t="e">
        <f t="shared" si="49"/>
        <v>#NUM!</v>
      </c>
      <c r="AB161" s="128" t="e">
        <f t="shared" si="50"/>
        <v>#NUM!</v>
      </c>
      <c r="AC161" s="128" t="e">
        <f t="shared" si="51"/>
        <v>#NUM!</v>
      </c>
      <c r="AD161" s="128" t="e">
        <f t="shared" si="52"/>
        <v>#NUM!</v>
      </c>
      <c r="AE161" s="128" t="e">
        <f t="shared" si="53"/>
        <v>#NUM!</v>
      </c>
      <c r="AF161" s="130"/>
      <c r="AG161" s="130"/>
      <c r="AH161" s="130"/>
      <c r="AI161" s="130"/>
      <c r="AJ161" s="130"/>
      <c r="AK161" s="130"/>
      <c r="AL161" s="130"/>
      <c r="AM161" s="130"/>
      <c r="AN161" s="130"/>
      <c r="AO161" s="130"/>
      <c r="AP161" s="130"/>
      <c r="AQ161" s="130"/>
      <c r="AR161" s="130"/>
      <c r="AS161" s="130"/>
    </row>
    <row r="162" spans="1:45" s="166" customFormat="1" ht="12.75">
      <c r="A162" s="132" t="e">
        <f t="shared" si="46"/>
        <v>#DIV/0!</v>
      </c>
      <c r="B162" s="132">
        <f t="shared" si="47"/>
        <v>2.640000000000002</v>
      </c>
      <c r="C162" s="138">
        <f t="shared" si="27"/>
        <v>436.51583224016775</v>
      </c>
      <c r="D162" s="137" t="e">
        <f t="shared" si="28"/>
        <v>#DIV/0!</v>
      </c>
      <c r="E162" s="132" t="e">
        <f t="shared" si="29"/>
        <v>#DIV/0!</v>
      </c>
      <c r="G162" s="138"/>
      <c r="H162" s="184" t="str">
        <f t="shared" si="30"/>
        <v>1E+47-3.64602910907317E+52i</v>
      </c>
      <c r="I162" s="132" t="str">
        <f>IMSUM(IMDIV(1,COMPLEX(0,Q162*MLCC*10^-6)),MLCC_ESR*10^-3)</f>
        <v>1E+47-3.64602910907317E+52i</v>
      </c>
      <c r="J162" s="132" t="str">
        <f t="shared" si="31"/>
        <v>5E+46-1.82301455453659E+52i</v>
      </c>
      <c r="K162" s="132"/>
      <c r="L162" s="132" t="e">
        <f t="shared" si="32"/>
        <v>#DIV/0!</v>
      </c>
      <c r="M162" s="132" t="str">
        <f t="shared" si="33"/>
        <v>0</v>
      </c>
      <c r="N162" s="132" t="e">
        <f t="shared" si="34"/>
        <v>#DIV/0!</v>
      </c>
      <c r="O162" s="185" t="e">
        <f t="shared" si="35"/>
        <v>#DIV/0!</v>
      </c>
      <c r="P162" s="185" t="e">
        <f t="shared" si="36"/>
        <v>#DIV/0!</v>
      </c>
      <c r="Q162" s="132">
        <f t="shared" si="37"/>
        <v>2742.709863482691</v>
      </c>
      <c r="R162" s="132">
        <f t="shared" si="48"/>
        <v>2.6400000000000015</v>
      </c>
      <c r="S162" s="164" t="e">
        <f t="shared" si="38"/>
        <v>#DIV/0!</v>
      </c>
      <c r="T162" s="132" t="e">
        <f t="shared" si="39"/>
        <v>#NUM!</v>
      </c>
      <c r="U162" s="138" t="e">
        <f t="shared" si="40"/>
        <v>#NUM!</v>
      </c>
      <c r="V162" s="132" t="e">
        <f t="shared" si="41"/>
        <v>#NUM!</v>
      </c>
      <c r="W162" s="132">
        <f t="shared" si="42"/>
        <v>79.85865660550185</v>
      </c>
      <c r="X162" s="138">
        <f t="shared" si="43"/>
        <v>-10.310864620818512</v>
      </c>
      <c r="Y162" s="128" t="str">
        <f t="shared" si="44"/>
        <v>9679.70701927295-1760.99708473097i</v>
      </c>
      <c r="Z162" s="128" t="e">
        <f t="shared" si="45"/>
        <v>#NUM!</v>
      </c>
      <c r="AA162" s="128" t="e">
        <f t="shared" si="49"/>
        <v>#NUM!</v>
      </c>
      <c r="AB162" s="128" t="e">
        <f t="shared" si="50"/>
        <v>#NUM!</v>
      </c>
      <c r="AC162" s="128" t="e">
        <f t="shared" si="51"/>
        <v>#NUM!</v>
      </c>
      <c r="AD162" s="128" t="e">
        <f t="shared" si="52"/>
        <v>#NUM!</v>
      </c>
      <c r="AE162" s="128" t="e">
        <f t="shared" si="53"/>
        <v>#NUM!</v>
      </c>
      <c r="AF162" s="130"/>
      <c r="AG162" s="130"/>
      <c r="AH162" s="130"/>
      <c r="AI162" s="130"/>
      <c r="AJ162" s="130"/>
      <c r="AK162" s="130"/>
      <c r="AL162" s="130"/>
      <c r="AM162" s="130"/>
      <c r="AN162" s="130"/>
      <c r="AO162" s="130"/>
      <c r="AP162" s="130"/>
      <c r="AQ162" s="130"/>
      <c r="AR162" s="130"/>
      <c r="AS162" s="130"/>
    </row>
    <row r="163" spans="1:45" s="166" customFormat="1" ht="12.75">
      <c r="A163" s="132" t="e">
        <f t="shared" si="46"/>
        <v>#DIV/0!</v>
      </c>
      <c r="B163" s="132">
        <f t="shared" si="47"/>
        <v>2.6600000000000015</v>
      </c>
      <c r="C163" s="138">
        <f t="shared" si="27"/>
        <v>457.0881896148768</v>
      </c>
      <c r="D163" s="137" t="e">
        <f t="shared" si="28"/>
        <v>#DIV/0!</v>
      </c>
      <c r="E163" s="132" t="e">
        <f t="shared" si="29"/>
        <v>#DIV/0!</v>
      </c>
      <c r="G163" s="138"/>
      <c r="H163" s="184" t="str">
        <f t="shared" si="30"/>
        <v>1E+47-3.48193076758322E+52i</v>
      </c>
      <c r="I163" s="132" t="str">
        <f>IMSUM(IMDIV(1,COMPLEX(0,Q163*MLCC*10^-6)),MLCC_ESR*10^-3)</f>
        <v>1E+47-3.48193076758322E+52i</v>
      </c>
      <c r="J163" s="132" t="str">
        <f t="shared" si="31"/>
        <v>4.99999999999999E+46-1.74096538379161E+52i</v>
      </c>
      <c r="K163" s="132"/>
      <c r="L163" s="132" t="e">
        <f t="shared" si="32"/>
        <v>#DIV/0!</v>
      </c>
      <c r="M163" s="132" t="str">
        <f t="shared" si="33"/>
        <v>0</v>
      </c>
      <c r="N163" s="132" t="e">
        <f t="shared" si="34"/>
        <v>#DIV/0!</v>
      </c>
      <c r="O163" s="185" t="e">
        <f t="shared" si="35"/>
        <v>#DIV/0!</v>
      </c>
      <c r="P163" s="185" t="e">
        <f t="shared" si="36"/>
        <v>#DIV/0!</v>
      </c>
      <c r="Q163" s="132">
        <f t="shared" si="37"/>
        <v>2871.9697970735106</v>
      </c>
      <c r="R163" s="132">
        <f t="shared" si="48"/>
        <v>2.6600000000000015</v>
      </c>
      <c r="S163" s="164" t="e">
        <f t="shared" si="38"/>
        <v>#DIV/0!</v>
      </c>
      <c r="T163" s="132" t="e">
        <f t="shared" si="39"/>
        <v>#NUM!</v>
      </c>
      <c r="U163" s="138" t="e">
        <f t="shared" si="40"/>
        <v>#NUM!</v>
      </c>
      <c r="V163" s="132" t="e">
        <f t="shared" si="41"/>
        <v>#NUM!</v>
      </c>
      <c r="W163" s="132">
        <f t="shared" si="42"/>
        <v>79.84526024888842</v>
      </c>
      <c r="X163" s="138">
        <f t="shared" si="43"/>
        <v>-10.785657386072637</v>
      </c>
      <c r="Y163" s="128" t="str">
        <f t="shared" si="44"/>
        <v>9649.88736377683-1838.31106531208i</v>
      </c>
      <c r="Z163" s="128" t="e">
        <f t="shared" si="45"/>
        <v>#NUM!</v>
      </c>
      <c r="AA163" s="128" t="e">
        <f t="shared" si="49"/>
        <v>#NUM!</v>
      </c>
      <c r="AB163" s="128" t="e">
        <f t="shared" si="50"/>
        <v>#NUM!</v>
      </c>
      <c r="AC163" s="128" t="e">
        <f t="shared" si="51"/>
        <v>#NUM!</v>
      </c>
      <c r="AD163" s="128" t="e">
        <f t="shared" si="52"/>
        <v>#NUM!</v>
      </c>
      <c r="AE163" s="128" t="e">
        <f t="shared" si="53"/>
        <v>#NUM!</v>
      </c>
      <c r="AF163" s="130"/>
      <c r="AG163" s="130"/>
      <c r="AH163" s="130"/>
      <c r="AI163" s="130"/>
      <c r="AJ163" s="130"/>
      <c r="AK163" s="130"/>
      <c r="AL163" s="130"/>
      <c r="AM163" s="130"/>
      <c r="AN163" s="130"/>
      <c r="AO163" s="130"/>
      <c r="AP163" s="130"/>
      <c r="AQ163" s="130"/>
      <c r="AR163" s="130"/>
      <c r="AS163" s="130"/>
    </row>
    <row r="164" spans="1:45" s="166" customFormat="1" ht="12.75">
      <c r="A164" s="132" t="e">
        <f t="shared" si="46"/>
        <v>#DIV/0!</v>
      </c>
      <c r="B164" s="132">
        <f t="shared" si="47"/>
        <v>2.6800000000000015</v>
      </c>
      <c r="C164" s="138">
        <f t="shared" si="27"/>
        <v>478.6300923226401</v>
      </c>
      <c r="D164" s="137" t="e">
        <f t="shared" si="28"/>
        <v>#DIV/0!</v>
      </c>
      <c r="E164" s="132" t="e">
        <f t="shared" si="29"/>
        <v>#DIV/0!</v>
      </c>
      <c r="G164" s="138"/>
      <c r="H164" s="184" t="str">
        <f t="shared" si="30"/>
        <v>1E+47-3.32521806808191E+52i</v>
      </c>
      <c r="I164" s="132" t="str">
        <f>IMSUM(IMDIV(1,COMPLEX(0,Q164*MLCC*10^-6)),MLCC_ESR*10^-3)</f>
        <v>1E+47-3.32521806808191E+52i</v>
      </c>
      <c r="J164" s="132" t="str">
        <f t="shared" si="31"/>
        <v>5E+46-1.66260903404096E+52i</v>
      </c>
      <c r="K164" s="132"/>
      <c r="L164" s="132" t="e">
        <f t="shared" si="32"/>
        <v>#DIV/0!</v>
      </c>
      <c r="M164" s="132" t="str">
        <f t="shared" si="33"/>
        <v>0</v>
      </c>
      <c r="N164" s="132" t="e">
        <f t="shared" si="34"/>
        <v>#DIV/0!</v>
      </c>
      <c r="O164" s="185" t="e">
        <f t="shared" si="35"/>
        <v>#DIV/0!</v>
      </c>
      <c r="P164" s="185" t="e">
        <f t="shared" si="36"/>
        <v>#DIV/0!</v>
      </c>
      <c r="Q164" s="132">
        <f t="shared" si="37"/>
        <v>3007.321563655621</v>
      </c>
      <c r="R164" s="132">
        <f t="shared" si="48"/>
        <v>2.6800000000000015</v>
      </c>
      <c r="S164" s="164" t="e">
        <f t="shared" si="38"/>
        <v>#DIV/0!</v>
      </c>
      <c r="T164" s="132" t="e">
        <f t="shared" si="39"/>
        <v>#NUM!</v>
      </c>
      <c r="U164" s="138" t="e">
        <f t="shared" si="40"/>
        <v>#NUM!</v>
      </c>
      <c r="V164" s="132" t="e">
        <f t="shared" si="41"/>
        <v>#NUM!</v>
      </c>
      <c r="W164" s="132">
        <f t="shared" si="42"/>
        <v>79.8306187757452</v>
      </c>
      <c r="X164" s="138">
        <f t="shared" si="43"/>
        <v>-11.281225088067275</v>
      </c>
      <c r="Y164" s="128" t="str">
        <f t="shared" si="44"/>
        <v>9617.40116936656-1918.46930075696i</v>
      </c>
      <c r="Z164" s="128" t="e">
        <f t="shared" si="45"/>
        <v>#NUM!</v>
      </c>
      <c r="AA164" s="128" t="e">
        <f t="shared" si="49"/>
        <v>#NUM!</v>
      </c>
      <c r="AB164" s="128" t="e">
        <f t="shared" si="50"/>
        <v>#NUM!</v>
      </c>
      <c r="AC164" s="128" t="e">
        <f t="shared" si="51"/>
        <v>#NUM!</v>
      </c>
      <c r="AD164" s="128" t="e">
        <f t="shared" si="52"/>
        <v>#NUM!</v>
      </c>
      <c r="AE164" s="128" t="e">
        <f t="shared" si="53"/>
        <v>#NUM!</v>
      </c>
      <c r="AF164" s="130"/>
      <c r="AG164" s="130"/>
      <c r="AH164" s="130"/>
      <c r="AI164" s="130"/>
      <c r="AJ164" s="130"/>
      <c r="AK164" s="130"/>
      <c r="AL164" s="130"/>
      <c r="AM164" s="130"/>
      <c r="AN164" s="130"/>
      <c r="AO164" s="130"/>
      <c r="AP164" s="130"/>
      <c r="AQ164" s="130"/>
      <c r="AR164" s="130"/>
      <c r="AS164" s="130"/>
    </row>
    <row r="165" spans="1:45" s="166" customFormat="1" ht="12.75">
      <c r="A165" s="132" t="e">
        <f t="shared" si="46"/>
        <v>#DIV/0!</v>
      </c>
      <c r="B165" s="132">
        <f t="shared" si="47"/>
        <v>2.700000000000002</v>
      </c>
      <c r="C165" s="138">
        <f t="shared" si="27"/>
        <v>501.1872336272745</v>
      </c>
      <c r="D165" s="137" t="e">
        <f t="shared" si="28"/>
        <v>#DIV/0!</v>
      </c>
      <c r="E165" s="132" t="e">
        <f t="shared" si="29"/>
        <v>#DIV/0!</v>
      </c>
      <c r="G165" s="138"/>
      <c r="H165" s="184" t="str">
        <f t="shared" si="30"/>
        <v>1E+47-3.17555860192274E+52i</v>
      </c>
      <c r="I165" s="132" t="str">
        <f>IMSUM(IMDIV(1,COMPLEX(0,Q165*MLCC*10^-6)),MLCC_ESR*10^-3)</f>
        <v>1E+47-3.17555860192274E+52i</v>
      </c>
      <c r="J165" s="132" t="str">
        <f t="shared" si="31"/>
        <v>5E+46-1.58777930096137E+52i</v>
      </c>
      <c r="K165" s="132"/>
      <c r="L165" s="132" t="e">
        <f t="shared" si="32"/>
        <v>#DIV/0!</v>
      </c>
      <c r="M165" s="132" t="str">
        <f t="shared" si="33"/>
        <v>0</v>
      </c>
      <c r="N165" s="132" t="e">
        <f t="shared" si="34"/>
        <v>#DIV/0!</v>
      </c>
      <c r="O165" s="185" t="e">
        <f t="shared" si="35"/>
        <v>#DIV/0!</v>
      </c>
      <c r="P165" s="185" t="e">
        <f t="shared" si="36"/>
        <v>#DIV/0!</v>
      </c>
      <c r="Q165" s="132">
        <f t="shared" si="37"/>
        <v>3149.0522624728737</v>
      </c>
      <c r="R165" s="132">
        <f t="shared" si="48"/>
        <v>2.7000000000000015</v>
      </c>
      <c r="S165" s="164" t="e">
        <f t="shared" si="38"/>
        <v>#DIV/0!</v>
      </c>
      <c r="T165" s="132" t="e">
        <f t="shared" si="39"/>
        <v>#NUM!</v>
      </c>
      <c r="U165" s="138" t="e">
        <f t="shared" si="40"/>
        <v>#NUM!</v>
      </c>
      <c r="V165" s="132" t="e">
        <f t="shared" si="41"/>
        <v>#NUM!</v>
      </c>
      <c r="W165" s="132">
        <f t="shared" si="42"/>
        <v>79.81462125118315</v>
      </c>
      <c r="X165" s="138">
        <f t="shared" si="43"/>
        <v>-11.79832195545813</v>
      </c>
      <c r="Y165" s="128" t="str">
        <f t="shared" si="44"/>
        <v>9582.03117917469-2001.49772857439i</v>
      </c>
      <c r="Z165" s="128" t="e">
        <f t="shared" si="45"/>
        <v>#NUM!</v>
      </c>
      <c r="AA165" s="128" t="e">
        <f t="shared" si="49"/>
        <v>#NUM!</v>
      </c>
      <c r="AB165" s="128" t="e">
        <f t="shared" si="50"/>
        <v>#NUM!</v>
      </c>
      <c r="AC165" s="128" t="e">
        <f t="shared" si="51"/>
        <v>#NUM!</v>
      </c>
      <c r="AD165" s="128" t="e">
        <f t="shared" si="52"/>
        <v>#NUM!</v>
      </c>
      <c r="AE165" s="128" t="e">
        <f t="shared" si="53"/>
        <v>#NUM!</v>
      </c>
      <c r="AF165" s="130"/>
      <c r="AG165" s="130"/>
      <c r="AH165" s="130"/>
      <c r="AI165" s="130"/>
      <c r="AJ165" s="130"/>
      <c r="AK165" s="130"/>
      <c r="AL165" s="130"/>
      <c r="AM165" s="130"/>
      <c r="AN165" s="130"/>
      <c r="AO165" s="130"/>
      <c r="AP165" s="130"/>
      <c r="AQ165" s="130"/>
      <c r="AR165" s="130"/>
      <c r="AS165" s="130"/>
    </row>
    <row r="166" spans="1:45" s="166" customFormat="1" ht="12.75">
      <c r="A166" s="132" t="e">
        <f t="shared" si="46"/>
        <v>#DIV/0!</v>
      </c>
      <c r="B166" s="132">
        <f t="shared" si="47"/>
        <v>2.720000000000002</v>
      </c>
      <c r="C166" s="138">
        <f t="shared" si="27"/>
        <v>524.8074602497749</v>
      </c>
      <c r="D166" s="137" t="e">
        <f t="shared" si="28"/>
        <v>#DIV/0!</v>
      </c>
      <c r="E166" s="132" t="e">
        <f t="shared" si="29"/>
        <v>#DIV/0!</v>
      </c>
      <c r="G166" s="138"/>
      <c r="H166" s="184" t="str">
        <f t="shared" si="30"/>
        <v>1E+47-3.03263492131281E+52i</v>
      </c>
      <c r="I166" s="132" t="str">
        <f>IMSUM(IMDIV(1,COMPLEX(0,Q166*MLCC*10^-6)),MLCC_ESR*10^-3)</f>
        <v>1E+47-3.03263492131281E+52i</v>
      </c>
      <c r="J166" s="132" t="str">
        <f t="shared" si="31"/>
        <v>5E+46-1.5163174606564E+52i</v>
      </c>
      <c r="K166" s="132"/>
      <c r="L166" s="132" t="e">
        <f t="shared" si="32"/>
        <v>#DIV/0!</v>
      </c>
      <c r="M166" s="132" t="str">
        <f t="shared" si="33"/>
        <v>0</v>
      </c>
      <c r="N166" s="132" t="e">
        <f t="shared" si="34"/>
        <v>#DIV/0!</v>
      </c>
      <c r="O166" s="185" t="e">
        <f t="shared" si="35"/>
        <v>#DIV/0!</v>
      </c>
      <c r="P166" s="185" t="e">
        <f t="shared" si="36"/>
        <v>#DIV/0!</v>
      </c>
      <c r="Q166" s="132">
        <f t="shared" si="37"/>
        <v>3297.46252333962</v>
      </c>
      <c r="R166" s="132">
        <f t="shared" si="48"/>
        <v>2.7200000000000015</v>
      </c>
      <c r="S166" s="164" t="e">
        <f t="shared" si="38"/>
        <v>#DIV/0!</v>
      </c>
      <c r="T166" s="132" t="e">
        <f t="shared" si="39"/>
        <v>#NUM!</v>
      </c>
      <c r="U166" s="138" t="e">
        <f t="shared" si="40"/>
        <v>#NUM!</v>
      </c>
      <c r="V166" s="132" t="e">
        <f t="shared" si="41"/>
        <v>#NUM!</v>
      </c>
      <c r="W166" s="132">
        <f t="shared" si="42"/>
        <v>79.79714777997727</v>
      </c>
      <c r="X166" s="138">
        <f t="shared" si="43"/>
        <v>-12.337707489763757</v>
      </c>
      <c r="Y166" s="128" t="str">
        <f t="shared" si="44"/>
        <v>9543.54650269661-2087.40997489874i</v>
      </c>
      <c r="Z166" s="128" t="e">
        <f t="shared" si="45"/>
        <v>#NUM!</v>
      </c>
      <c r="AA166" s="128" t="e">
        <f t="shared" si="49"/>
        <v>#NUM!</v>
      </c>
      <c r="AB166" s="128" t="e">
        <f t="shared" si="50"/>
        <v>#NUM!</v>
      </c>
      <c r="AC166" s="128" t="e">
        <f t="shared" si="51"/>
        <v>#NUM!</v>
      </c>
      <c r="AD166" s="128" t="e">
        <f t="shared" si="52"/>
        <v>#NUM!</v>
      </c>
      <c r="AE166" s="128" t="e">
        <f t="shared" si="53"/>
        <v>#NUM!</v>
      </c>
      <c r="AF166" s="130"/>
      <c r="AG166" s="130"/>
      <c r="AH166" s="130"/>
      <c r="AI166" s="130"/>
      <c r="AJ166" s="130"/>
      <c r="AK166" s="130"/>
      <c r="AL166" s="130"/>
      <c r="AM166" s="130"/>
      <c r="AN166" s="130"/>
      <c r="AO166" s="130"/>
      <c r="AP166" s="130"/>
      <c r="AQ166" s="130"/>
      <c r="AR166" s="130"/>
      <c r="AS166" s="130"/>
    </row>
    <row r="167" spans="1:45" s="166" customFormat="1" ht="12.75">
      <c r="A167" s="132" t="e">
        <f t="shared" si="46"/>
        <v>#DIV/0!</v>
      </c>
      <c r="B167" s="132">
        <f t="shared" si="47"/>
        <v>2.7400000000000015</v>
      </c>
      <c r="C167" s="138">
        <f t="shared" si="27"/>
        <v>549.5408738576267</v>
      </c>
      <c r="D167" s="137" t="e">
        <f t="shared" si="28"/>
        <v>#DIV/0!</v>
      </c>
      <c r="E167" s="132" t="e">
        <f t="shared" si="29"/>
        <v>#DIV/0!</v>
      </c>
      <c r="G167" s="138"/>
      <c r="H167" s="184" t="str">
        <f t="shared" si="30"/>
        <v>1E+47-2.89614386596344E+52i</v>
      </c>
      <c r="I167" s="132" t="str">
        <f>IMSUM(IMDIV(1,COMPLEX(0,Q167*MLCC*10^-6)),MLCC_ESR*10^-3)</f>
        <v>1E+47-2.89614386596344E+52i</v>
      </c>
      <c r="J167" s="132" t="str">
        <f t="shared" si="31"/>
        <v>5E+46-1.44807193298172E+52i</v>
      </c>
      <c r="K167" s="132"/>
      <c r="L167" s="132" t="e">
        <f t="shared" si="32"/>
        <v>#DIV/0!</v>
      </c>
      <c r="M167" s="132" t="str">
        <f t="shared" si="33"/>
        <v>0</v>
      </c>
      <c r="N167" s="132" t="e">
        <f t="shared" si="34"/>
        <v>#DIV/0!</v>
      </c>
      <c r="O167" s="185" t="e">
        <f t="shared" si="35"/>
        <v>#DIV/0!</v>
      </c>
      <c r="P167" s="185" t="e">
        <f t="shared" si="36"/>
        <v>#DIV/0!</v>
      </c>
      <c r="Q167" s="132">
        <f t="shared" si="37"/>
        <v>3452.8671443168705</v>
      </c>
      <c r="R167" s="132">
        <f t="shared" si="48"/>
        <v>2.7400000000000015</v>
      </c>
      <c r="S167" s="164" t="e">
        <f t="shared" si="38"/>
        <v>#DIV/0!</v>
      </c>
      <c r="T167" s="132" t="e">
        <f t="shared" si="39"/>
        <v>#NUM!</v>
      </c>
      <c r="U167" s="138" t="e">
        <f t="shared" si="40"/>
        <v>#NUM!</v>
      </c>
      <c r="V167" s="132" t="e">
        <f t="shared" si="41"/>
        <v>#NUM!</v>
      </c>
      <c r="W167" s="132">
        <f t="shared" si="42"/>
        <v>79.77806895965433</v>
      </c>
      <c r="X167" s="138">
        <f t="shared" si="43"/>
        <v>-12.90014295708725</v>
      </c>
      <c r="Y167" s="128" t="str">
        <f t="shared" si="44"/>
        <v>9501.70255880535-2176.20534391434i</v>
      </c>
      <c r="Z167" s="128" t="e">
        <f t="shared" si="45"/>
        <v>#NUM!</v>
      </c>
      <c r="AA167" s="128" t="e">
        <f t="shared" si="49"/>
        <v>#NUM!</v>
      </c>
      <c r="AB167" s="128" t="e">
        <f t="shared" si="50"/>
        <v>#NUM!</v>
      </c>
      <c r="AC167" s="128" t="e">
        <f t="shared" si="51"/>
        <v>#NUM!</v>
      </c>
      <c r="AD167" s="128" t="e">
        <f t="shared" si="52"/>
        <v>#NUM!</v>
      </c>
      <c r="AE167" s="128" t="e">
        <f t="shared" si="53"/>
        <v>#NUM!</v>
      </c>
      <c r="AF167" s="130"/>
      <c r="AG167" s="130"/>
      <c r="AH167" s="130"/>
      <c r="AI167" s="130"/>
      <c r="AJ167" s="130"/>
      <c r="AK167" s="130"/>
      <c r="AL167" s="130"/>
      <c r="AM167" s="130"/>
      <c r="AN167" s="130"/>
      <c r="AO167" s="130"/>
      <c r="AP167" s="130"/>
      <c r="AQ167" s="130"/>
      <c r="AR167" s="130"/>
      <c r="AS167" s="130"/>
    </row>
    <row r="168" spans="1:45" s="166" customFormat="1" ht="12.75">
      <c r="A168" s="132" t="e">
        <f t="shared" si="46"/>
        <v>#DIV/0!</v>
      </c>
      <c r="B168" s="132">
        <f t="shared" si="47"/>
        <v>2.7600000000000016</v>
      </c>
      <c r="C168" s="138">
        <f t="shared" si="27"/>
        <v>575.4399373371591</v>
      </c>
      <c r="D168" s="137" t="e">
        <f t="shared" si="28"/>
        <v>#DIV/0!</v>
      </c>
      <c r="E168" s="132" t="e">
        <f t="shared" si="29"/>
        <v>#DIV/0!</v>
      </c>
      <c r="G168" s="138"/>
      <c r="H168" s="184" t="str">
        <f t="shared" si="30"/>
        <v>1E+47-2.76579592004654E+52i</v>
      </c>
      <c r="I168" s="132" t="str">
        <f>IMSUM(IMDIV(1,COMPLEX(0,Q168*MLCC*10^-6)),MLCC_ESR*10^-3)</f>
        <v>1E+47-2.76579592004654E+52i</v>
      </c>
      <c r="J168" s="132" t="str">
        <f t="shared" si="31"/>
        <v>5E+46-1.38289796002327E+52i</v>
      </c>
      <c r="K168" s="132"/>
      <c r="L168" s="132" t="e">
        <f t="shared" si="32"/>
        <v>#DIV/0!</v>
      </c>
      <c r="M168" s="132" t="str">
        <f t="shared" si="33"/>
        <v>0</v>
      </c>
      <c r="N168" s="132" t="e">
        <f t="shared" si="34"/>
        <v>#DIV/0!</v>
      </c>
      <c r="O168" s="185" t="e">
        <f t="shared" si="35"/>
        <v>#DIV/0!</v>
      </c>
      <c r="P168" s="185" t="e">
        <f t="shared" si="36"/>
        <v>#DIV/0!</v>
      </c>
      <c r="Q168" s="132">
        <f t="shared" si="37"/>
        <v>3615.59575944118</v>
      </c>
      <c r="R168" s="132">
        <f t="shared" si="48"/>
        <v>2.7600000000000016</v>
      </c>
      <c r="S168" s="164" t="e">
        <f t="shared" si="38"/>
        <v>#DIV/0!</v>
      </c>
      <c r="T168" s="132" t="e">
        <f t="shared" si="39"/>
        <v>#NUM!</v>
      </c>
      <c r="U168" s="138" t="e">
        <f t="shared" si="40"/>
        <v>#NUM!</v>
      </c>
      <c r="V168" s="132" t="e">
        <f t="shared" si="41"/>
        <v>#NUM!</v>
      </c>
      <c r="W168" s="132">
        <f t="shared" si="42"/>
        <v>79.75724533489547</v>
      </c>
      <c r="X168" s="138">
        <f t="shared" si="43"/>
        <v>-13.48638732554887</v>
      </c>
      <c r="Y168" s="128" t="str">
        <f t="shared" si="44"/>
        <v>9456.24120476326-2267.86662589962i</v>
      </c>
      <c r="Z168" s="128" t="e">
        <f t="shared" si="45"/>
        <v>#NUM!</v>
      </c>
      <c r="AA168" s="128" t="e">
        <f t="shared" si="49"/>
        <v>#NUM!</v>
      </c>
      <c r="AB168" s="128" t="e">
        <f t="shared" si="50"/>
        <v>#NUM!</v>
      </c>
      <c r="AC168" s="128" t="e">
        <f t="shared" si="51"/>
        <v>#NUM!</v>
      </c>
      <c r="AD168" s="128" t="e">
        <f t="shared" si="52"/>
        <v>#NUM!</v>
      </c>
      <c r="AE168" s="128" t="e">
        <f t="shared" si="53"/>
        <v>#NUM!</v>
      </c>
      <c r="AF168" s="130"/>
      <c r="AG168" s="130"/>
      <c r="AH168" s="130"/>
      <c r="AI168" s="130"/>
      <c r="AJ168" s="130"/>
      <c r="AK168" s="130"/>
      <c r="AL168" s="130"/>
      <c r="AM168" s="130"/>
      <c r="AN168" s="130"/>
      <c r="AO168" s="130"/>
      <c r="AP168" s="130"/>
      <c r="AQ168" s="130"/>
      <c r="AR168" s="130"/>
      <c r="AS168" s="130"/>
    </row>
    <row r="169" spans="1:45" s="166" customFormat="1" ht="12.75">
      <c r="A169" s="132" t="e">
        <f t="shared" si="46"/>
        <v>#DIV/0!</v>
      </c>
      <c r="B169" s="132">
        <f t="shared" si="47"/>
        <v>2.780000000000002</v>
      </c>
      <c r="C169" s="138">
        <f t="shared" si="27"/>
        <v>602.5595860743605</v>
      </c>
      <c r="D169" s="137" t="e">
        <f t="shared" si="28"/>
        <v>#DIV/0!</v>
      </c>
      <c r="E169" s="132" t="e">
        <f t="shared" si="29"/>
        <v>#DIV/0!</v>
      </c>
      <c r="G169" s="138"/>
      <c r="H169" s="184" t="str">
        <f t="shared" si="30"/>
        <v>1E+47-2.64131459809279E+52i</v>
      </c>
      <c r="I169" s="132" t="str">
        <f>IMSUM(IMDIV(1,COMPLEX(0,Q169*MLCC*10^-6)),MLCC_ESR*10^-3)</f>
        <v>1E+47-2.64131459809279E+52i</v>
      </c>
      <c r="J169" s="132" t="str">
        <f t="shared" si="31"/>
        <v>5E+46-1.3206572990464E+52i</v>
      </c>
      <c r="K169" s="132"/>
      <c r="L169" s="132" t="e">
        <f t="shared" si="32"/>
        <v>#DIV/0!</v>
      </c>
      <c r="M169" s="132" t="str">
        <f t="shared" si="33"/>
        <v>0</v>
      </c>
      <c r="N169" s="132" t="e">
        <f t="shared" si="34"/>
        <v>#DIV/0!</v>
      </c>
      <c r="O169" s="185" t="e">
        <f t="shared" si="35"/>
        <v>#DIV/0!</v>
      </c>
      <c r="P169" s="185" t="e">
        <f t="shared" si="36"/>
        <v>#DIV/0!</v>
      </c>
      <c r="Q169" s="132">
        <f t="shared" si="37"/>
        <v>3785.993537922635</v>
      </c>
      <c r="R169" s="132">
        <f t="shared" si="48"/>
        <v>2.7800000000000016</v>
      </c>
      <c r="S169" s="164" t="e">
        <f t="shared" si="38"/>
        <v>#DIV/0!</v>
      </c>
      <c r="T169" s="132" t="e">
        <f t="shared" si="39"/>
        <v>#NUM!</v>
      </c>
      <c r="U169" s="138" t="e">
        <f t="shared" si="40"/>
        <v>#NUM!</v>
      </c>
      <c r="V169" s="132" t="e">
        <f t="shared" si="41"/>
        <v>#NUM!</v>
      </c>
      <c r="W169" s="132">
        <f t="shared" si="42"/>
        <v>79.73452686147401</v>
      </c>
      <c r="X169" s="138">
        <f t="shared" si="43"/>
        <v>-14.09719260089663</v>
      </c>
      <c r="Y169" s="128" t="str">
        <f t="shared" si="44"/>
        <v>9406.89109110195-2362.35772712596i</v>
      </c>
      <c r="Z169" s="128" t="e">
        <f t="shared" si="45"/>
        <v>#NUM!</v>
      </c>
      <c r="AA169" s="128" t="e">
        <f t="shared" si="49"/>
        <v>#NUM!</v>
      </c>
      <c r="AB169" s="128" t="e">
        <f t="shared" si="50"/>
        <v>#NUM!</v>
      </c>
      <c r="AC169" s="128" t="e">
        <f t="shared" si="51"/>
        <v>#NUM!</v>
      </c>
      <c r="AD169" s="128" t="e">
        <f t="shared" si="52"/>
        <v>#NUM!</v>
      </c>
      <c r="AE169" s="128" t="e">
        <f t="shared" si="53"/>
        <v>#NUM!</v>
      </c>
      <c r="AF169" s="130"/>
      <c r="AG169" s="130"/>
      <c r="AH169" s="130"/>
      <c r="AI169" s="130"/>
      <c r="AJ169" s="130"/>
      <c r="AK169" s="130"/>
      <c r="AL169" s="130"/>
      <c r="AM169" s="130"/>
      <c r="AN169" s="130"/>
      <c r="AO169" s="130"/>
      <c r="AP169" s="130"/>
      <c r="AQ169" s="130"/>
      <c r="AR169" s="130"/>
      <c r="AS169" s="130"/>
    </row>
    <row r="170" spans="1:45" s="166" customFormat="1" ht="12.75">
      <c r="A170" s="132" t="e">
        <f t="shared" si="46"/>
        <v>#DIV/0!</v>
      </c>
      <c r="B170" s="132">
        <f t="shared" si="47"/>
        <v>2.800000000000002</v>
      </c>
      <c r="C170" s="138">
        <f t="shared" si="27"/>
        <v>630.957344480196</v>
      </c>
      <c r="D170" s="137" t="e">
        <f t="shared" si="28"/>
        <v>#DIV/0!</v>
      </c>
      <c r="E170" s="132" t="e">
        <f t="shared" si="29"/>
        <v>#DIV/0!</v>
      </c>
      <c r="G170" s="138"/>
      <c r="H170" s="184" t="str">
        <f t="shared" si="30"/>
        <v>1E+47-2.5224358585288E+52i</v>
      </c>
      <c r="I170" s="132" t="str">
        <f>IMSUM(IMDIV(1,COMPLEX(0,Q170*MLCC*10^-6)),MLCC_ESR*10^-3)</f>
        <v>1E+47-2.5224358585288E+52i</v>
      </c>
      <c r="J170" s="132" t="str">
        <f t="shared" si="31"/>
        <v>5E+46-1.2612179292644E+52i</v>
      </c>
      <c r="K170" s="132"/>
      <c r="L170" s="132" t="e">
        <f t="shared" si="32"/>
        <v>#DIV/0!</v>
      </c>
      <c r="M170" s="132" t="str">
        <f t="shared" si="33"/>
        <v>0</v>
      </c>
      <c r="N170" s="132" t="e">
        <f t="shared" si="34"/>
        <v>#DIV/0!</v>
      </c>
      <c r="O170" s="185" t="e">
        <f t="shared" si="35"/>
        <v>#DIV/0!</v>
      </c>
      <c r="P170" s="185" t="e">
        <f t="shared" si="36"/>
        <v>#DIV/0!</v>
      </c>
      <c r="Q170" s="132">
        <f t="shared" si="37"/>
        <v>3964.421916295016</v>
      </c>
      <c r="R170" s="132">
        <f t="shared" si="48"/>
        <v>2.8000000000000016</v>
      </c>
      <c r="S170" s="164" t="e">
        <f t="shared" si="38"/>
        <v>#DIV/0!</v>
      </c>
      <c r="T170" s="132" t="e">
        <f t="shared" si="39"/>
        <v>#NUM!</v>
      </c>
      <c r="U170" s="138" t="e">
        <f t="shared" si="40"/>
        <v>#NUM!</v>
      </c>
      <c r="V170" s="132" t="e">
        <f t="shared" si="41"/>
        <v>#NUM!</v>
      </c>
      <c r="W170" s="132">
        <f t="shared" si="42"/>
        <v>79.70975238962897</v>
      </c>
      <c r="X170" s="138">
        <f t="shared" si="43"/>
        <v>-14.733298514354681</v>
      </c>
      <c r="Y170" s="128" t="str">
        <f t="shared" si="44"/>
        <v>9353.36828642877-2459.62113065463i</v>
      </c>
      <c r="Z170" s="128" t="e">
        <f t="shared" si="45"/>
        <v>#NUM!</v>
      </c>
      <c r="AA170" s="128" t="e">
        <f t="shared" si="49"/>
        <v>#NUM!</v>
      </c>
      <c r="AB170" s="128" t="e">
        <f t="shared" si="50"/>
        <v>#NUM!</v>
      </c>
      <c r="AC170" s="128" t="e">
        <f t="shared" si="51"/>
        <v>#NUM!</v>
      </c>
      <c r="AD170" s="128" t="e">
        <f t="shared" si="52"/>
        <v>#NUM!</v>
      </c>
      <c r="AE170" s="128" t="e">
        <f t="shared" si="53"/>
        <v>#NUM!</v>
      </c>
      <c r="AF170" s="130"/>
      <c r="AG170" s="130"/>
      <c r="AH170" s="130"/>
      <c r="AI170" s="130"/>
      <c r="AJ170" s="130"/>
      <c r="AK170" s="130"/>
      <c r="AL170" s="130"/>
      <c r="AM170" s="130"/>
      <c r="AN170" s="130"/>
      <c r="AO170" s="130"/>
      <c r="AP170" s="130"/>
      <c r="AQ170" s="130"/>
      <c r="AR170" s="130"/>
      <c r="AS170" s="130"/>
    </row>
    <row r="171" spans="1:45" s="166" customFormat="1" ht="12.75">
      <c r="A171" s="132" t="e">
        <f t="shared" si="46"/>
        <v>#DIV/0!</v>
      </c>
      <c r="B171" s="132">
        <f t="shared" si="47"/>
        <v>2.8200000000000016</v>
      </c>
      <c r="C171" s="138">
        <f t="shared" si="27"/>
        <v>660.6934480075987</v>
      </c>
      <c r="D171" s="137" t="e">
        <f t="shared" si="28"/>
        <v>#DIV/0!</v>
      </c>
      <c r="E171" s="132" t="e">
        <f t="shared" si="29"/>
        <v>#DIV/0!</v>
      </c>
      <c r="G171" s="138"/>
      <c r="H171" s="184" t="str">
        <f t="shared" si="30"/>
        <v>1E+47-2.40890754360962E+52i</v>
      </c>
      <c r="I171" s="132" t="str">
        <f>IMSUM(IMDIV(1,COMPLEX(0,Q171*MLCC*10^-6)),MLCC_ESR*10^-3)</f>
        <v>1E+47-2.40890754360962E+52i</v>
      </c>
      <c r="J171" s="132" t="str">
        <f t="shared" si="31"/>
        <v>5E+46-1.20445377180481E+52i</v>
      </c>
      <c r="K171" s="132"/>
      <c r="L171" s="132" t="e">
        <f t="shared" si="32"/>
        <v>#DIV/0!</v>
      </c>
      <c r="M171" s="132" t="str">
        <f t="shared" si="33"/>
        <v>0</v>
      </c>
      <c r="N171" s="132" t="e">
        <f t="shared" si="34"/>
        <v>#DIV/0!</v>
      </c>
      <c r="O171" s="185" t="e">
        <f t="shared" si="35"/>
        <v>#DIV/0!</v>
      </c>
      <c r="P171" s="185" t="e">
        <f t="shared" si="36"/>
        <v>#DIV/0!</v>
      </c>
      <c r="Q171" s="132">
        <f t="shared" si="37"/>
        <v>4151.259365071164</v>
      </c>
      <c r="R171" s="132">
        <f t="shared" si="48"/>
        <v>2.8200000000000016</v>
      </c>
      <c r="S171" s="164" t="e">
        <f t="shared" si="38"/>
        <v>#DIV/0!</v>
      </c>
      <c r="T171" s="132" t="e">
        <f t="shared" si="39"/>
        <v>#NUM!</v>
      </c>
      <c r="U171" s="138" t="e">
        <f t="shared" si="40"/>
        <v>#NUM!</v>
      </c>
      <c r="V171" s="132" t="e">
        <f t="shared" si="41"/>
        <v>#NUM!</v>
      </c>
      <c r="W171" s="132">
        <f t="shared" si="42"/>
        <v>79.68274917861395</v>
      </c>
      <c r="X171" s="138">
        <f t="shared" si="43"/>
        <v>-15.395426520070204</v>
      </c>
      <c r="Y171" s="128" t="str">
        <f t="shared" si="44"/>
        <v>9295.37722003219-2559.57520429278i</v>
      </c>
      <c r="Z171" s="128" t="e">
        <f t="shared" si="45"/>
        <v>#NUM!</v>
      </c>
      <c r="AA171" s="128" t="e">
        <f t="shared" si="49"/>
        <v>#NUM!</v>
      </c>
      <c r="AB171" s="128" t="e">
        <f t="shared" si="50"/>
        <v>#NUM!</v>
      </c>
      <c r="AC171" s="128" t="e">
        <f t="shared" si="51"/>
        <v>#NUM!</v>
      </c>
      <c r="AD171" s="128" t="e">
        <f t="shared" si="52"/>
        <v>#NUM!</v>
      </c>
      <c r="AE171" s="128" t="e">
        <f t="shared" si="53"/>
        <v>#NUM!</v>
      </c>
      <c r="AF171" s="130"/>
      <c r="AG171" s="130"/>
      <c r="AH171" s="130"/>
      <c r="AI171" s="130"/>
      <c r="AJ171" s="130"/>
      <c r="AK171" s="130"/>
      <c r="AL171" s="130"/>
      <c r="AM171" s="130"/>
      <c r="AN171" s="130"/>
      <c r="AO171" s="130"/>
      <c r="AP171" s="130"/>
      <c r="AQ171" s="130"/>
      <c r="AR171" s="130"/>
      <c r="AS171" s="130"/>
    </row>
    <row r="172" spans="1:45" s="166" customFormat="1" ht="12.75">
      <c r="A172" s="132" t="e">
        <f t="shared" si="46"/>
        <v>#DIV/0!</v>
      </c>
      <c r="B172" s="132">
        <f t="shared" si="47"/>
        <v>2.8400000000000016</v>
      </c>
      <c r="C172" s="138">
        <f t="shared" si="27"/>
        <v>691.8309709189392</v>
      </c>
      <c r="D172" s="137" t="e">
        <f t="shared" si="28"/>
        <v>#DIV/0!</v>
      </c>
      <c r="E172" s="132" t="e">
        <f t="shared" si="29"/>
        <v>#DIV/0!</v>
      </c>
      <c r="G172" s="138"/>
      <c r="H172" s="184" t="str">
        <f t="shared" si="30"/>
        <v>1E+47-2.30048884455829E+52i</v>
      </c>
      <c r="I172" s="132" t="str">
        <f>IMSUM(IMDIV(1,COMPLEX(0,Q172*MLCC*10^-6)),MLCC_ESR*10^-3)</f>
        <v>1E+47-2.30048884455829E+52i</v>
      </c>
      <c r="J172" s="132" t="str">
        <f t="shared" si="31"/>
        <v>5E+46-1.15024442227915E+52i</v>
      </c>
      <c r="K172" s="132"/>
      <c r="L172" s="132" t="e">
        <f t="shared" si="32"/>
        <v>#DIV/0!</v>
      </c>
      <c r="M172" s="132" t="str">
        <f t="shared" si="33"/>
        <v>0</v>
      </c>
      <c r="N172" s="132" t="e">
        <f t="shared" si="34"/>
        <v>#DIV/0!</v>
      </c>
      <c r="O172" s="185" t="e">
        <f t="shared" si="35"/>
        <v>#DIV/0!</v>
      </c>
      <c r="P172" s="185" t="e">
        <f t="shared" si="36"/>
        <v>#DIV/0!</v>
      </c>
      <c r="Q172" s="132">
        <f t="shared" si="37"/>
        <v>4346.902191529666</v>
      </c>
      <c r="R172" s="132">
        <f t="shared" si="48"/>
        <v>2.8400000000000016</v>
      </c>
      <c r="S172" s="164" t="e">
        <f t="shared" si="38"/>
        <v>#DIV/0!</v>
      </c>
      <c r="T172" s="132" t="e">
        <f t="shared" si="39"/>
        <v>#NUM!</v>
      </c>
      <c r="U172" s="138" t="e">
        <f t="shared" si="40"/>
        <v>#NUM!</v>
      </c>
      <c r="V172" s="132" t="e">
        <f t="shared" si="41"/>
        <v>#NUM!</v>
      </c>
      <c r="W172" s="132">
        <f t="shared" si="42"/>
        <v>79.65333245614117</v>
      </c>
      <c r="X172" s="138">
        <f t="shared" si="43"/>
        <v>-16.084273064934116</v>
      </c>
      <c r="Y172" s="128" t="str">
        <f t="shared" si="44"/>
        <v>9232.61199329241-2662.11138073316i</v>
      </c>
      <c r="Z172" s="128" t="e">
        <f t="shared" si="45"/>
        <v>#NUM!</v>
      </c>
      <c r="AA172" s="128" t="e">
        <f t="shared" si="49"/>
        <v>#NUM!</v>
      </c>
      <c r="AB172" s="128" t="e">
        <f t="shared" si="50"/>
        <v>#NUM!</v>
      </c>
      <c r="AC172" s="128" t="e">
        <f t="shared" si="51"/>
        <v>#NUM!</v>
      </c>
      <c r="AD172" s="128" t="e">
        <f t="shared" si="52"/>
        <v>#NUM!</v>
      </c>
      <c r="AE172" s="128" t="e">
        <f t="shared" si="53"/>
        <v>#NUM!</v>
      </c>
      <c r="AF172" s="130"/>
      <c r="AG172" s="130"/>
      <c r="AH172" s="130"/>
      <c r="AI172" s="130"/>
      <c r="AJ172" s="130"/>
      <c r="AK172" s="130"/>
      <c r="AL172" s="130"/>
      <c r="AM172" s="130"/>
      <c r="AN172" s="130"/>
      <c r="AO172" s="130"/>
      <c r="AP172" s="130"/>
      <c r="AQ172" s="130"/>
      <c r="AR172" s="130"/>
      <c r="AS172" s="130"/>
    </row>
    <row r="173" spans="1:45" s="166" customFormat="1" ht="12.75">
      <c r="A173" s="132" t="e">
        <f t="shared" si="46"/>
        <v>#DIV/0!</v>
      </c>
      <c r="B173" s="132">
        <f t="shared" si="47"/>
        <v>2.860000000000002</v>
      </c>
      <c r="C173" s="138">
        <f t="shared" si="27"/>
        <v>724.4359600749934</v>
      </c>
      <c r="D173" s="137" t="e">
        <f t="shared" si="28"/>
        <v>#DIV/0!</v>
      </c>
      <c r="E173" s="132" t="e">
        <f t="shared" si="29"/>
        <v>#DIV/0!</v>
      </c>
      <c r="G173" s="138"/>
      <c r="H173" s="184" t="str">
        <f t="shared" si="30"/>
        <v>1E+47-2.19694979077819E+52i</v>
      </c>
      <c r="I173" s="132" t="str">
        <f>IMSUM(IMDIV(1,COMPLEX(0,Q173*MLCC*10^-6)),MLCC_ESR*10^-3)</f>
        <v>1E+47-2.19694979077819E+52i</v>
      </c>
      <c r="J173" s="132" t="str">
        <f t="shared" si="31"/>
        <v>5E+46-1.09847489538909E+52i</v>
      </c>
      <c r="K173" s="132"/>
      <c r="L173" s="132" t="e">
        <f t="shared" si="32"/>
        <v>#DIV/0!</v>
      </c>
      <c r="M173" s="132" t="str">
        <f t="shared" si="33"/>
        <v>0</v>
      </c>
      <c r="N173" s="132" t="e">
        <f t="shared" si="34"/>
        <v>#DIV/0!</v>
      </c>
      <c r="O173" s="185" t="e">
        <f t="shared" si="35"/>
        <v>#DIV/0!</v>
      </c>
      <c r="P173" s="185" t="e">
        <f t="shared" si="36"/>
        <v>#DIV/0!</v>
      </c>
      <c r="Q173" s="132">
        <f t="shared" si="37"/>
        <v>4551.765380335736</v>
      </c>
      <c r="R173" s="132">
        <f t="shared" si="48"/>
        <v>2.8600000000000017</v>
      </c>
      <c r="S173" s="164" t="e">
        <f t="shared" si="38"/>
        <v>#DIV/0!</v>
      </c>
      <c r="T173" s="132" t="e">
        <f t="shared" si="39"/>
        <v>#NUM!</v>
      </c>
      <c r="U173" s="138" t="e">
        <f t="shared" si="40"/>
        <v>#NUM!</v>
      </c>
      <c r="V173" s="132" t="e">
        <f t="shared" si="41"/>
        <v>#NUM!</v>
      </c>
      <c r="W173" s="132">
        <f t="shared" si="42"/>
        <v>79.62130503852642</v>
      </c>
      <c r="X173" s="138">
        <f t="shared" si="43"/>
        <v>-16.800502101484636</v>
      </c>
      <c r="Y173" s="128" t="str">
        <f t="shared" si="44"/>
        <v>9164.75811297547-2767.09124530147i</v>
      </c>
      <c r="Z173" s="128" t="e">
        <f t="shared" si="45"/>
        <v>#NUM!</v>
      </c>
      <c r="AA173" s="128" t="e">
        <f t="shared" si="49"/>
        <v>#NUM!</v>
      </c>
      <c r="AB173" s="128" t="e">
        <f t="shared" si="50"/>
        <v>#NUM!</v>
      </c>
      <c r="AC173" s="128" t="e">
        <f t="shared" si="51"/>
        <v>#NUM!</v>
      </c>
      <c r="AD173" s="128" t="e">
        <f t="shared" si="52"/>
        <v>#NUM!</v>
      </c>
      <c r="AE173" s="128" t="e">
        <f t="shared" si="53"/>
        <v>#NUM!</v>
      </c>
      <c r="AF173" s="130"/>
      <c r="AG173" s="130"/>
      <c r="AH173" s="130"/>
      <c r="AI173" s="130"/>
      <c r="AJ173" s="130"/>
      <c r="AK173" s="130"/>
      <c r="AL173" s="130"/>
      <c r="AM173" s="130"/>
      <c r="AN173" s="130"/>
      <c r="AO173" s="130"/>
      <c r="AP173" s="130"/>
      <c r="AQ173" s="130"/>
      <c r="AR173" s="130"/>
      <c r="AS173" s="130"/>
    </row>
    <row r="174" spans="1:45" s="166" customFormat="1" ht="12.75">
      <c r="A174" s="132" t="e">
        <f t="shared" si="46"/>
        <v>#DIV/0!</v>
      </c>
      <c r="B174" s="132">
        <f t="shared" si="47"/>
        <v>2.880000000000002</v>
      </c>
      <c r="C174" s="138">
        <f t="shared" si="27"/>
        <v>758.5775750291872</v>
      </c>
      <c r="D174" s="137" t="e">
        <f t="shared" si="28"/>
        <v>#DIV/0!</v>
      </c>
      <c r="E174" s="132" t="e">
        <f t="shared" si="29"/>
        <v>#DIV/0!</v>
      </c>
      <c r="G174" s="138"/>
      <c r="H174" s="184" t="str">
        <f t="shared" si="30"/>
        <v>1E+47-2.09807076205452E+52i</v>
      </c>
      <c r="I174" s="132" t="str">
        <f>IMSUM(IMDIV(1,COMPLEX(0,Q174*MLCC*10^-6)),MLCC_ESR*10^-3)</f>
        <v>1E+47-2.09807076205452E+52i</v>
      </c>
      <c r="J174" s="132" t="str">
        <f t="shared" si="31"/>
        <v>5E+46-1.04903538102726E+52i</v>
      </c>
      <c r="K174" s="132"/>
      <c r="L174" s="132" t="e">
        <f t="shared" si="32"/>
        <v>#DIV/0!</v>
      </c>
      <c r="M174" s="132" t="str">
        <f t="shared" si="33"/>
        <v>0</v>
      </c>
      <c r="N174" s="132" t="e">
        <f t="shared" si="34"/>
        <v>#DIV/0!</v>
      </c>
      <c r="O174" s="185" t="e">
        <f t="shared" si="35"/>
        <v>#DIV/0!</v>
      </c>
      <c r="P174" s="185" t="e">
        <f t="shared" si="36"/>
        <v>#DIV/0!</v>
      </c>
      <c r="Q174" s="132">
        <f t="shared" si="37"/>
        <v>4766.283473779309</v>
      </c>
      <c r="R174" s="132">
        <f t="shared" si="48"/>
        <v>2.8800000000000017</v>
      </c>
      <c r="S174" s="164" t="e">
        <f t="shared" si="38"/>
        <v>#DIV/0!</v>
      </c>
      <c r="T174" s="132" t="e">
        <f t="shared" si="39"/>
        <v>#NUM!</v>
      </c>
      <c r="U174" s="138" t="e">
        <f t="shared" si="40"/>
        <v>#NUM!</v>
      </c>
      <c r="V174" s="132" t="e">
        <f t="shared" si="41"/>
        <v>#NUM!</v>
      </c>
      <c r="W174" s="132">
        <f t="shared" si="42"/>
        <v>79.58645702947899</v>
      </c>
      <c r="X174" s="138">
        <f t="shared" si="43"/>
        <v>-17.544736825502074</v>
      </c>
      <c r="Y174" s="128" t="str">
        <f t="shared" si="44"/>
        <v>9091.49470003722-2874.34357879773i</v>
      </c>
      <c r="Z174" s="128" t="e">
        <f t="shared" si="45"/>
        <v>#NUM!</v>
      </c>
      <c r="AA174" s="128" t="e">
        <f t="shared" si="49"/>
        <v>#NUM!</v>
      </c>
      <c r="AB174" s="128" t="e">
        <f t="shared" si="50"/>
        <v>#NUM!</v>
      </c>
      <c r="AC174" s="128" t="e">
        <f t="shared" si="51"/>
        <v>#NUM!</v>
      </c>
      <c r="AD174" s="128" t="e">
        <f t="shared" si="52"/>
        <v>#NUM!</v>
      </c>
      <c r="AE174" s="128" t="e">
        <f t="shared" si="53"/>
        <v>#NUM!</v>
      </c>
      <c r="AF174" s="130"/>
      <c r="AG174" s="130"/>
      <c r="AH174" s="130"/>
      <c r="AI174" s="130"/>
      <c r="AJ174" s="130"/>
      <c r="AK174" s="130"/>
      <c r="AL174" s="130"/>
      <c r="AM174" s="130"/>
      <c r="AN174" s="130"/>
      <c r="AO174" s="130"/>
      <c r="AP174" s="130"/>
      <c r="AQ174" s="130"/>
      <c r="AR174" s="130"/>
      <c r="AS174" s="130"/>
    </row>
    <row r="175" spans="1:45" s="166" customFormat="1" ht="12.75">
      <c r="A175" s="132" t="e">
        <f t="shared" si="46"/>
        <v>#DIV/0!</v>
      </c>
      <c r="B175" s="132">
        <f t="shared" si="47"/>
        <v>2.9000000000000017</v>
      </c>
      <c r="C175" s="138">
        <f t="shared" si="27"/>
        <v>794.3282347242849</v>
      </c>
      <c r="D175" s="137" t="e">
        <f t="shared" si="28"/>
        <v>#DIV/0!</v>
      </c>
      <c r="E175" s="132" t="e">
        <f t="shared" si="29"/>
        <v>#DIV/0!</v>
      </c>
      <c r="G175" s="138"/>
      <c r="H175" s="184" t="str">
        <f t="shared" si="30"/>
        <v>1E+47-2.00364202271041E+52i</v>
      </c>
      <c r="I175" s="132" t="str">
        <f>IMSUM(IMDIV(1,COMPLEX(0,Q175*MLCC*10^-6)),MLCC_ESR*10^-3)</f>
        <v>1E+47-2.00364202271041E+52i</v>
      </c>
      <c r="J175" s="132" t="str">
        <f t="shared" si="31"/>
        <v>5E+46-1.0018210113552E+52i</v>
      </c>
      <c r="K175" s="132"/>
      <c r="L175" s="132" t="e">
        <f t="shared" si="32"/>
        <v>#DIV/0!</v>
      </c>
      <c r="M175" s="132" t="str">
        <f t="shared" si="33"/>
        <v>0</v>
      </c>
      <c r="N175" s="132" t="e">
        <f t="shared" si="34"/>
        <v>#DIV/0!</v>
      </c>
      <c r="O175" s="185" t="e">
        <f t="shared" si="35"/>
        <v>#DIV/0!</v>
      </c>
      <c r="P175" s="185" t="e">
        <f t="shared" si="36"/>
        <v>#DIV/0!</v>
      </c>
      <c r="Q175" s="132">
        <f t="shared" si="37"/>
        <v>4990.911493497525</v>
      </c>
      <c r="R175" s="132">
        <f t="shared" si="48"/>
        <v>2.9000000000000017</v>
      </c>
      <c r="S175" s="164" t="e">
        <f t="shared" si="38"/>
        <v>#DIV/0!</v>
      </c>
      <c r="T175" s="132" t="e">
        <f t="shared" si="39"/>
        <v>#NUM!</v>
      </c>
      <c r="U175" s="138" t="e">
        <f t="shared" si="40"/>
        <v>#NUM!</v>
      </c>
      <c r="V175" s="132" t="e">
        <f t="shared" si="41"/>
        <v>#NUM!</v>
      </c>
      <c r="W175" s="132">
        <f t="shared" si="42"/>
        <v>79.54856561760432</v>
      </c>
      <c r="X175" s="138">
        <f t="shared" si="43"/>
        <v>-18.31755063420018</v>
      </c>
      <c r="Y175" s="128" t="str">
        <f t="shared" si="44"/>
        <v>9012.49722605309-2983.66141657481i</v>
      </c>
      <c r="Z175" s="128" t="e">
        <f t="shared" si="45"/>
        <v>#NUM!</v>
      </c>
      <c r="AA175" s="128" t="e">
        <f t="shared" si="49"/>
        <v>#NUM!</v>
      </c>
      <c r="AB175" s="128" t="e">
        <f t="shared" si="50"/>
        <v>#NUM!</v>
      </c>
      <c r="AC175" s="128" t="e">
        <f t="shared" si="51"/>
        <v>#NUM!</v>
      </c>
      <c r="AD175" s="128" t="e">
        <f t="shared" si="52"/>
        <v>#NUM!</v>
      </c>
      <c r="AE175" s="128" t="e">
        <f t="shared" si="53"/>
        <v>#NUM!</v>
      </c>
      <c r="AF175" s="130"/>
      <c r="AG175" s="130"/>
      <c r="AH175" s="130"/>
      <c r="AI175" s="130"/>
      <c r="AJ175" s="130"/>
      <c r="AK175" s="130"/>
      <c r="AL175" s="130"/>
      <c r="AM175" s="130"/>
      <c r="AN175" s="130"/>
      <c r="AO175" s="130"/>
      <c r="AP175" s="130"/>
      <c r="AQ175" s="130"/>
      <c r="AR175" s="130"/>
      <c r="AS175" s="130"/>
    </row>
    <row r="176" spans="1:45" s="166" customFormat="1" ht="12.75">
      <c r="A176" s="132" t="e">
        <f t="shared" si="46"/>
        <v>#DIV/0!</v>
      </c>
      <c r="B176" s="132">
        <f t="shared" si="47"/>
        <v>2.920000000000002</v>
      </c>
      <c r="C176" s="138">
        <f t="shared" si="27"/>
        <v>831.7637711026752</v>
      </c>
      <c r="D176" s="137" t="e">
        <f t="shared" si="28"/>
        <v>#DIV/0!</v>
      </c>
      <c r="E176" s="132" t="e">
        <f t="shared" si="29"/>
        <v>#DIV/0!</v>
      </c>
      <c r="G176" s="138"/>
      <c r="H176" s="184" t="str">
        <f t="shared" si="30"/>
        <v>1E+47-1.91346327672943E+52i</v>
      </c>
      <c r="I176" s="132" t="str">
        <f>IMSUM(IMDIV(1,COMPLEX(0,Q176*MLCC*10^-6)),MLCC_ESR*10^-3)</f>
        <v>1E+47-1.91346327672943E+52i</v>
      </c>
      <c r="J176" s="132" t="str">
        <f t="shared" si="31"/>
        <v>5E+46-9.56731638364716E+51i</v>
      </c>
      <c r="K176" s="132"/>
      <c r="L176" s="132" t="e">
        <f t="shared" si="32"/>
        <v>#DIV/0!</v>
      </c>
      <c r="M176" s="132" t="str">
        <f t="shared" si="33"/>
        <v>0</v>
      </c>
      <c r="N176" s="132" t="e">
        <f t="shared" si="34"/>
        <v>#DIV/0!</v>
      </c>
      <c r="O176" s="185" t="e">
        <f t="shared" si="35"/>
        <v>#DIV/0!</v>
      </c>
      <c r="P176" s="185" t="e">
        <f t="shared" si="36"/>
        <v>#DIV/0!</v>
      </c>
      <c r="Q176" s="132">
        <f t="shared" si="37"/>
        <v>5226.125905636613</v>
      </c>
      <c r="R176" s="132">
        <f t="shared" si="48"/>
        <v>2.9200000000000017</v>
      </c>
      <c r="S176" s="164" t="e">
        <f t="shared" si="38"/>
        <v>#DIV/0!</v>
      </c>
      <c r="T176" s="132" t="e">
        <f t="shared" si="39"/>
        <v>#NUM!</v>
      </c>
      <c r="U176" s="138" t="e">
        <f t="shared" si="40"/>
        <v>#NUM!</v>
      </c>
      <c r="V176" s="132" t="e">
        <f t="shared" si="41"/>
        <v>#NUM!</v>
      </c>
      <c r="W176" s="132">
        <f t="shared" si="42"/>
        <v>79.50739499469648</v>
      </c>
      <c r="X176" s="138">
        <f t="shared" si="43"/>
        <v>-19.11945731900437</v>
      </c>
      <c r="Y176" s="128" t="str">
        <f t="shared" si="44"/>
        <v>8927.44082521784-3094.79920004833i</v>
      </c>
      <c r="Z176" s="128" t="e">
        <f t="shared" si="45"/>
        <v>#NUM!</v>
      </c>
      <c r="AA176" s="128" t="e">
        <f t="shared" si="49"/>
        <v>#NUM!</v>
      </c>
      <c r="AB176" s="128" t="e">
        <f t="shared" si="50"/>
        <v>#NUM!</v>
      </c>
      <c r="AC176" s="128" t="e">
        <f t="shared" si="51"/>
        <v>#NUM!</v>
      </c>
      <c r="AD176" s="128" t="e">
        <f t="shared" si="52"/>
        <v>#NUM!</v>
      </c>
      <c r="AE176" s="128" t="e">
        <f t="shared" si="53"/>
        <v>#NUM!</v>
      </c>
      <c r="AF176" s="130"/>
      <c r="AG176" s="130"/>
      <c r="AH176" s="130"/>
      <c r="AI176" s="130"/>
      <c r="AJ176" s="130"/>
      <c r="AK176" s="130"/>
      <c r="AL176" s="130"/>
      <c r="AM176" s="130"/>
      <c r="AN176" s="130"/>
      <c r="AO176" s="130"/>
      <c r="AP176" s="130"/>
      <c r="AQ176" s="130"/>
      <c r="AR176" s="130"/>
      <c r="AS176" s="130"/>
    </row>
    <row r="177" spans="1:45" s="166" customFormat="1" ht="12.75">
      <c r="A177" s="132" t="e">
        <f t="shared" si="46"/>
        <v>#DIV/0!</v>
      </c>
      <c r="B177" s="132">
        <f t="shared" si="47"/>
        <v>2.940000000000002</v>
      </c>
      <c r="C177" s="138">
        <f t="shared" si="27"/>
        <v>870.9635899560848</v>
      </c>
      <c r="D177" s="137" t="e">
        <f t="shared" si="28"/>
        <v>#DIV/0!</v>
      </c>
      <c r="E177" s="132" t="e">
        <f t="shared" si="29"/>
        <v>#DIV/0!</v>
      </c>
      <c r="G177" s="138"/>
      <c r="H177" s="184" t="str">
        <f t="shared" si="30"/>
        <v>1E+47-1.82734324290089E+52i</v>
      </c>
      <c r="I177" s="132" t="str">
        <f>IMSUM(IMDIV(1,COMPLEX(0,Q177*MLCC*10^-6)),MLCC_ESR*10^-3)</f>
        <v>1E+47-1.82734324290089E+52i</v>
      </c>
      <c r="J177" s="132" t="str">
        <f t="shared" si="31"/>
        <v>5E+46-9.13671621450445E+51i</v>
      </c>
      <c r="K177" s="132"/>
      <c r="L177" s="132" t="e">
        <f t="shared" si="32"/>
        <v>#DIV/0!</v>
      </c>
      <c r="M177" s="132" t="str">
        <f t="shared" si="33"/>
        <v>0</v>
      </c>
      <c r="N177" s="132" t="e">
        <f t="shared" si="34"/>
        <v>#DIV/0!</v>
      </c>
      <c r="O177" s="185" t="e">
        <f t="shared" si="35"/>
        <v>#DIV/0!</v>
      </c>
      <c r="P177" s="185" t="e">
        <f t="shared" si="36"/>
        <v>#DIV/0!</v>
      </c>
      <c r="Q177" s="132">
        <f t="shared" si="37"/>
        <v>5472.425631500458</v>
      </c>
      <c r="R177" s="132">
        <f t="shared" si="48"/>
        <v>2.9400000000000017</v>
      </c>
      <c r="S177" s="164" t="e">
        <f t="shared" si="38"/>
        <v>#DIV/0!</v>
      </c>
      <c r="T177" s="132" t="e">
        <f t="shared" si="39"/>
        <v>#NUM!</v>
      </c>
      <c r="U177" s="138" t="e">
        <f t="shared" si="40"/>
        <v>#NUM!</v>
      </c>
      <c r="V177" s="132" t="e">
        <f t="shared" si="41"/>
        <v>#NUM!</v>
      </c>
      <c r="W177" s="132">
        <f t="shared" si="42"/>
        <v>79.46269641867828</v>
      </c>
      <c r="X177" s="138">
        <f t="shared" si="43"/>
        <v>-19.950900529109123</v>
      </c>
      <c r="Y177" s="128" t="str">
        <f t="shared" si="44"/>
        <v>8836.00422238362-3207.47011291433i</v>
      </c>
      <c r="Z177" s="128" t="e">
        <f t="shared" si="45"/>
        <v>#NUM!</v>
      </c>
      <c r="AA177" s="128" t="e">
        <f t="shared" si="49"/>
        <v>#NUM!</v>
      </c>
      <c r="AB177" s="128" t="e">
        <f t="shared" si="50"/>
        <v>#NUM!</v>
      </c>
      <c r="AC177" s="128" t="e">
        <f t="shared" si="51"/>
        <v>#NUM!</v>
      </c>
      <c r="AD177" s="128" t="e">
        <f t="shared" si="52"/>
        <v>#NUM!</v>
      </c>
      <c r="AE177" s="128" t="e">
        <f t="shared" si="53"/>
        <v>#NUM!</v>
      </c>
      <c r="AF177" s="130"/>
      <c r="AG177" s="130"/>
      <c r="AH177" s="130"/>
      <c r="AI177" s="130"/>
      <c r="AJ177" s="130"/>
      <c r="AK177" s="130"/>
      <c r="AL177" s="130"/>
      <c r="AM177" s="130"/>
      <c r="AN177" s="130"/>
      <c r="AO177" s="130"/>
      <c r="AP177" s="130"/>
      <c r="AQ177" s="130"/>
      <c r="AR177" s="130"/>
      <c r="AS177" s="130"/>
    </row>
    <row r="178" spans="1:45" s="166" customFormat="1" ht="12.75">
      <c r="A178" s="132" t="e">
        <f t="shared" si="46"/>
        <v>#DIV/0!</v>
      </c>
      <c r="B178" s="132">
        <f t="shared" si="47"/>
        <v>2.960000000000002</v>
      </c>
      <c r="C178" s="138">
        <f t="shared" si="27"/>
        <v>912.010839355914</v>
      </c>
      <c r="D178" s="137" t="e">
        <f t="shared" si="28"/>
        <v>#DIV/0!</v>
      </c>
      <c r="E178" s="132" t="e">
        <f t="shared" si="29"/>
        <v>#DIV/0!</v>
      </c>
      <c r="G178" s="138"/>
      <c r="H178" s="184" t="str">
        <f t="shared" si="30"/>
        <v>1E+47-1.74509924908672E+52i</v>
      </c>
      <c r="I178" s="132" t="str">
        <f>IMSUM(IMDIV(1,COMPLEX(0,Q178*MLCC*10^-6)),MLCC_ESR*10^-3)</f>
        <v>1E+47-1.74509924908672E+52i</v>
      </c>
      <c r="J178" s="132" t="str">
        <f t="shared" si="31"/>
        <v>5.00000000000001E+46-8.72549624543359E+51i</v>
      </c>
      <c r="K178" s="132"/>
      <c r="L178" s="132" t="e">
        <f t="shared" si="32"/>
        <v>#DIV/0!</v>
      </c>
      <c r="M178" s="132" t="str">
        <f t="shared" si="33"/>
        <v>0</v>
      </c>
      <c r="N178" s="132" t="e">
        <f t="shared" si="34"/>
        <v>#DIV/0!</v>
      </c>
      <c r="O178" s="185" t="e">
        <f t="shared" si="35"/>
        <v>#DIV/0!</v>
      </c>
      <c r="P178" s="185" t="e">
        <f t="shared" si="36"/>
        <v>#DIV/0!</v>
      </c>
      <c r="Q178" s="132">
        <f t="shared" si="37"/>
        <v>5730.333105829601</v>
      </c>
      <c r="R178" s="132">
        <f t="shared" si="48"/>
        <v>2.9600000000000017</v>
      </c>
      <c r="S178" s="164" t="e">
        <f t="shared" si="38"/>
        <v>#DIV/0!</v>
      </c>
      <c r="T178" s="132" t="e">
        <f t="shared" si="39"/>
        <v>#NUM!</v>
      </c>
      <c r="U178" s="138" t="e">
        <f t="shared" si="40"/>
        <v>#NUM!</v>
      </c>
      <c r="V178" s="132" t="e">
        <f t="shared" si="41"/>
        <v>#NUM!</v>
      </c>
      <c r="W178" s="132">
        <f t="shared" si="42"/>
        <v>79.41420844645036</v>
      </c>
      <c r="X178" s="138">
        <f t="shared" si="43"/>
        <v>-20.812242568534487</v>
      </c>
      <c r="Y178" s="128" t="str">
        <f t="shared" si="44"/>
        <v>8737.87430617146-3321.34371089757i</v>
      </c>
      <c r="Z178" s="128" t="e">
        <f t="shared" si="45"/>
        <v>#NUM!</v>
      </c>
      <c r="AA178" s="128" t="e">
        <f t="shared" si="49"/>
        <v>#NUM!</v>
      </c>
      <c r="AB178" s="128" t="e">
        <f t="shared" si="50"/>
        <v>#NUM!</v>
      </c>
      <c r="AC178" s="128" t="e">
        <f t="shared" si="51"/>
        <v>#NUM!</v>
      </c>
      <c r="AD178" s="128" t="e">
        <f t="shared" si="52"/>
        <v>#NUM!</v>
      </c>
      <c r="AE178" s="128" t="e">
        <f t="shared" si="53"/>
        <v>#NUM!</v>
      </c>
      <c r="AF178" s="130"/>
      <c r="AG178" s="130"/>
      <c r="AH178" s="130"/>
      <c r="AI178" s="130"/>
      <c r="AJ178" s="130"/>
      <c r="AK178" s="130"/>
      <c r="AL178" s="130"/>
      <c r="AM178" s="130"/>
      <c r="AN178" s="130"/>
      <c r="AO178" s="130"/>
      <c r="AP178" s="130"/>
      <c r="AQ178" s="130"/>
      <c r="AR178" s="130"/>
      <c r="AS178" s="130"/>
    </row>
    <row r="179" spans="1:45" s="166" customFormat="1" ht="12.75">
      <c r="A179" s="132" t="e">
        <f t="shared" si="46"/>
        <v>#DIV/0!</v>
      </c>
      <c r="B179" s="132">
        <f t="shared" si="47"/>
        <v>2.9800000000000018</v>
      </c>
      <c r="C179" s="138">
        <f t="shared" si="27"/>
        <v>954.9925860214402</v>
      </c>
      <c r="D179" s="137" t="e">
        <f t="shared" si="28"/>
        <v>#DIV/0!</v>
      </c>
      <c r="E179" s="132" t="e">
        <f t="shared" si="29"/>
        <v>#DIV/0!</v>
      </c>
      <c r="G179" s="138"/>
      <c r="H179" s="184" t="str">
        <f t="shared" si="30"/>
        <v>1E+47-1.66655684474939E+52i</v>
      </c>
      <c r="I179" s="132" t="str">
        <f>IMSUM(IMDIV(1,COMPLEX(0,Q179*MLCC*10^-6)),MLCC_ESR*10^-3)</f>
        <v>1E+47-1.66655684474939E+52i</v>
      </c>
      <c r="J179" s="132" t="str">
        <f t="shared" si="31"/>
        <v>5E+46-8.33278422374694E+51i</v>
      </c>
      <c r="K179" s="132"/>
      <c r="L179" s="132" t="e">
        <f t="shared" si="32"/>
        <v>#DIV/0!</v>
      </c>
      <c r="M179" s="132" t="str">
        <f t="shared" si="33"/>
        <v>0</v>
      </c>
      <c r="N179" s="132" t="e">
        <f t="shared" si="34"/>
        <v>#DIV/0!</v>
      </c>
      <c r="O179" s="185" t="e">
        <f t="shared" si="35"/>
        <v>#DIV/0!</v>
      </c>
      <c r="P179" s="185" t="e">
        <f t="shared" si="36"/>
        <v>#DIV/0!</v>
      </c>
      <c r="Q179" s="132">
        <f t="shared" si="37"/>
        <v>6000.39538495535</v>
      </c>
      <c r="R179" s="132">
        <f t="shared" si="48"/>
        <v>2.9800000000000018</v>
      </c>
      <c r="S179" s="164" t="e">
        <f t="shared" si="38"/>
        <v>#DIV/0!</v>
      </c>
      <c r="T179" s="132" t="e">
        <f t="shared" si="39"/>
        <v>#NUM!</v>
      </c>
      <c r="U179" s="138" t="e">
        <f t="shared" si="40"/>
        <v>#NUM!</v>
      </c>
      <c r="V179" s="132" t="e">
        <f t="shared" si="41"/>
        <v>#NUM!</v>
      </c>
      <c r="W179" s="132">
        <f t="shared" si="42"/>
        <v>79.36165736276865</v>
      </c>
      <c r="X179" s="138">
        <f t="shared" si="43"/>
        <v>-21.703752620256715</v>
      </c>
      <c r="Y179" s="128" t="str">
        <f t="shared" si="44"/>
        <v>8632.75136019526-3436.04397005771i</v>
      </c>
      <c r="Z179" s="128" t="e">
        <f t="shared" si="45"/>
        <v>#NUM!</v>
      </c>
      <c r="AA179" s="128" t="e">
        <f t="shared" si="49"/>
        <v>#NUM!</v>
      </c>
      <c r="AB179" s="128" t="e">
        <f t="shared" si="50"/>
        <v>#NUM!</v>
      </c>
      <c r="AC179" s="128" t="e">
        <f t="shared" si="51"/>
        <v>#NUM!</v>
      </c>
      <c r="AD179" s="128" t="e">
        <f t="shared" si="52"/>
        <v>#NUM!</v>
      </c>
      <c r="AE179" s="128" t="e">
        <f t="shared" si="53"/>
        <v>#NUM!</v>
      </c>
      <c r="AF179" s="130"/>
      <c r="AG179" s="130"/>
      <c r="AH179" s="130"/>
      <c r="AI179" s="130"/>
      <c r="AJ179" s="130"/>
      <c r="AK179" s="130"/>
      <c r="AL179" s="130"/>
      <c r="AM179" s="130"/>
      <c r="AN179" s="130"/>
      <c r="AO179" s="130"/>
      <c r="AP179" s="130"/>
      <c r="AQ179" s="130"/>
      <c r="AR179" s="130"/>
      <c r="AS179" s="130"/>
    </row>
    <row r="180" spans="1:45" s="166" customFormat="1" ht="12.75">
      <c r="A180" s="132" t="e">
        <f t="shared" si="46"/>
        <v>#DIV/0!</v>
      </c>
      <c r="B180" s="132">
        <f t="shared" si="47"/>
        <v>3.000000000000002</v>
      </c>
      <c r="C180" s="132">
        <f t="shared" si="27"/>
        <v>1000.0000000000051</v>
      </c>
      <c r="D180" s="137" t="e">
        <f t="shared" si="28"/>
        <v>#DIV/0!</v>
      </c>
      <c r="E180" s="132" t="e">
        <f t="shared" si="29"/>
        <v>#DIV/0!</v>
      </c>
      <c r="G180" s="132"/>
      <c r="H180" s="184" t="str">
        <f t="shared" si="30"/>
        <v>1E+47-1.59154943091894E+52i</v>
      </c>
      <c r="I180" s="132" t="str">
        <f>IMSUM(IMDIV(1,COMPLEX(0,Q180*MLCC*10^-6)),MLCC_ESR*10^-3)</f>
        <v>1E+47-1.59154943091894E+52i</v>
      </c>
      <c r="J180" s="132" t="str">
        <f t="shared" si="31"/>
        <v>5E+46-7.95774715459469E+51i</v>
      </c>
      <c r="K180" s="132"/>
      <c r="L180" s="132" t="e">
        <f t="shared" si="32"/>
        <v>#DIV/0!</v>
      </c>
      <c r="M180" s="132" t="str">
        <f t="shared" si="33"/>
        <v>0</v>
      </c>
      <c r="N180" s="132" t="e">
        <f t="shared" si="34"/>
        <v>#DIV/0!</v>
      </c>
      <c r="O180" s="185" t="e">
        <f t="shared" si="35"/>
        <v>#DIV/0!</v>
      </c>
      <c r="P180" s="185" t="e">
        <f t="shared" si="36"/>
        <v>#DIV/0!</v>
      </c>
      <c r="Q180" s="132">
        <f t="shared" si="37"/>
        <v>6283.185307179619</v>
      </c>
      <c r="R180" s="132">
        <f t="shared" si="48"/>
        <v>3.0000000000000018</v>
      </c>
      <c r="S180" s="164" t="e">
        <f t="shared" si="38"/>
        <v>#DIV/0!</v>
      </c>
      <c r="T180" s="132" t="e">
        <f t="shared" si="39"/>
        <v>#NUM!</v>
      </c>
      <c r="U180" s="138" t="e">
        <f t="shared" si="40"/>
        <v>#NUM!</v>
      </c>
      <c r="V180" s="132" t="e">
        <f t="shared" si="41"/>
        <v>#NUM!</v>
      </c>
      <c r="W180" s="132">
        <f t="shared" si="42"/>
        <v>79.30475783138631</v>
      </c>
      <c r="X180" s="138">
        <f t="shared" si="43"/>
        <v>-22.62559452597275</v>
      </c>
      <c r="Y180" s="128" t="str">
        <f t="shared" si="44"/>
        <v>8520.35494438224-3551.14789348262i</v>
      </c>
      <c r="Z180" s="128" t="e">
        <f t="shared" si="45"/>
        <v>#NUM!</v>
      </c>
      <c r="AA180" s="128" t="e">
        <f t="shared" si="49"/>
        <v>#NUM!</v>
      </c>
      <c r="AB180" s="128" t="e">
        <f t="shared" si="50"/>
        <v>#NUM!</v>
      </c>
      <c r="AC180" s="128" t="e">
        <f t="shared" si="51"/>
        <v>#NUM!</v>
      </c>
      <c r="AD180" s="128" t="e">
        <f t="shared" si="52"/>
        <v>#NUM!</v>
      </c>
      <c r="AE180" s="128" t="e">
        <f t="shared" si="53"/>
        <v>#NUM!</v>
      </c>
      <c r="AF180" s="130"/>
      <c r="AG180" s="130"/>
      <c r="AH180" s="130"/>
      <c r="AI180" s="130"/>
      <c r="AJ180" s="130"/>
      <c r="AK180" s="130"/>
      <c r="AL180" s="130"/>
      <c r="AM180" s="130"/>
      <c r="AN180" s="130"/>
      <c r="AO180" s="130"/>
      <c r="AP180" s="130"/>
      <c r="AQ180" s="130"/>
      <c r="AR180" s="130"/>
      <c r="AS180" s="130"/>
    </row>
    <row r="181" spans="1:45" s="166" customFormat="1" ht="12.75">
      <c r="A181" s="132" t="e">
        <f t="shared" si="46"/>
        <v>#DIV/0!</v>
      </c>
      <c r="B181" s="132">
        <f t="shared" si="47"/>
        <v>3.0200000000000022</v>
      </c>
      <c r="C181" s="146">
        <f t="shared" si="27"/>
        <v>1047.1285480509046</v>
      </c>
      <c r="D181" s="137" t="e">
        <f t="shared" si="28"/>
        <v>#DIV/0!</v>
      </c>
      <c r="E181" s="132" t="e">
        <f t="shared" si="29"/>
        <v>#DIV/0!</v>
      </c>
      <c r="G181" s="146"/>
      <c r="H181" s="184" t="str">
        <f t="shared" si="30"/>
        <v>1E+47-1.51991790681423E+52i</v>
      </c>
      <c r="I181" s="132" t="str">
        <f>IMSUM(IMDIV(1,COMPLEX(0,Q181*MLCC*10^-6)),MLCC_ESR*10^-3)</f>
        <v>1E+47-1.51991790681423E+52i</v>
      </c>
      <c r="J181" s="132" t="str">
        <f t="shared" si="31"/>
        <v>5E+46-7.59958953407115E+51i</v>
      </c>
      <c r="K181" s="132"/>
      <c r="L181" s="132" t="e">
        <f t="shared" si="32"/>
        <v>#DIV/0!</v>
      </c>
      <c r="M181" s="132" t="str">
        <f t="shared" si="33"/>
        <v>0</v>
      </c>
      <c r="N181" s="132" t="e">
        <f t="shared" si="34"/>
        <v>#DIV/0!</v>
      </c>
      <c r="O181" s="185" t="e">
        <f t="shared" si="35"/>
        <v>#DIV/0!</v>
      </c>
      <c r="P181" s="185" t="e">
        <f t="shared" si="36"/>
        <v>#DIV/0!</v>
      </c>
      <c r="Q181" s="132">
        <f t="shared" si="37"/>
        <v>6579.302707841737</v>
      </c>
      <c r="R181" s="132">
        <f t="shared" si="48"/>
        <v>3.020000000000002</v>
      </c>
      <c r="S181" s="164" t="e">
        <f t="shared" si="38"/>
        <v>#DIV/0!</v>
      </c>
      <c r="T181" s="132" t="e">
        <f t="shared" si="39"/>
        <v>#NUM!</v>
      </c>
      <c r="U181" s="138" t="e">
        <f t="shared" si="40"/>
        <v>#NUM!</v>
      </c>
      <c r="V181" s="132" t="e">
        <f t="shared" si="41"/>
        <v>#NUM!</v>
      </c>
      <c r="W181" s="132">
        <f t="shared" si="42"/>
        <v>79.24321379386737</v>
      </c>
      <c r="X181" s="138">
        <f t="shared" si="43"/>
        <v>-23.5778142886066</v>
      </c>
      <c r="Y181" s="128" t="str">
        <f t="shared" si="44"/>
        <v>8400.43039197375-3666.18482826581i</v>
      </c>
      <c r="Z181" s="128" t="e">
        <f t="shared" si="45"/>
        <v>#NUM!</v>
      </c>
      <c r="AA181" s="128" t="e">
        <f t="shared" si="49"/>
        <v>#NUM!</v>
      </c>
      <c r="AB181" s="128" t="e">
        <f t="shared" si="50"/>
        <v>#NUM!</v>
      </c>
      <c r="AC181" s="128" t="e">
        <f t="shared" si="51"/>
        <v>#NUM!</v>
      </c>
      <c r="AD181" s="128" t="e">
        <f t="shared" si="52"/>
        <v>#NUM!</v>
      </c>
      <c r="AE181" s="128" t="e">
        <f t="shared" si="53"/>
        <v>#NUM!</v>
      </c>
      <c r="AF181" s="130"/>
      <c r="AG181" s="130"/>
      <c r="AH181" s="130"/>
      <c r="AI181" s="130"/>
      <c r="AJ181" s="130"/>
      <c r="AK181" s="130"/>
      <c r="AL181" s="130"/>
      <c r="AM181" s="130"/>
      <c r="AN181" s="130"/>
      <c r="AO181" s="130"/>
      <c r="AP181" s="130"/>
      <c r="AQ181" s="130"/>
      <c r="AR181" s="130"/>
      <c r="AS181" s="130"/>
    </row>
    <row r="182" spans="1:45" s="166" customFormat="1" ht="12.75">
      <c r="A182" s="132" t="e">
        <f t="shared" si="46"/>
        <v>#DIV/0!</v>
      </c>
      <c r="B182" s="132">
        <f t="shared" si="47"/>
        <v>3.0400000000000023</v>
      </c>
      <c r="C182" s="146">
        <f t="shared" si="27"/>
        <v>1096.4781961431902</v>
      </c>
      <c r="D182" s="137" t="e">
        <f t="shared" si="28"/>
        <v>#DIV/0!</v>
      </c>
      <c r="E182" s="132" t="e">
        <f t="shared" si="29"/>
        <v>#DIV/0!</v>
      </c>
      <c r="G182" s="146"/>
      <c r="H182" s="184" t="str">
        <f t="shared" si="30"/>
        <v>1E+47-1.45151033236881E+52i</v>
      </c>
      <c r="I182" s="132" t="str">
        <f>IMSUM(IMDIV(1,COMPLEX(0,Q182*MLCC*10^-6)),MLCC_ESR*10^-3)</f>
        <v>1E+47-1.45151033236881E+52i</v>
      </c>
      <c r="J182" s="132" t="str">
        <f t="shared" si="31"/>
        <v>5.00000000000001E+46-7.25755166184404E+51i</v>
      </c>
      <c r="K182" s="132"/>
      <c r="L182" s="132" t="e">
        <f t="shared" si="32"/>
        <v>#DIV/0!</v>
      </c>
      <c r="M182" s="132" t="str">
        <f t="shared" si="33"/>
        <v>0</v>
      </c>
      <c r="N182" s="132" t="e">
        <f t="shared" si="34"/>
        <v>#DIV/0!</v>
      </c>
      <c r="O182" s="185" t="e">
        <f t="shared" si="35"/>
        <v>#DIV/0!</v>
      </c>
      <c r="P182" s="185" t="e">
        <f t="shared" si="36"/>
        <v>#DIV/0!</v>
      </c>
      <c r="Q182" s="132">
        <f t="shared" si="37"/>
        <v>6889.375691649669</v>
      </c>
      <c r="R182" s="132">
        <f t="shared" si="48"/>
        <v>3.040000000000002</v>
      </c>
      <c r="S182" s="164" t="e">
        <f t="shared" si="38"/>
        <v>#DIV/0!</v>
      </c>
      <c r="T182" s="132" t="e">
        <f t="shared" si="39"/>
        <v>#NUM!</v>
      </c>
      <c r="U182" s="138" t="e">
        <f t="shared" si="40"/>
        <v>#NUM!</v>
      </c>
      <c r="V182" s="132" t="e">
        <f t="shared" si="41"/>
        <v>#NUM!</v>
      </c>
      <c r="W182" s="132">
        <f t="shared" si="42"/>
        <v>79.17671963948457</v>
      </c>
      <c r="X182" s="138">
        <f t="shared" si="43"/>
        <v>-24.560327505878714</v>
      </c>
      <c r="Y182" s="128" t="str">
        <f t="shared" si="44"/>
        <v>8272.75585605536-3780.63665242488i</v>
      </c>
      <c r="Z182" s="128" t="e">
        <f t="shared" si="45"/>
        <v>#NUM!</v>
      </c>
      <c r="AA182" s="128" t="e">
        <f t="shared" si="49"/>
        <v>#NUM!</v>
      </c>
      <c r="AB182" s="128" t="e">
        <f t="shared" si="50"/>
        <v>#NUM!</v>
      </c>
      <c r="AC182" s="128" t="e">
        <f t="shared" si="51"/>
        <v>#NUM!</v>
      </c>
      <c r="AD182" s="128" t="e">
        <f t="shared" si="52"/>
        <v>#NUM!</v>
      </c>
      <c r="AE182" s="128" t="e">
        <f t="shared" si="53"/>
        <v>#NUM!</v>
      </c>
      <c r="AF182" s="130"/>
      <c r="AG182" s="130"/>
      <c r="AH182" s="130"/>
      <c r="AI182" s="130"/>
      <c r="AJ182" s="130"/>
      <c r="AK182" s="130"/>
      <c r="AL182" s="130"/>
      <c r="AM182" s="130"/>
      <c r="AN182" s="130"/>
      <c r="AO182" s="130"/>
      <c r="AP182" s="130"/>
      <c r="AQ182" s="130"/>
      <c r="AR182" s="130"/>
      <c r="AS182" s="130"/>
    </row>
    <row r="183" spans="1:45" s="166" customFormat="1" ht="12.75">
      <c r="A183" s="132" t="e">
        <f t="shared" si="46"/>
        <v>#DIV/0!</v>
      </c>
      <c r="B183" s="132">
        <f t="shared" si="47"/>
        <v>3.060000000000002</v>
      </c>
      <c r="C183" s="146">
        <f t="shared" si="27"/>
        <v>1148.153621496888</v>
      </c>
      <c r="D183" s="137" t="e">
        <f t="shared" si="28"/>
        <v>#DIV/0!</v>
      </c>
      <c r="E183" s="132" t="e">
        <f t="shared" si="29"/>
        <v>#DIV/0!</v>
      </c>
      <c r="G183" s="146"/>
      <c r="H183" s="184" t="str">
        <f t="shared" si="30"/>
        <v>1E+47-1.38618160594572E+52i</v>
      </c>
      <c r="I183" s="132" t="str">
        <f>IMSUM(IMDIV(1,COMPLEX(0,Q183*MLCC*10^-6)),MLCC_ESR*10^-3)</f>
        <v>1E+47-1.38618160594572E+52i</v>
      </c>
      <c r="J183" s="132" t="str">
        <f t="shared" si="31"/>
        <v>4.99999999999999E+46-6.93090802972862E+51i</v>
      </c>
      <c r="K183" s="132"/>
      <c r="L183" s="132" t="e">
        <f t="shared" si="32"/>
        <v>#DIV/0!</v>
      </c>
      <c r="M183" s="132" t="str">
        <f t="shared" si="33"/>
        <v>0</v>
      </c>
      <c r="N183" s="132" t="e">
        <f t="shared" si="34"/>
        <v>#DIV/0!</v>
      </c>
      <c r="O183" s="185" t="e">
        <f t="shared" si="35"/>
        <v>#DIV/0!</v>
      </c>
      <c r="P183" s="185" t="e">
        <f t="shared" si="36"/>
        <v>#DIV/0!</v>
      </c>
      <c r="Q183" s="132">
        <f t="shared" si="37"/>
        <v>7214.061964974278</v>
      </c>
      <c r="R183" s="132">
        <f t="shared" si="48"/>
        <v>3.060000000000002</v>
      </c>
      <c r="S183" s="164" t="e">
        <f t="shared" si="38"/>
        <v>#DIV/0!</v>
      </c>
      <c r="T183" s="132" t="e">
        <f t="shared" si="39"/>
        <v>#NUM!</v>
      </c>
      <c r="U183" s="138" t="e">
        <f t="shared" si="40"/>
        <v>#NUM!</v>
      </c>
      <c r="V183" s="132" t="e">
        <f t="shared" si="41"/>
        <v>#NUM!</v>
      </c>
      <c r="W183" s="132">
        <f t="shared" si="42"/>
        <v>79.10496166625168</v>
      </c>
      <c r="X183" s="138">
        <f t="shared" si="43"/>
        <v>-25.5729069857458</v>
      </c>
      <c r="Y183" s="128" t="str">
        <f t="shared" si="44"/>
        <v>8137.14980283407-3893.93899310079i</v>
      </c>
      <c r="Z183" s="128" t="e">
        <f t="shared" si="45"/>
        <v>#NUM!</v>
      </c>
      <c r="AA183" s="128" t="e">
        <f t="shared" si="49"/>
        <v>#NUM!</v>
      </c>
      <c r="AB183" s="128" t="e">
        <f t="shared" si="50"/>
        <v>#NUM!</v>
      </c>
      <c r="AC183" s="128" t="e">
        <f t="shared" si="51"/>
        <v>#NUM!</v>
      </c>
      <c r="AD183" s="128" t="e">
        <f t="shared" si="52"/>
        <v>#NUM!</v>
      </c>
      <c r="AE183" s="128" t="e">
        <f t="shared" si="53"/>
        <v>#NUM!</v>
      </c>
      <c r="AF183" s="130"/>
      <c r="AG183" s="130"/>
      <c r="AH183" s="130"/>
      <c r="AI183" s="130"/>
      <c r="AJ183" s="130"/>
      <c r="AK183" s="130"/>
      <c r="AL183" s="130"/>
      <c r="AM183" s="130"/>
      <c r="AN183" s="130"/>
      <c r="AO183" s="130"/>
      <c r="AP183" s="130"/>
      <c r="AQ183" s="130"/>
      <c r="AR183" s="130"/>
      <c r="AS183" s="130"/>
    </row>
    <row r="184" spans="1:45" s="166" customFormat="1" ht="12.75">
      <c r="A184" s="132" t="e">
        <f t="shared" si="46"/>
        <v>#DIV/0!</v>
      </c>
      <c r="B184" s="132">
        <f t="shared" si="47"/>
        <v>3.0800000000000023</v>
      </c>
      <c r="C184" s="146">
        <f t="shared" si="27"/>
        <v>1202.2644346174193</v>
      </c>
      <c r="D184" s="137" t="e">
        <f t="shared" si="28"/>
        <v>#DIV/0!</v>
      </c>
      <c r="E184" s="132" t="e">
        <f t="shared" si="29"/>
        <v>#DIV/0!</v>
      </c>
      <c r="G184" s="146"/>
      <c r="H184" s="184" t="str">
        <f t="shared" si="30"/>
        <v>1E+47-1.32379315655745E+52i</v>
      </c>
      <c r="I184" s="132" t="str">
        <f>IMSUM(IMDIV(1,COMPLEX(0,Q184*MLCC*10^-6)),MLCC_ESR*10^-3)</f>
        <v>1E+47-1.32379315655745E+52i</v>
      </c>
      <c r="J184" s="132" t="str">
        <f t="shared" si="31"/>
        <v>4.99999999999999E+46-6.61896578278726E+51i</v>
      </c>
      <c r="K184" s="132"/>
      <c r="L184" s="132" t="e">
        <f t="shared" si="32"/>
        <v>#DIV/0!</v>
      </c>
      <c r="M184" s="132" t="str">
        <f t="shared" si="33"/>
        <v>0</v>
      </c>
      <c r="N184" s="132" t="e">
        <f t="shared" si="34"/>
        <v>#DIV/0!</v>
      </c>
      <c r="O184" s="185" t="e">
        <f t="shared" si="35"/>
        <v>#DIV/0!</v>
      </c>
      <c r="P184" s="185" t="e">
        <f t="shared" si="36"/>
        <v>#DIV/0!</v>
      </c>
      <c r="Q184" s="132">
        <f t="shared" si="37"/>
        <v>7554.050230932741</v>
      </c>
      <c r="R184" s="132">
        <f t="shared" si="48"/>
        <v>3.080000000000002</v>
      </c>
      <c r="S184" s="164" t="e">
        <f t="shared" si="38"/>
        <v>#DIV/0!</v>
      </c>
      <c r="T184" s="132" t="e">
        <f t="shared" si="39"/>
        <v>#NUM!</v>
      </c>
      <c r="U184" s="138" t="e">
        <f t="shared" si="40"/>
        <v>#NUM!</v>
      </c>
      <c r="V184" s="132" t="e">
        <f t="shared" si="41"/>
        <v>#NUM!</v>
      </c>
      <c r="W184" s="132">
        <f t="shared" si="42"/>
        <v>79.02761984822972</v>
      </c>
      <c r="X184" s="138">
        <f t="shared" si="43"/>
        <v>-26.615170836453288</v>
      </c>
      <c r="Y184" s="128" t="str">
        <f t="shared" si="44"/>
        <v>7993.47880831212-4005.48363112628i</v>
      </c>
      <c r="Z184" s="128" t="e">
        <f t="shared" si="45"/>
        <v>#NUM!</v>
      </c>
      <c r="AA184" s="128" t="e">
        <f t="shared" si="49"/>
        <v>#NUM!</v>
      </c>
      <c r="AB184" s="128" t="e">
        <f t="shared" si="50"/>
        <v>#NUM!</v>
      </c>
      <c r="AC184" s="128" t="e">
        <f t="shared" si="51"/>
        <v>#NUM!</v>
      </c>
      <c r="AD184" s="128" t="e">
        <f t="shared" si="52"/>
        <v>#NUM!</v>
      </c>
      <c r="AE184" s="128" t="e">
        <f t="shared" si="53"/>
        <v>#NUM!</v>
      </c>
      <c r="AF184" s="130"/>
      <c r="AG184" s="130"/>
      <c r="AH184" s="130"/>
      <c r="AI184" s="130"/>
      <c r="AJ184" s="130"/>
      <c r="AK184" s="130"/>
      <c r="AL184" s="130"/>
      <c r="AM184" s="130"/>
      <c r="AN184" s="130"/>
      <c r="AO184" s="130"/>
      <c r="AP184" s="130"/>
      <c r="AQ184" s="130"/>
      <c r="AR184" s="130"/>
      <c r="AS184" s="130"/>
    </row>
    <row r="185" spans="1:45" s="166" customFormat="1" ht="12.75">
      <c r="A185" s="132" t="e">
        <f t="shared" si="46"/>
        <v>#DIV/0!</v>
      </c>
      <c r="B185" s="132">
        <f t="shared" si="47"/>
        <v>3.1000000000000023</v>
      </c>
      <c r="C185" s="146">
        <f t="shared" si="27"/>
        <v>1258.9254117941734</v>
      </c>
      <c r="D185" s="137" t="e">
        <f t="shared" si="28"/>
        <v>#DIV/0!</v>
      </c>
      <c r="E185" s="132" t="e">
        <f t="shared" si="29"/>
        <v>#DIV/0!</v>
      </c>
      <c r="G185" s="146"/>
      <c r="H185" s="184" t="str">
        <f t="shared" si="30"/>
        <v>1E+47-1.26421264993828E+52i</v>
      </c>
      <c r="I185" s="132" t="str">
        <f>IMSUM(IMDIV(1,COMPLEX(0,Q185*MLCC*10^-6)),MLCC_ESR*10^-3)</f>
        <v>1E+47-1.26421264993828E+52i</v>
      </c>
      <c r="J185" s="132" t="str">
        <f t="shared" si="31"/>
        <v>4.99999999999999E+46-6.32106324969141E+51i</v>
      </c>
      <c r="K185" s="132"/>
      <c r="L185" s="132" t="e">
        <f t="shared" si="32"/>
        <v>#DIV/0!</v>
      </c>
      <c r="M185" s="132" t="str">
        <f t="shared" si="33"/>
        <v>0</v>
      </c>
      <c r="N185" s="132" t="e">
        <f t="shared" si="34"/>
        <v>#DIV/0!</v>
      </c>
      <c r="O185" s="185" t="e">
        <f t="shared" si="35"/>
        <v>#DIV/0!</v>
      </c>
      <c r="P185" s="185" t="e">
        <f t="shared" si="36"/>
        <v>#DIV/0!</v>
      </c>
      <c r="Q185" s="132">
        <f t="shared" si="37"/>
        <v>7910.061650220161</v>
      </c>
      <c r="R185" s="132">
        <f t="shared" si="48"/>
        <v>3.100000000000002</v>
      </c>
      <c r="S185" s="164" t="e">
        <f t="shared" si="38"/>
        <v>#DIV/0!</v>
      </c>
      <c r="T185" s="132" t="e">
        <f t="shared" si="39"/>
        <v>#NUM!</v>
      </c>
      <c r="U185" s="138" t="e">
        <f t="shared" si="40"/>
        <v>#NUM!</v>
      </c>
      <c r="V185" s="132" t="e">
        <f t="shared" si="41"/>
        <v>#NUM!</v>
      </c>
      <c r="W185" s="132">
        <f t="shared" si="42"/>
        <v>78.94436991766048</v>
      </c>
      <c r="X185" s="138">
        <f t="shared" si="43"/>
        <v>-27.68657136297558</v>
      </c>
      <c r="Y185" s="128" t="str">
        <f t="shared" si="44"/>
        <v>7841.66547208845-4114.62223105897i</v>
      </c>
      <c r="Z185" s="128" t="e">
        <f t="shared" si="45"/>
        <v>#NUM!</v>
      </c>
      <c r="AA185" s="128" t="e">
        <f t="shared" si="49"/>
        <v>#NUM!</v>
      </c>
      <c r="AB185" s="128" t="e">
        <f t="shared" si="50"/>
        <v>#NUM!</v>
      </c>
      <c r="AC185" s="128" t="e">
        <f t="shared" si="51"/>
        <v>#NUM!</v>
      </c>
      <c r="AD185" s="128" t="e">
        <f t="shared" si="52"/>
        <v>#NUM!</v>
      </c>
      <c r="AE185" s="128" t="e">
        <f t="shared" si="53"/>
        <v>#NUM!</v>
      </c>
      <c r="AF185" s="130"/>
      <c r="AG185" s="130"/>
      <c r="AH185" s="130"/>
      <c r="AI185" s="130"/>
      <c r="AJ185" s="130"/>
      <c r="AK185" s="130"/>
      <c r="AL185" s="130"/>
      <c r="AM185" s="130"/>
      <c r="AN185" s="130"/>
      <c r="AO185" s="130"/>
      <c r="AP185" s="130"/>
      <c r="AQ185" s="130"/>
      <c r="AR185" s="130"/>
      <c r="AS185" s="130"/>
    </row>
    <row r="186" spans="1:45" s="166" customFormat="1" ht="12.75">
      <c r="A186" s="132" t="e">
        <f t="shared" si="46"/>
        <v>#DIV/0!</v>
      </c>
      <c r="B186" s="132">
        <f t="shared" si="47"/>
        <v>3.120000000000002</v>
      </c>
      <c r="C186" s="146">
        <f t="shared" si="27"/>
        <v>1318.2567385564134</v>
      </c>
      <c r="D186" s="137" t="e">
        <f t="shared" si="28"/>
        <v>#DIV/0!</v>
      </c>
      <c r="E186" s="132" t="e">
        <f t="shared" si="29"/>
        <v>#DIV/0!</v>
      </c>
      <c r="G186" s="146"/>
      <c r="H186" s="184" t="str">
        <f t="shared" si="30"/>
        <v>1E+47-1.20731370784557E+52i</v>
      </c>
      <c r="I186" s="132" t="str">
        <f>IMSUM(IMDIV(1,COMPLEX(0,Q186*MLCC*10^-6)),MLCC_ESR*10^-3)</f>
        <v>1E+47-1.20731370784557E+52i</v>
      </c>
      <c r="J186" s="132" t="str">
        <f t="shared" si="31"/>
        <v>4.99999999999999E+46-6.03656853922786E+51i</v>
      </c>
      <c r="K186" s="132"/>
      <c r="L186" s="132" t="e">
        <f t="shared" si="32"/>
        <v>#DIV/0!</v>
      </c>
      <c r="M186" s="132" t="str">
        <f t="shared" si="33"/>
        <v>0</v>
      </c>
      <c r="N186" s="132" t="e">
        <f t="shared" si="34"/>
        <v>#DIV/0!</v>
      </c>
      <c r="O186" s="185" t="e">
        <f t="shared" si="35"/>
        <v>#DIV/0!</v>
      </c>
      <c r="P186" s="185" t="e">
        <f t="shared" si="36"/>
        <v>#DIV/0!</v>
      </c>
      <c r="Q186" s="132">
        <f t="shared" si="37"/>
        <v>8282.851370788138</v>
      </c>
      <c r="R186" s="132">
        <f t="shared" si="48"/>
        <v>3.120000000000002</v>
      </c>
      <c r="S186" s="164" t="e">
        <f t="shared" si="38"/>
        <v>#DIV/0!</v>
      </c>
      <c r="T186" s="132" t="e">
        <f t="shared" si="39"/>
        <v>#NUM!</v>
      </c>
      <c r="U186" s="138" t="e">
        <f t="shared" si="40"/>
        <v>#NUM!</v>
      </c>
      <c r="V186" s="132" t="e">
        <f t="shared" si="41"/>
        <v>#NUM!</v>
      </c>
      <c r="W186" s="132">
        <f t="shared" si="42"/>
        <v>78.8548857621675</v>
      </c>
      <c r="X186" s="138">
        <f t="shared" si="43"/>
        <v>-28.786385134976364</v>
      </c>
      <c r="Y186" s="128" t="str">
        <f t="shared" si="44"/>
        <v>7681.69621901213-4220.67150848901i</v>
      </c>
      <c r="Z186" s="128" t="e">
        <f t="shared" si="45"/>
        <v>#NUM!</v>
      </c>
      <c r="AA186" s="128" t="e">
        <f t="shared" si="49"/>
        <v>#NUM!</v>
      </c>
      <c r="AB186" s="128" t="e">
        <f t="shared" si="50"/>
        <v>#NUM!</v>
      </c>
      <c r="AC186" s="128" t="e">
        <f t="shared" si="51"/>
        <v>#NUM!</v>
      </c>
      <c r="AD186" s="128" t="e">
        <f t="shared" si="52"/>
        <v>#NUM!</v>
      </c>
      <c r="AE186" s="128" t="e">
        <f t="shared" si="53"/>
        <v>#NUM!</v>
      </c>
      <c r="AF186" s="130"/>
      <c r="AG186" s="130"/>
      <c r="AH186" s="130"/>
      <c r="AI186" s="130"/>
      <c r="AJ186" s="130"/>
      <c r="AK186" s="130"/>
      <c r="AL186" s="130"/>
      <c r="AM186" s="130"/>
      <c r="AN186" s="130"/>
      <c r="AO186" s="130"/>
      <c r="AP186" s="130"/>
      <c r="AQ186" s="130"/>
      <c r="AR186" s="130"/>
      <c r="AS186" s="130"/>
    </row>
    <row r="187" spans="1:45" s="166" customFormat="1" ht="12.75">
      <c r="A187" s="132" t="e">
        <f t="shared" si="46"/>
        <v>#DIV/0!</v>
      </c>
      <c r="B187" s="132">
        <f t="shared" si="47"/>
        <v>3.140000000000002</v>
      </c>
      <c r="C187" s="146">
        <f t="shared" si="27"/>
        <v>1380.3842646028913</v>
      </c>
      <c r="D187" s="137" t="e">
        <f t="shared" si="28"/>
        <v>#DIV/0!</v>
      </c>
      <c r="E187" s="132" t="e">
        <f t="shared" si="29"/>
        <v>#DIV/0!</v>
      </c>
      <c r="G187" s="146"/>
      <c r="H187" s="184" t="str">
        <f t="shared" si="30"/>
        <v>1E+47-1.15297563999457E+52i</v>
      </c>
      <c r="I187" s="132" t="str">
        <f>IMSUM(IMDIV(1,COMPLEX(0,Q187*MLCC*10^-6)),MLCC_ESR*10^-3)</f>
        <v>1E+47-1.15297563999457E+52i</v>
      </c>
      <c r="J187" s="132" t="str">
        <f t="shared" si="31"/>
        <v>4.99999999999999E+46-5.76487819997286E+51i</v>
      </c>
      <c r="K187" s="132"/>
      <c r="L187" s="132" t="e">
        <f t="shared" si="32"/>
        <v>#DIV/0!</v>
      </c>
      <c r="M187" s="132" t="str">
        <f t="shared" si="33"/>
        <v>0</v>
      </c>
      <c r="N187" s="132" t="e">
        <f t="shared" si="34"/>
        <v>#DIV/0!</v>
      </c>
      <c r="O187" s="185" t="e">
        <f t="shared" si="35"/>
        <v>#DIV/0!</v>
      </c>
      <c r="P187" s="185" t="e">
        <f t="shared" si="36"/>
        <v>#DIV/0!</v>
      </c>
      <c r="Q187" s="132">
        <f t="shared" si="37"/>
        <v>8673.210129614785</v>
      </c>
      <c r="R187" s="132">
        <f t="shared" si="48"/>
        <v>3.140000000000002</v>
      </c>
      <c r="S187" s="164" t="e">
        <f t="shared" si="38"/>
        <v>#DIV/0!</v>
      </c>
      <c r="T187" s="132" t="e">
        <f t="shared" si="39"/>
        <v>#NUM!</v>
      </c>
      <c r="U187" s="138" t="e">
        <f t="shared" si="40"/>
        <v>#NUM!</v>
      </c>
      <c r="V187" s="132" t="e">
        <f t="shared" si="41"/>
        <v>#NUM!</v>
      </c>
      <c r="W187" s="132">
        <f t="shared" si="42"/>
        <v>78.75884212727749</v>
      </c>
      <c r="X187" s="138">
        <f t="shared" si="43"/>
        <v>-29.913704615965234</v>
      </c>
      <c r="Y187" s="128" t="str">
        <f t="shared" si="44"/>
        <v>7513.62871925615-4322.91990679229i</v>
      </c>
      <c r="Z187" s="128" t="e">
        <f t="shared" si="45"/>
        <v>#NUM!</v>
      </c>
      <c r="AA187" s="128" t="e">
        <f t="shared" si="49"/>
        <v>#NUM!</v>
      </c>
      <c r="AB187" s="128" t="e">
        <f t="shared" si="50"/>
        <v>#NUM!</v>
      </c>
      <c r="AC187" s="128" t="e">
        <f t="shared" si="51"/>
        <v>#NUM!</v>
      </c>
      <c r="AD187" s="128" t="e">
        <f t="shared" si="52"/>
        <v>#NUM!</v>
      </c>
      <c r="AE187" s="128" t="e">
        <f t="shared" si="53"/>
        <v>#NUM!</v>
      </c>
      <c r="AF187" s="130"/>
      <c r="AG187" s="130"/>
      <c r="AH187" s="130"/>
      <c r="AI187" s="130"/>
      <c r="AJ187" s="130"/>
      <c r="AK187" s="130"/>
      <c r="AL187" s="130"/>
      <c r="AM187" s="130"/>
      <c r="AN187" s="130"/>
      <c r="AO187" s="130"/>
      <c r="AP187" s="130"/>
      <c r="AQ187" s="130"/>
      <c r="AR187" s="130"/>
      <c r="AS187" s="130"/>
    </row>
    <row r="188" spans="1:45" s="166" customFormat="1" ht="12.75">
      <c r="A188" s="132" t="e">
        <f t="shared" si="46"/>
        <v>#DIV/0!</v>
      </c>
      <c r="B188" s="132">
        <f t="shared" si="47"/>
        <v>3.1600000000000024</v>
      </c>
      <c r="C188" s="146">
        <f t="shared" si="27"/>
        <v>1445.4397707459352</v>
      </c>
      <c r="D188" s="137" t="e">
        <f t="shared" si="28"/>
        <v>#DIV/0!</v>
      </c>
      <c r="E188" s="132" t="e">
        <f t="shared" si="29"/>
        <v>#DIV/0!</v>
      </c>
      <c r="G188" s="146"/>
      <c r="H188" s="184" t="str">
        <f t="shared" si="30"/>
        <v>1E+47-1.10108318805813E+52i</v>
      </c>
      <c r="I188" s="132" t="str">
        <f>IMSUM(IMDIV(1,COMPLEX(0,Q188*MLCC*10^-6)),MLCC_ESR*10^-3)</f>
        <v>1E+47-1.10108318805813E+52i</v>
      </c>
      <c r="J188" s="132" t="str">
        <f t="shared" si="31"/>
        <v>4.99999999999998E+46-5.50541594029067E+51i</v>
      </c>
      <c r="K188" s="132"/>
      <c r="L188" s="132" t="e">
        <f t="shared" si="32"/>
        <v>#DIV/0!</v>
      </c>
      <c r="M188" s="132" t="str">
        <f t="shared" si="33"/>
        <v>0</v>
      </c>
      <c r="N188" s="132" t="e">
        <f t="shared" si="34"/>
        <v>#DIV/0!</v>
      </c>
      <c r="O188" s="185" t="e">
        <f t="shared" si="35"/>
        <v>#DIV/0!</v>
      </c>
      <c r="P188" s="185" t="e">
        <f t="shared" si="36"/>
        <v>#DIV/0!</v>
      </c>
      <c r="Q188" s="132">
        <f t="shared" si="37"/>
        <v>9081.96592996389</v>
      </c>
      <c r="R188" s="132">
        <f t="shared" si="48"/>
        <v>3.160000000000002</v>
      </c>
      <c r="S188" s="164" t="e">
        <f t="shared" si="38"/>
        <v>#DIV/0!</v>
      </c>
      <c r="T188" s="132" t="e">
        <f t="shared" si="39"/>
        <v>#NUM!</v>
      </c>
      <c r="U188" s="138" t="e">
        <f t="shared" si="40"/>
        <v>#NUM!</v>
      </c>
      <c r="V188" s="132" t="e">
        <f t="shared" si="41"/>
        <v>#NUM!</v>
      </c>
      <c r="W188" s="132">
        <f t="shared" si="42"/>
        <v>78.65591760303822</v>
      </c>
      <c r="X188" s="138">
        <f t="shared" si="43"/>
        <v>-31.06743175574373</v>
      </c>
      <c r="Y188" s="128" t="str">
        <f t="shared" si="44"/>
        <v>7337.5986235965-4420.63580320598i</v>
      </c>
      <c r="Z188" s="128" t="e">
        <f t="shared" si="45"/>
        <v>#NUM!</v>
      </c>
      <c r="AA188" s="128" t="e">
        <f t="shared" si="49"/>
        <v>#NUM!</v>
      </c>
      <c r="AB188" s="128" t="e">
        <f t="shared" si="50"/>
        <v>#NUM!</v>
      </c>
      <c r="AC188" s="128" t="e">
        <f t="shared" si="51"/>
        <v>#NUM!</v>
      </c>
      <c r="AD188" s="128" t="e">
        <f t="shared" si="52"/>
        <v>#NUM!</v>
      </c>
      <c r="AE188" s="128" t="e">
        <f t="shared" si="53"/>
        <v>#NUM!</v>
      </c>
      <c r="AF188" s="130"/>
      <c r="AG188" s="130"/>
      <c r="AH188" s="130"/>
      <c r="AI188" s="130"/>
      <c r="AJ188" s="130"/>
      <c r="AK188" s="130"/>
      <c r="AL188" s="130"/>
      <c r="AM188" s="130"/>
      <c r="AN188" s="130"/>
      <c r="AO188" s="130"/>
      <c r="AP188" s="130"/>
      <c r="AQ188" s="130"/>
      <c r="AR188" s="130"/>
      <c r="AS188" s="130"/>
    </row>
    <row r="189" spans="1:45" s="166" customFormat="1" ht="12.75">
      <c r="A189" s="132" t="e">
        <f t="shared" si="46"/>
        <v>#DIV/0!</v>
      </c>
      <c r="B189" s="132">
        <f t="shared" si="47"/>
        <v>3.1800000000000024</v>
      </c>
      <c r="C189" s="146">
        <f t="shared" si="27"/>
        <v>1513.561248436216</v>
      </c>
      <c r="D189" s="137" t="e">
        <f t="shared" si="28"/>
        <v>#DIV/0!</v>
      </c>
      <c r="E189" s="132" t="e">
        <f t="shared" si="29"/>
        <v>#DIV/0!</v>
      </c>
      <c r="G189" s="146"/>
      <c r="H189" s="184" t="str">
        <f t="shared" si="30"/>
        <v>1E+47-1.05152628118837E+52i</v>
      </c>
      <c r="I189" s="132" t="str">
        <f>IMSUM(IMDIV(1,COMPLEX(0,Q189*MLCC*10^-6)),MLCC_ESR*10^-3)</f>
        <v>1E+47-1.05152628118837E+52i</v>
      </c>
      <c r="J189" s="132" t="str">
        <f t="shared" si="31"/>
        <v>5.00000000000001E+46-5.25763140594184E+51i</v>
      </c>
      <c r="K189" s="132"/>
      <c r="L189" s="132" t="e">
        <f t="shared" si="32"/>
        <v>#DIV/0!</v>
      </c>
      <c r="M189" s="132" t="str">
        <f t="shared" si="33"/>
        <v>0</v>
      </c>
      <c r="N189" s="132" t="e">
        <f t="shared" si="34"/>
        <v>#DIV/0!</v>
      </c>
      <c r="O189" s="185" t="e">
        <f t="shared" si="35"/>
        <v>#DIV/0!</v>
      </c>
      <c r="P189" s="185" t="e">
        <f t="shared" si="36"/>
        <v>#DIV/0!</v>
      </c>
      <c r="Q189" s="132">
        <f t="shared" si="37"/>
        <v>9509.985797690824</v>
      </c>
      <c r="R189" s="132">
        <f t="shared" si="48"/>
        <v>3.180000000000002</v>
      </c>
      <c r="S189" s="164" t="e">
        <f t="shared" si="38"/>
        <v>#DIV/0!</v>
      </c>
      <c r="T189" s="132" t="e">
        <f t="shared" si="39"/>
        <v>#NUM!</v>
      </c>
      <c r="U189" s="138" t="e">
        <f t="shared" si="40"/>
        <v>#NUM!</v>
      </c>
      <c r="V189" s="132" t="e">
        <f t="shared" si="41"/>
        <v>#NUM!</v>
      </c>
      <c r="W189" s="132">
        <f t="shared" si="42"/>
        <v>78.54579786087162</v>
      </c>
      <c r="X189" s="138">
        <f t="shared" si="43"/>
        <v>-32.24627394525109</v>
      </c>
      <c r="Y189" s="128" t="str">
        <f t="shared" si="44"/>
        <v>7153.82528719363-4513.07719987184i</v>
      </c>
      <c r="Z189" s="128" t="e">
        <f t="shared" si="45"/>
        <v>#NUM!</v>
      </c>
      <c r="AA189" s="128" t="e">
        <f t="shared" si="49"/>
        <v>#NUM!</v>
      </c>
      <c r="AB189" s="128" t="e">
        <f t="shared" si="50"/>
        <v>#NUM!</v>
      </c>
      <c r="AC189" s="128" t="e">
        <f t="shared" si="51"/>
        <v>#NUM!</v>
      </c>
      <c r="AD189" s="128" t="e">
        <f t="shared" si="52"/>
        <v>#NUM!</v>
      </c>
      <c r="AE189" s="128" t="e">
        <f t="shared" si="53"/>
        <v>#NUM!</v>
      </c>
      <c r="AF189" s="130"/>
      <c r="AG189" s="130"/>
      <c r="AH189" s="130"/>
      <c r="AI189" s="130"/>
      <c r="AJ189" s="130"/>
      <c r="AK189" s="130"/>
      <c r="AL189" s="130"/>
      <c r="AM189" s="130"/>
      <c r="AN189" s="130"/>
      <c r="AO189" s="130"/>
      <c r="AP189" s="130"/>
      <c r="AQ189" s="130"/>
      <c r="AR189" s="130"/>
      <c r="AS189" s="130"/>
    </row>
    <row r="190" spans="1:45" s="166" customFormat="1" ht="12.75">
      <c r="A190" s="132" t="e">
        <f t="shared" si="46"/>
        <v>#DIV/0!</v>
      </c>
      <c r="B190" s="132">
        <f t="shared" si="47"/>
        <v>3.200000000000002</v>
      </c>
      <c r="C190" s="146">
        <f t="shared" si="27"/>
        <v>1584.8931924611213</v>
      </c>
      <c r="D190" s="137" t="e">
        <f t="shared" si="28"/>
        <v>#DIV/0!</v>
      </c>
      <c r="E190" s="132" t="e">
        <f t="shared" si="29"/>
        <v>#DIV/0!</v>
      </c>
      <c r="G190" s="146"/>
      <c r="H190" s="184" t="str">
        <f t="shared" si="30"/>
        <v>1E+47-1.00419980254158E+52i</v>
      </c>
      <c r="I190" s="132" t="str">
        <f>IMSUM(IMDIV(1,COMPLEX(0,Q190*MLCC*10^-6)),MLCC_ESR*10^-3)</f>
        <v>1E+47-1.00419980254158E+52i</v>
      </c>
      <c r="J190" s="132" t="str">
        <f t="shared" si="31"/>
        <v>4.99999999999999E+46-5.02099901270791E+51i</v>
      </c>
      <c r="K190" s="132"/>
      <c r="L190" s="132" t="e">
        <f t="shared" si="32"/>
        <v>#DIV/0!</v>
      </c>
      <c r="M190" s="132" t="str">
        <f t="shared" si="33"/>
        <v>0</v>
      </c>
      <c r="N190" s="132" t="e">
        <f t="shared" si="34"/>
        <v>#DIV/0!</v>
      </c>
      <c r="O190" s="185" t="e">
        <f t="shared" si="35"/>
        <v>#DIV/0!</v>
      </c>
      <c r="P190" s="185" t="e">
        <f t="shared" si="36"/>
        <v>#DIV/0!</v>
      </c>
      <c r="Q190" s="132">
        <f t="shared" si="37"/>
        <v>9958.177620320666</v>
      </c>
      <c r="R190" s="132">
        <f t="shared" si="48"/>
        <v>3.200000000000002</v>
      </c>
      <c r="S190" s="164" t="e">
        <f t="shared" si="38"/>
        <v>#DIV/0!</v>
      </c>
      <c r="T190" s="132" t="e">
        <f t="shared" si="39"/>
        <v>#NUM!</v>
      </c>
      <c r="U190" s="138" t="e">
        <f t="shared" si="40"/>
        <v>#NUM!</v>
      </c>
      <c r="V190" s="132" t="e">
        <f t="shared" si="41"/>
        <v>#NUM!</v>
      </c>
      <c r="W190" s="132">
        <f t="shared" si="42"/>
        <v>78.42817909349864</v>
      </c>
      <c r="X190" s="138">
        <f t="shared" si="43"/>
        <v>-33.448742711620596</v>
      </c>
      <c r="Y190" s="128" t="str">
        <f t="shared" si="44"/>
        <v>6962.61614599543-4599.502781281i</v>
      </c>
      <c r="Z190" s="128" t="e">
        <f t="shared" si="45"/>
        <v>#NUM!</v>
      </c>
      <c r="AA190" s="128" t="e">
        <f t="shared" si="49"/>
        <v>#NUM!</v>
      </c>
      <c r="AB190" s="128" t="e">
        <f t="shared" si="50"/>
        <v>#NUM!</v>
      </c>
      <c r="AC190" s="128" t="e">
        <f t="shared" si="51"/>
        <v>#NUM!</v>
      </c>
      <c r="AD190" s="128" t="e">
        <f t="shared" si="52"/>
        <v>#NUM!</v>
      </c>
      <c r="AE190" s="128" t="e">
        <f t="shared" si="53"/>
        <v>#NUM!</v>
      </c>
      <c r="AF190" s="130"/>
      <c r="AG190" s="130"/>
      <c r="AH190" s="130"/>
      <c r="AI190" s="130"/>
      <c r="AJ190" s="130"/>
      <c r="AK190" s="130"/>
      <c r="AL190" s="130"/>
      <c r="AM190" s="130"/>
      <c r="AN190" s="130"/>
      <c r="AO190" s="130"/>
      <c r="AP190" s="130"/>
      <c r="AQ190" s="130"/>
      <c r="AR190" s="130"/>
      <c r="AS190" s="130"/>
    </row>
    <row r="191" spans="1:45" s="166" customFormat="1" ht="12.75">
      <c r="A191" s="132" t="e">
        <f t="shared" si="46"/>
        <v>#DIV/0!</v>
      </c>
      <c r="B191" s="132">
        <f t="shared" si="47"/>
        <v>3.2200000000000024</v>
      </c>
      <c r="C191" s="146">
        <f t="shared" si="27"/>
        <v>1659.58690743757</v>
      </c>
      <c r="D191" s="137" t="e">
        <f t="shared" si="28"/>
        <v>#DIV/0!</v>
      </c>
      <c r="E191" s="132" t="e">
        <f t="shared" si="29"/>
        <v>#DIV/0!</v>
      </c>
      <c r="G191" s="146"/>
      <c r="H191" s="184" t="str">
        <f t="shared" si="30"/>
        <v>1E+47-9.59003366311403E+51i</v>
      </c>
      <c r="I191" s="132" t="str">
        <f>IMSUM(IMDIV(1,COMPLEX(0,Q191*MLCC*10^-6)),MLCC_ESR*10^-3)</f>
        <v>1E+47-9.59003366311403E+51i</v>
      </c>
      <c r="J191" s="132" t="str">
        <f t="shared" si="31"/>
        <v>5.00000000000002E+46-4.79501683155701E+51i</v>
      </c>
      <c r="K191" s="132"/>
      <c r="L191" s="132" t="e">
        <f t="shared" si="32"/>
        <v>#DIV/0!</v>
      </c>
      <c r="M191" s="132" t="str">
        <f t="shared" si="33"/>
        <v>0</v>
      </c>
      <c r="N191" s="132" t="e">
        <f t="shared" si="34"/>
        <v>#DIV/0!</v>
      </c>
      <c r="O191" s="185" t="e">
        <f t="shared" si="35"/>
        <v>#DIV/0!</v>
      </c>
      <c r="P191" s="185" t="e">
        <f t="shared" si="36"/>
        <v>#DIV/0!</v>
      </c>
      <c r="Q191" s="132">
        <f t="shared" si="37"/>
        <v>10427.492072799349</v>
      </c>
      <c r="R191" s="132">
        <f t="shared" si="48"/>
        <v>3.220000000000002</v>
      </c>
      <c r="S191" s="164" t="e">
        <f t="shared" si="38"/>
        <v>#DIV/0!</v>
      </c>
      <c r="T191" s="132" t="e">
        <f t="shared" si="39"/>
        <v>#NUM!</v>
      </c>
      <c r="U191" s="138" t="e">
        <f t="shared" si="40"/>
        <v>#NUM!</v>
      </c>
      <c r="V191" s="132" t="e">
        <f t="shared" si="41"/>
        <v>#NUM!</v>
      </c>
      <c r="W191" s="132">
        <f t="shared" si="42"/>
        <v>78.3027715974516</v>
      </c>
      <c r="X191" s="138">
        <f t="shared" si="43"/>
        <v>-34.67315548941384</v>
      </c>
      <c r="Y191" s="128" t="str">
        <f t="shared" si="44"/>
        <v>6764.36941872111-4679.18413868699i</v>
      </c>
      <c r="Z191" s="128" t="e">
        <f t="shared" si="45"/>
        <v>#NUM!</v>
      </c>
      <c r="AA191" s="128" t="e">
        <f t="shared" si="49"/>
        <v>#NUM!</v>
      </c>
      <c r="AB191" s="128" t="e">
        <f t="shared" si="50"/>
        <v>#NUM!</v>
      </c>
      <c r="AC191" s="128" t="e">
        <f t="shared" si="51"/>
        <v>#NUM!</v>
      </c>
      <c r="AD191" s="128" t="e">
        <f t="shared" si="52"/>
        <v>#NUM!</v>
      </c>
      <c r="AE191" s="128" t="e">
        <f t="shared" si="53"/>
        <v>#NUM!</v>
      </c>
      <c r="AF191" s="130"/>
      <c r="AG191" s="130"/>
      <c r="AH191" s="130"/>
      <c r="AI191" s="130"/>
      <c r="AJ191" s="130"/>
      <c r="AK191" s="130"/>
      <c r="AL191" s="130"/>
      <c r="AM191" s="130"/>
      <c r="AN191" s="130"/>
      <c r="AO191" s="130"/>
      <c r="AP191" s="130"/>
      <c r="AQ191" s="130"/>
      <c r="AR191" s="130"/>
      <c r="AS191" s="130"/>
    </row>
    <row r="192" spans="1:45" s="166" customFormat="1" ht="12.75">
      <c r="A192" s="132" t="e">
        <f t="shared" si="46"/>
        <v>#DIV/0!</v>
      </c>
      <c r="B192" s="132">
        <f t="shared" si="47"/>
        <v>3.2400000000000024</v>
      </c>
      <c r="C192" s="146">
        <f t="shared" si="27"/>
        <v>1737.800828749385</v>
      </c>
      <c r="D192" s="137" t="e">
        <f t="shared" si="28"/>
        <v>#DIV/0!</v>
      </c>
      <c r="E192" s="132" t="e">
        <f t="shared" si="29"/>
        <v>#DIV/0!</v>
      </c>
      <c r="G192" s="146"/>
      <c r="H192" s="184" t="str">
        <f t="shared" si="30"/>
        <v>1E+47-9.15841104796989E+51i</v>
      </c>
      <c r="I192" s="132" t="str">
        <f>IMSUM(IMDIV(1,COMPLEX(0,Q192*MLCC*10^-6)),MLCC_ESR*10^-3)</f>
        <v>1E+47-9.15841104796989E+51i</v>
      </c>
      <c r="J192" s="132" t="str">
        <f t="shared" si="31"/>
        <v>5.00000000000001E+46-4.57920552398494E+51i</v>
      </c>
      <c r="K192" s="132"/>
      <c r="L192" s="132" t="e">
        <f t="shared" si="32"/>
        <v>#DIV/0!</v>
      </c>
      <c r="M192" s="132" t="str">
        <f t="shared" si="33"/>
        <v>0</v>
      </c>
      <c r="N192" s="132" t="e">
        <f t="shared" si="34"/>
        <v>#DIV/0!</v>
      </c>
      <c r="O192" s="185" t="e">
        <f t="shared" si="35"/>
        <v>#DIV/0!</v>
      </c>
      <c r="P192" s="185" t="e">
        <f t="shared" si="36"/>
        <v>#DIV/0!</v>
      </c>
      <c r="Q192" s="132">
        <f t="shared" si="37"/>
        <v>10918.924634002644</v>
      </c>
      <c r="R192" s="132">
        <f t="shared" si="48"/>
        <v>3.240000000000002</v>
      </c>
      <c r="S192" s="164" t="e">
        <f t="shared" si="38"/>
        <v>#DIV/0!</v>
      </c>
      <c r="T192" s="132" t="e">
        <f t="shared" si="39"/>
        <v>#NUM!</v>
      </c>
      <c r="U192" s="138" t="e">
        <f t="shared" si="40"/>
        <v>#NUM!</v>
      </c>
      <c r="V192" s="132" t="e">
        <f t="shared" si="41"/>
        <v>#NUM!</v>
      </c>
      <c r="W192" s="132">
        <f t="shared" si="42"/>
        <v>78.16930342513314</v>
      </c>
      <c r="X192" s="138">
        <f t="shared" si="43"/>
        <v>-35.91764074044791</v>
      </c>
      <c r="Y192" s="128" t="str">
        <f t="shared" si="44"/>
        <v>6559.57483715645-4751.41887921547i</v>
      </c>
      <c r="Z192" s="128" t="e">
        <f t="shared" si="45"/>
        <v>#NUM!</v>
      </c>
      <c r="AA192" s="128" t="e">
        <f t="shared" si="49"/>
        <v>#NUM!</v>
      </c>
      <c r="AB192" s="128" t="e">
        <f t="shared" si="50"/>
        <v>#NUM!</v>
      </c>
      <c r="AC192" s="128" t="e">
        <f t="shared" si="51"/>
        <v>#NUM!</v>
      </c>
      <c r="AD192" s="128" t="e">
        <f t="shared" si="52"/>
        <v>#NUM!</v>
      </c>
      <c r="AE192" s="128" t="e">
        <f t="shared" si="53"/>
        <v>#NUM!</v>
      </c>
      <c r="AF192" s="130"/>
      <c r="AG192" s="130"/>
      <c r="AH192" s="130"/>
      <c r="AI192" s="130"/>
      <c r="AJ192" s="130"/>
      <c r="AK192" s="130"/>
      <c r="AL192" s="130"/>
      <c r="AM192" s="130"/>
      <c r="AN192" s="130"/>
      <c r="AO192" s="130"/>
      <c r="AP192" s="130"/>
      <c r="AQ192" s="130"/>
      <c r="AR192" s="130"/>
      <c r="AS192" s="130"/>
    </row>
    <row r="193" spans="1:45" s="166" customFormat="1" ht="12.75">
      <c r="A193" s="132" t="e">
        <f t="shared" si="46"/>
        <v>#DIV/0!</v>
      </c>
      <c r="B193" s="132">
        <f t="shared" si="47"/>
        <v>3.2600000000000025</v>
      </c>
      <c r="C193" s="146">
        <f t="shared" si="27"/>
        <v>1819.700858609993</v>
      </c>
      <c r="D193" s="137" t="e">
        <f t="shared" si="28"/>
        <v>#DIV/0!</v>
      </c>
      <c r="E193" s="132" t="e">
        <f t="shared" si="29"/>
        <v>#DIV/0!</v>
      </c>
      <c r="G193" s="146"/>
      <c r="H193" s="184" t="str">
        <f t="shared" si="30"/>
        <v>1E+47-8.74621465054801E+51i</v>
      </c>
      <c r="I193" s="132" t="str">
        <f>IMSUM(IMDIV(1,COMPLEX(0,Q193*MLCC*10^-6)),MLCC_ESR*10^-3)</f>
        <v>1E+47-8.74621465054801E+51i</v>
      </c>
      <c r="J193" s="132" t="str">
        <f t="shared" si="31"/>
        <v>4.99999999999999E+46-4.37310732527401E+51i</v>
      </c>
      <c r="K193" s="132"/>
      <c r="L193" s="132" t="e">
        <f t="shared" si="32"/>
        <v>#DIV/0!</v>
      </c>
      <c r="M193" s="132" t="str">
        <f t="shared" si="33"/>
        <v>0</v>
      </c>
      <c r="N193" s="132" t="e">
        <f t="shared" si="34"/>
        <v>#DIV/0!</v>
      </c>
      <c r="O193" s="185" t="e">
        <f t="shared" si="35"/>
        <v>#DIV/0!</v>
      </c>
      <c r="P193" s="185" t="e">
        <f t="shared" si="36"/>
        <v>#DIV/0!</v>
      </c>
      <c r="Q193" s="132">
        <f t="shared" si="37"/>
        <v>11433.517698280386</v>
      </c>
      <c r="R193" s="132">
        <f t="shared" si="48"/>
        <v>3.260000000000002</v>
      </c>
      <c r="S193" s="164" t="e">
        <f t="shared" si="38"/>
        <v>#DIV/0!</v>
      </c>
      <c r="T193" s="132" t="e">
        <f t="shared" si="39"/>
        <v>#NUM!</v>
      </c>
      <c r="U193" s="138" t="e">
        <f t="shared" si="40"/>
        <v>#NUM!</v>
      </c>
      <c r="V193" s="132" t="e">
        <f t="shared" si="41"/>
        <v>#NUM!</v>
      </c>
      <c r="W193" s="132">
        <f t="shared" si="42"/>
        <v>78.02752402246264</v>
      </c>
      <c r="X193" s="138">
        <f t="shared" si="43"/>
        <v>-37.18014660960089</v>
      </c>
      <c r="Y193" s="128" t="str">
        <f t="shared" si="44"/>
        <v>6348.81215980169-4815.54425844198i</v>
      </c>
      <c r="Z193" s="128" t="e">
        <f t="shared" si="45"/>
        <v>#NUM!</v>
      </c>
      <c r="AA193" s="128" t="e">
        <f t="shared" si="49"/>
        <v>#NUM!</v>
      </c>
      <c r="AB193" s="128" t="e">
        <f t="shared" si="50"/>
        <v>#NUM!</v>
      </c>
      <c r="AC193" s="128" t="e">
        <f t="shared" si="51"/>
        <v>#NUM!</v>
      </c>
      <c r="AD193" s="128" t="e">
        <f t="shared" si="52"/>
        <v>#NUM!</v>
      </c>
      <c r="AE193" s="128" t="e">
        <f t="shared" si="53"/>
        <v>#NUM!</v>
      </c>
      <c r="AF193" s="130"/>
      <c r="AG193" s="130"/>
      <c r="AH193" s="130"/>
      <c r="AI193" s="130"/>
      <c r="AJ193" s="130"/>
      <c r="AK193" s="130"/>
      <c r="AL193" s="130"/>
      <c r="AM193" s="130"/>
      <c r="AN193" s="130"/>
      <c r="AO193" s="130"/>
      <c r="AP193" s="130"/>
      <c r="AQ193" s="130"/>
      <c r="AR193" s="130"/>
      <c r="AS193" s="130"/>
    </row>
    <row r="194" spans="1:45" s="166" customFormat="1" ht="12.75">
      <c r="A194" s="132" t="e">
        <f t="shared" si="46"/>
        <v>#DIV/0!</v>
      </c>
      <c r="B194" s="132">
        <f t="shared" si="47"/>
        <v>3.280000000000002</v>
      </c>
      <c r="C194" s="146">
        <f t="shared" si="27"/>
        <v>1905.460717963257</v>
      </c>
      <c r="D194" s="137" t="e">
        <f t="shared" si="28"/>
        <v>#DIV/0!</v>
      </c>
      <c r="E194" s="132" t="e">
        <f t="shared" si="29"/>
        <v>#DIV/0!</v>
      </c>
      <c r="G194" s="146"/>
      <c r="H194" s="184" t="str">
        <f t="shared" si="30"/>
        <v>1E+47-8.35257014702543E+51i</v>
      </c>
      <c r="I194" s="132" t="str">
        <f>IMSUM(IMDIV(1,COMPLEX(0,Q194*MLCC*10^-6)),MLCC_ESR*10^-3)</f>
        <v>1E+47-8.35257014702543E+51i</v>
      </c>
      <c r="J194" s="132" t="str">
        <f t="shared" si="31"/>
        <v>5.00000000000002E+46-4.1762850735127E+51i</v>
      </c>
      <c r="K194" s="132"/>
      <c r="L194" s="132" t="e">
        <f t="shared" si="32"/>
        <v>#DIV/0!</v>
      </c>
      <c r="M194" s="132" t="str">
        <f t="shared" si="33"/>
        <v>0</v>
      </c>
      <c r="N194" s="132" t="e">
        <f t="shared" si="34"/>
        <v>#DIV/0!</v>
      </c>
      <c r="O194" s="185" t="e">
        <f t="shared" si="35"/>
        <v>#DIV/0!</v>
      </c>
      <c r="P194" s="185" t="e">
        <f t="shared" si="36"/>
        <v>#DIV/0!</v>
      </c>
      <c r="Q194" s="132">
        <f t="shared" si="37"/>
        <v>11972.3627865146</v>
      </c>
      <c r="R194" s="132">
        <f t="shared" si="48"/>
        <v>3.280000000000002</v>
      </c>
      <c r="S194" s="164" t="e">
        <f t="shared" si="38"/>
        <v>#DIV/0!</v>
      </c>
      <c r="T194" s="132" t="e">
        <f t="shared" si="39"/>
        <v>#NUM!</v>
      </c>
      <c r="U194" s="138" t="e">
        <f t="shared" si="40"/>
        <v>#NUM!</v>
      </c>
      <c r="V194" s="132" t="e">
        <f t="shared" si="41"/>
        <v>#NUM!</v>
      </c>
      <c r="W194" s="132">
        <f t="shared" si="42"/>
        <v>77.87720775977644</v>
      </c>
      <c r="X194" s="138">
        <f t="shared" si="43"/>
        <v>-38.458453199354835</v>
      </c>
      <c r="Y194" s="128" t="str">
        <f t="shared" si="44"/>
        <v>6132.74729860142-4870.95090676557i</v>
      </c>
      <c r="Z194" s="128" t="e">
        <f t="shared" si="45"/>
        <v>#NUM!</v>
      </c>
      <c r="AA194" s="128" t="e">
        <f t="shared" si="49"/>
        <v>#NUM!</v>
      </c>
      <c r="AB194" s="128" t="e">
        <f t="shared" si="50"/>
        <v>#NUM!</v>
      </c>
      <c r="AC194" s="128" t="e">
        <f t="shared" si="51"/>
        <v>#NUM!</v>
      </c>
      <c r="AD194" s="128" t="e">
        <f t="shared" si="52"/>
        <v>#NUM!</v>
      </c>
      <c r="AE194" s="128" t="e">
        <f t="shared" si="53"/>
        <v>#NUM!</v>
      </c>
      <c r="AF194" s="130"/>
      <c r="AG194" s="130"/>
      <c r="AH194" s="130"/>
      <c r="AI194" s="130"/>
      <c r="AJ194" s="130"/>
      <c r="AK194" s="130"/>
      <c r="AL194" s="130"/>
      <c r="AM194" s="130"/>
      <c r="AN194" s="130"/>
      <c r="AO194" s="130"/>
      <c r="AP194" s="130"/>
      <c r="AQ194" s="130"/>
      <c r="AR194" s="130"/>
      <c r="AS194" s="130"/>
    </row>
    <row r="195" spans="1:45" s="166" customFormat="1" ht="12.75">
      <c r="A195" s="132" t="e">
        <f t="shared" si="46"/>
        <v>#DIV/0!</v>
      </c>
      <c r="B195" s="132">
        <f t="shared" si="47"/>
        <v>3.3000000000000025</v>
      </c>
      <c r="C195" s="146">
        <f t="shared" si="27"/>
        <v>1995.2623149688911</v>
      </c>
      <c r="D195" s="137" t="e">
        <f t="shared" si="28"/>
        <v>#DIV/0!</v>
      </c>
      <c r="E195" s="132" t="e">
        <f t="shared" si="29"/>
        <v>#DIV/0!</v>
      </c>
      <c r="G195" s="146"/>
      <c r="H195" s="184" t="str">
        <f t="shared" si="30"/>
        <v>1E+47-7.97664256463323E+51i</v>
      </c>
      <c r="I195" s="132" t="str">
        <f>IMSUM(IMDIV(1,COMPLEX(0,Q195*MLCC*10^-6)),MLCC_ESR*10^-3)</f>
        <v>1E+47-7.97664256463323E+51i</v>
      </c>
      <c r="J195" s="132" t="str">
        <f t="shared" si="31"/>
        <v>5.00000000000002E+46-3.98832128231661E+51i</v>
      </c>
      <c r="K195" s="132"/>
      <c r="L195" s="132" t="e">
        <f t="shared" si="32"/>
        <v>#DIV/0!</v>
      </c>
      <c r="M195" s="132" t="str">
        <f t="shared" si="33"/>
        <v>0</v>
      </c>
      <c r="N195" s="132" t="e">
        <f t="shared" si="34"/>
        <v>#DIV/0!</v>
      </c>
      <c r="O195" s="185" t="e">
        <f t="shared" si="35"/>
        <v>#DIV/0!</v>
      </c>
      <c r="P195" s="185" t="e">
        <f t="shared" si="36"/>
        <v>#DIV/0!</v>
      </c>
      <c r="Q195" s="132">
        <f t="shared" si="37"/>
        <v>12536.602861381665</v>
      </c>
      <c r="R195" s="132">
        <f t="shared" si="48"/>
        <v>3.300000000000002</v>
      </c>
      <c r="S195" s="164" t="e">
        <f t="shared" si="38"/>
        <v>#DIV/0!</v>
      </c>
      <c r="T195" s="132" t="e">
        <f t="shared" si="39"/>
        <v>#NUM!</v>
      </c>
      <c r="U195" s="138" t="e">
        <f t="shared" si="40"/>
        <v>#NUM!</v>
      </c>
      <c r="V195" s="132" t="e">
        <f t="shared" si="41"/>
        <v>#NUM!</v>
      </c>
      <c r="W195" s="132">
        <f t="shared" si="42"/>
        <v>77.71815725867374</v>
      </c>
      <c r="X195" s="138">
        <f t="shared" si="43"/>
        <v>-39.750188425298056</v>
      </c>
      <c r="Y195" s="128" t="str">
        <f t="shared" si="44"/>
        <v>5912.12598327001-4917.09616880514i</v>
      </c>
      <c r="Z195" s="128" t="e">
        <f t="shared" si="45"/>
        <v>#NUM!</v>
      </c>
      <c r="AA195" s="128" t="e">
        <f t="shared" si="49"/>
        <v>#NUM!</v>
      </c>
      <c r="AB195" s="128" t="e">
        <f t="shared" si="50"/>
        <v>#NUM!</v>
      </c>
      <c r="AC195" s="128" t="e">
        <f t="shared" si="51"/>
        <v>#NUM!</v>
      </c>
      <c r="AD195" s="128" t="e">
        <f t="shared" si="52"/>
        <v>#NUM!</v>
      </c>
      <c r="AE195" s="128" t="e">
        <f t="shared" si="53"/>
        <v>#NUM!</v>
      </c>
      <c r="AF195" s="130"/>
      <c r="AG195" s="130"/>
      <c r="AH195" s="130"/>
      <c r="AI195" s="130"/>
      <c r="AJ195" s="130"/>
      <c r="AK195" s="130"/>
      <c r="AL195" s="130"/>
      <c r="AM195" s="130"/>
      <c r="AN195" s="130"/>
      <c r="AO195" s="130"/>
      <c r="AP195" s="130"/>
      <c r="AQ195" s="130"/>
      <c r="AR195" s="130"/>
      <c r="AS195" s="130"/>
    </row>
    <row r="196" spans="1:45" s="166" customFormat="1" ht="12.75">
      <c r="A196" s="132" t="e">
        <f t="shared" si="46"/>
        <v>#DIV/0!</v>
      </c>
      <c r="B196" s="132">
        <f t="shared" si="47"/>
        <v>3.3200000000000025</v>
      </c>
      <c r="C196" s="146">
        <f t="shared" si="27"/>
        <v>2089.296130854051</v>
      </c>
      <c r="D196" s="137" t="e">
        <f t="shared" si="28"/>
        <v>#DIV/0!</v>
      </c>
      <c r="E196" s="132" t="e">
        <f t="shared" si="29"/>
        <v>#DIV/0!</v>
      </c>
      <c r="G196" s="146"/>
      <c r="H196" s="184" t="str">
        <f t="shared" si="30"/>
        <v>1E+47-7.61763451056779E+51i</v>
      </c>
      <c r="I196" s="132" t="str">
        <f>IMSUM(IMDIV(1,COMPLEX(0,Q196*MLCC*10^-6)),MLCC_ESR*10^-3)</f>
        <v>1E+47-7.61763451056779E+51i</v>
      </c>
      <c r="J196" s="132" t="str">
        <f t="shared" si="31"/>
        <v>5.00000000000001E+46-3.80881725528389E+51i</v>
      </c>
      <c r="K196" s="132"/>
      <c r="L196" s="132" t="e">
        <f t="shared" si="32"/>
        <v>#DIV/0!</v>
      </c>
      <c r="M196" s="132" t="str">
        <f t="shared" si="33"/>
        <v>0</v>
      </c>
      <c r="N196" s="132" t="e">
        <f t="shared" si="34"/>
        <v>#DIV/0!</v>
      </c>
      <c r="O196" s="185" t="e">
        <f t="shared" si="35"/>
        <v>#DIV/0!</v>
      </c>
      <c r="P196" s="185" t="e">
        <f t="shared" si="36"/>
        <v>#DIV/0!</v>
      </c>
      <c r="Q196" s="132">
        <f t="shared" si="37"/>
        <v>13127.434751729332</v>
      </c>
      <c r="R196" s="132">
        <f t="shared" si="48"/>
        <v>3.320000000000002</v>
      </c>
      <c r="S196" s="164" t="e">
        <f t="shared" si="38"/>
        <v>#DIV/0!</v>
      </c>
      <c r="T196" s="132" t="e">
        <f t="shared" si="39"/>
        <v>#NUM!</v>
      </c>
      <c r="U196" s="138" t="e">
        <f t="shared" si="40"/>
        <v>#NUM!</v>
      </c>
      <c r="V196" s="132" t="e">
        <f t="shared" si="41"/>
        <v>#NUM!</v>
      </c>
      <c r="W196" s="132">
        <f t="shared" si="42"/>
        <v>77.5502064166451</v>
      </c>
      <c r="X196" s="138">
        <f t="shared" si="43"/>
        <v>-41.05284728377985</v>
      </c>
      <c r="Y196" s="128" t="str">
        <f t="shared" si="44"/>
        <v>5687.76499807779-4953.51654757758i</v>
      </c>
      <c r="Z196" s="128" t="e">
        <f t="shared" si="45"/>
        <v>#NUM!</v>
      </c>
      <c r="AA196" s="128" t="e">
        <f t="shared" si="49"/>
        <v>#NUM!</v>
      </c>
      <c r="AB196" s="128" t="e">
        <f t="shared" si="50"/>
        <v>#NUM!</v>
      </c>
      <c r="AC196" s="128" t="e">
        <f t="shared" si="51"/>
        <v>#NUM!</v>
      </c>
      <c r="AD196" s="128" t="e">
        <f t="shared" si="52"/>
        <v>#NUM!</v>
      </c>
      <c r="AE196" s="128" t="e">
        <f t="shared" si="53"/>
        <v>#NUM!</v>
      </c>
      <c r="AF196" s="130"/>
      <c r="AG196" s="130"/>
      <c r="AH196" s="130"/>
      <c r="AI196" s="130"/>
      <c r="AJ196" s="130"/>
      <c r="AK196" s="130"/>
      <c r="AL196" s="130"/>
      <c r="AM196" s="130"/>
      <c r="AN196" s="130"/>
      <c r="AO196" s="130"/>
      <c r="AP196" s="130"/>
      <c r="AQ196" s="130"/>
      <c r="AR196" s="130"/>
      <c r="AS196" s="130"/>
    </row>
    <row r="197" spans="1:45" s="166" customFormat="1" ht="12.75">
      <c r="A197" s="132" t="e">
        <f t="shared" si="46"/>
        <v>#DIV/0!</v>
      </c>
      <c r="B197" s="132">
        <f t="shared" si="47"/>
        <v>3.3400000000000025</v>
      </c>
      <c r="C197" s="146">
        <f t="shared" si="27"/>
        <v>2187.761623949564</v>
      </c>
      <c r="D197" s="137" t="e">
        <f t="shared" si="28"/>
        <v>#DIV/0!</v>
      </c>
      <c r="E197" s="132" t="e">
        <f t="shared" si="29"/>
        <v>#DIV/0!</v>
      </c>
      <c r="G197" s="146"/>
      <c r="H197" s="184" t="str">
        <f t="shared" si="30"/>
        <v>1E+47-7.27478448061328E+51i</v>
      </c>
      <c r="I197" s="132" t="str">
        <f>IMSUM(IMDIV(1,COMPLEX(0,Q197*MLCC*10^-6)),MLCC_ESR*10^-3)</f>
        <v>1E+47-7.27478448061328E+51i</v>
      </c>
      <c r="J197" s="132" t="str">
        <f t="shared" si="31"/>
        <v>5.00000000000003E+46-3.63739224030663E+51i</v>
      </c>
      <c r="K197" s="132"/>
      <c r="L197" s="132" t="e">
        <f t="shared" si="32"/>
        <v>#DIV/0!</v>
      </c>
      <c r="M197" s="132" t="str">
        <f t="shared" si="33"/>
        <v>0</v>
      </c>
      <c r="N197" s="132" t="e">
        <f t="shared" si="34"/>
        <v>#DIV/0!</v>
      </c>
      <c r="O197" s="185" t="e">
        <f t="shared" si="35"/>
        <v>#DIV/0!</v>
      </c>
      <c r="P197" s="185" t="e">
        <f t="shared" si="36"/>
        <v>#DIV/0!</v>
      </c>
      <c r="Q197" s="132">
        <f t="shared" si="37"/>
        <v>13746.111691211252</v>
      </c>
      <c r="R197" s="132">
        <f t="shared" si="48"/>
        <v>3.340000000000002</v>
      </c>
      <c r="S197" s="164" t="e">
        <f t="shared" si="38"/>
        <v>#DIV/0!</v>
      </c>
      <c r="T197" s="132" t="e">
        <f t="shared" si="39"/>
        <v>#NUM!</v>
      </c>
      <c r="U197" s="138" t="e">
        <f t="shared" si="40"/>
        <v>#NUM!</v>
      </c>
      <c r="V197" s="132" t="e">
        <f t="shared" si="41"/>
        <v>#NUM!</v>
      </c>
      <c r="W197" s="132">
        <f t="shared" si="42"/>
        <v>77.37322303508357</v>
      </c>
      <c r="X197" s="138">
        <f t="shared" si="43"/>
        <v>-42.36381422831814</v>
      </c>
      <c r="Y197" s="128" t="str">
        <f t="shared" si="44"/>
        <v>5460.5411452461-4979.83874633883i</v>
      </c>
      <c r="Z197" s="128" t="e">
        <f t="shared" si="45"/>
        <v>#NUM!</v>
      </c>
      <c r="AA197" s="128" t="e">
        <f t="shared" si="49"/>
        <v>#NUM!</v>
      </c>
      <c r="AB197" s="128" t="e">
        <f t="shared" si="50"/>
        <v>#NUM!</v>
      </c>
      <c r="AC197" s="128" t="e">
        <f t="shared" si="51"/>
        <v>#NUM!</v>
      </c>
      <c r="AD197" s="128" t="e">
        <f t="shared" si="52"/>
        <v>#NUM!</v>
      </c>
      <c r="AE197" s="128" t="e">
        <f t="shared" si="53"/>
        <v>#NUM!</v>
      </c>
      <c r="AF197" s="130"/>
      <c r="AG197" s="130"/>
      <c r="AH197" s="130"/>
      <c r="AI197" s="130"/>
      <c r="AJ197" s="130"/>
      <c r="AK197" s="130"/>
      <c r="AL197" s="130"/>
      <c r="AM197" s="130"/>
      <c r="AN197" s="130"/>
      <c r="AO197" s="130"/>
      <c r="AP197" s="130"/>
      <c r="AQ197" s="130"/>
      <c r="AR197" s="130"/>
      <c r="AS197" s="130"/>
    </row>
    <row r="198" spans="1:45" s="166" customFormat="1" ht="12.75">
      <c r="A198" s="132" t="e">
        <f t="shared" si="46"/>
        <v>#DIV/0!</v>
      </c>
      <c r="B198" s="132">
        <f t="shared" si="47"/>
        <v>3.360000000000002</v>
      </c>
      <c r="C198" s="146">
        <f t="shared" si="27"/>
        <v>2290.867652767785</v>
      </c>
      <c r="D198" s="137" t="e">
        <f t="shared" si="28"/>
        <v>#DIV/0!</v>
      </c>
      <c r="E198" s="132" t="e">
        <f t="shared" si="29"/>
        <v>#DIV/0!</v>
      </c>
      <c r="G198" s="146"/>
      <c r="H198" s="184" t="str">
        <f t="shared" si="30"/>
        <v>1E+47-6.94736524388947E+51i</v>
      </c>
      <c r="I198" s="132" t="str">
        <f>IMSUM(IMDIV(1,COMPLEX(0,Q198*MLCC*10^-6)),MLCC_ESR*10^-3)</f>
        <v>1E+47-6.94736524388947E+51i</v>
      </c>
      <c r="J198" s="132" t="str">
        <f t="shared" si="31"/>
        <v>4.99999999999997E+46-3.47368262194475E+51i</v>
      </c>
      <c r="K198" s="132"/>
      <c r="L198" s="132" t="e">
        <f t="shared" si="32"/>
        <v>#DIV/0!</v>
      </c>
      <c r="M198" s="132" t="str">
        <f t="shared" si="33"/>
        <v>0</v>
      </c>
      <c r="N198" s="132" t="e">
        <f t="shared" si="34"/>
        <v>#DIV/0!</v>
      </c>
      <c r="O198" s="185" t="e">
        <f t="shared" si="35"/>
        <v>#DIV/0!</v>
      </c>
      <c r="P198" s="185" t="e">
        <f t="shared" si="36"/>
        <v>#DIV/0!</v>
      </c>
      <c r="Q198" s="132">
        <f t="shared" si="37"/>
        <v>14393.945976563533</v>
      </c>
      <c r="R198" s="132">
        <f t="shared" si="48"/>
        <v>3.360000000000002</v>
      </c>
      <c r="S198" s="164" t="e">
        <f t="shared" si="38"/>
        <v>#DIV/0!</v>
      </c>
      <c r="T198" s="132" t="e">
        <f t="shared" si="39"/>
        <v>#NUM!</v>
      </c>
      <c r="U198" s="138" t="e">
        <f t="shared" si="40"/>
        <v>#NUM!</v>
      </c>
      <c r="V198" s="132" t="e">
        <f t="shared" si="41"/>
        <v>#NUM!</v>
      </c>
      <c r="W198" s="132">
        <f t="shared" si="42"/>
        <v>77.18711096485377</v>
      </c>
      <c r="X198" s="138">
        <f t="shared" si="43"/>
        <v>-43.68038822117821</v>
      </c>
      <c r="Y198" s="128" t="str">
        <f t="shared" si="44"/>
        <v>5231.37820901553-4995.78883354419i</v>
      </c>
      <c r="Z198" s="128" t="e">
        <f t="shared" si="45"/>
        <v>#NUM!</v>
      </c>
      <c r="AA198" s="128" t="e">
        <f t="shared" si="49"/>
        <v>#NUM!</v>
      </c>
      <c r="AB198" s="128" t="e">
        <f t="shared" si="50"/>
        <v>#NUM!</v>
      </c>
      <c r="AC198" s="128" t="e">
        <f t="shared" si="51"/>
        <v>#NUM!</v>
      </c>
      <c r="AD198" s="128" t="e">
        <f t="shared" si="52"/>
        <v>#NUM!</v>
      </c>
      <c r="AE198" s="128" t="e">
        <f t="shared" si="53"/>
        <v>#NUM!</v>
      </c>
      <c r="AF198" s="130"/>
      <c r="AG198" s="130"/>
      <c r="AH198" s="130"/>
      <c r="AI198" s="130"/>
      <c r="AJ198" s="130"/>
      <c r="AK198" s="130"/>
      <c r="AL198" s="130"/>
      <c r="AM198" s="130"/>
      <c r="AN198" s="130"/>
      <c r="AO198" s="130"/>
      <c r="AP198" s="130"/>
      <c r="AQ198" s="130"/>
      <c r="AR198" s="130"/>
      <c r="AS198" s="130"/>
    </row>
    <row r="199" spans="1:45" s="166" customFormat="1" ht="12.75">
      <c r="A199" s="132" t="e">
        <f t="shared" si="46"/>
        <v>#DIV/0!</v>
      </c>
      <c r="B199" s="132">
        <f t="shared" si="47"/>
        <v>3.3800000000000026</v>
      </c>
      <c r="C199" s="146">
        <f t="shared" si="27"/>
        <v>2398.8329190195045</v>
      </c>
      <c r="D199" s="137" t="e">
        <f t="shared" si="28"/>
        <v>#DIV/0!</v>
      </c>
      <c r="E199" s="132" t="e">
        <f t="shared" si="29"/>
        <v>#DIV/0!</v>
      </c>
      <c r="G199" s="146"/>
      <c r="H199" s="184" t="str">
        <f t="shared" si="30"/>
        <v>1E+47-6.63468230029742E+51i</v>
      </c>
      <c r="I199" s="132" t="str">
        <f>IMSUM(IMDIV(1,COMPLEX(0,Q199*MLCC*10^-6)),MLCC_ESR*10^-3)</f>
        <v>1E+47-6.63468230029742E+51i</v>
      </c>
      <c r="J199" s="132" t="str">
        <f t="shared" si="31"/>
        <v>4.99999999999997E+46-3.31734115014872E+51i</v>
      </c>
      <c r="K199" s="132"/>
      <c r="L199" s="132" t="e">
        <f t="shared" si="32"/>
        <v>#DIV/0!</v>
      </c>
      <c r="M199" s="132" t="str">
        <f t="shared" si="33"/>
        <v>0</v>
      </c>
      <c r="N199" s="132" t="e">
        <f t="shared" si="34"/>
        <v>#DIV/0!</v>
      </c>
      <c r="O199" s="185" t="e">
        <f t="shared" si="35"/>
        <v>#DIV/0!</v>
      </c>
      <c r="P199" s="185" t="e">
        <f t="shared" si="36"/>
        <v>#DIV/0!</v>
      </c>
      <c r="Q199" s="132">
        <f t="shared" si="37"/>
        <v>15072.31175116207</v>
      </c>
      <c r="R199" s="132">
        <f t="shared" si="48"/>
        <v>3.380000000000002</v>
      </c>
      <c r="S199" s="164" t="e">
        <f t="shared" si="38"/>
        <v>#DIV/0!</v>
      </c>
      <c r="T199" s="132" t="e">
        <f t="shared" si="39"/>
        <v>#NUM!</v>
      </c>
      <c r="U199" s="138" t="e">
        <f t="shared" si="40"/>
        <v>#NUM!</v>
      </c>
      <c r="V199" s="132" t="e">
        <f t="shared" si="41"/>
        <v>#NUM!</v>
      </c>
      <c r="W199" s="132">
        <f t="shared" si="42"/>
        <v>76.99181169682389</v>
      </c>
      <c r="X199" s="138">
        <f t="shared" si="43"/>
        <v>-44.99980990915129</v>
      </c>
      <c r="Y199" s="128" t="str">
        <f t="shared" si="44"/>
        <v>5001.23230578048-5001.19912060183i</v>
      </c>
      <c r="Z199" s="128" t="e">
        <f t="shared" si="45"/>
        <v>#NUM!</v>
      </c>
      <c r="AA199" s="128" t="e">
        <f t="shared" si="49"/>
        <v>#NUM!</v>
      </c>
      <c r="AB199" s="128" t="e">
        <f t="shared" si="50"/>
        <v>#NUM!</v>
      </c>
      <c r="AC199" s="128" t="e">
        <f t="shared" si="51"/>
        <v>#NUM!</v>
      </c>
      <c r="AD199" s="128" t="e">
        <f t="shared" si="52"/>
        <v>#NUM!</v>
      </c>
      <c r="AE199" s="128" t="e">
        <f t="shared" si="53"/>
        <v>#NUM!</v>
      </c>
      <c r="AF199" s="130"/>
      <c r="AG199" s="130"/>
      <c r="AH199" s="130"/>
      <c r="AI199" s="130"/>
      <c r="AJ199" s="130"/>
      <c r="AK199" s="130"/>
      <c r="AL199" s="130"/>
      <c r="AM199" s="130"/>
      <c r="AN199" s="130"/>
      <c r="AO199" s="130"/>
      <c r="AP199" s="130"/>
      <c r="AQ199" s="130"/>
      <c r="AR199" s="130"/>
      <c r="AS199" s="130"/>
    </row>
    <row r="200" spans="1:45" s="166" customFormat="1" ht="12.75">
      <c r="A200" s="132" t="e">
        <f t="shared" si="46"/>
        <v>#DIV/0!</v>
      </c>
      <c r="B200" s="132">
        <f t="shared" si="47"/>
        <v>3.4000000000000026</v>
      </c>
      <c r="C200" s="146">
        <f t="shared" si="27"/>
        <v>2511.8864315095943</v>
      </c>
      <c r="D200" s="137" t="e">
        <f t="shared" si="28"/>
        <v>#DIV/0!</v>
      </c>
      <c r="E200" s="132" t="e">
        <f t="shared" si="29"/>
        <v>#DIV/0!</v>
      </c>
      <c r="G200" s="146"/>
      <c r="H200" s="184" t="str">
        <f t="shared" si="30"/>
        <v>1E+47-6.33607240739172E+51i</v>
      </c>
      <c r="I200" s="132" t="str">
        <f>IMSUM(IMDIV(1,COMPLEX(0,Q200*MLCC*10^-6)),MLCC_ESR*10^-3)</f>
        <v>1E+47-6.33607240739172E+51i</v>
      </c>
      <c r="J200" s="132" t="str">
        <f t="shared" si="31"/>
        <v>4.99999999999997E+46-3.16803620369587E+51i</v>
      </c>
      <c r="K200" s="132"/>
      <c r="L200" s="132" t="e">
        <f t="shared" si="32"/>
        <v>#DIV/0!</v>
      </c>
      <c r="M200" s="132" t="str">
        <f t="shared" si="33"/>
        <v>0</v>
      </c>
      <c r="N200" s="132" t="e">
        <f t="shared" si="34"/>
        <v>#DIV/0!</v>
      </c>
      <c r="O200" s="185" t="e">
        <f t="shared" si="35"/>
        <v>#DIV/0!</v>
      </c>
      <c r="P200" s="185" t="e">
        <f t="shared" si="36"/>
        <v>#DIV/0!</v>
      </c>
      <c r="Q200" s="132">
        <f t="shared" si="37"/>
        <v>15782.647919764846</v>
      </c>
      <c r="R200" s="132">
        <f t="shared" si="48"/>
        <v>3.400000000000002</v>
      </c>
      <c r="S200" s="164" t="e">
        <f t="shared" si="38"/>
        <v>#DIV/0!</v>
      </c>
      <c r="T200" s="132" t="e">
        <f t="shared" si="39"/>
        <v>#NUM!</v>
      </c>
      <c r="U200" s="138" t="e">
        <f t="shared" si="40"/>
        <v>#NUM!</v>
      </c>
      <c r="V200" s="132" t="e">
        <f t="shared" si="41"/>
        <v>#NUM!</v>
      </c>
      <c r="W200" s="132">
        <f t="shared" si="42"/>
        <v>76.78730534212234</v>
      </c>
      <c r="X200" s="138">
        <f t="shared" si="43"/>
        <v>-46.31929027601546</v>
      </c>
      <c r="Y200" s="128" t="str">
        <f t="shared" si="44"/>
        <v>4771.07609922818-4996.01243516925i</v>
      </c>
      <c r="Z200" s="128" t="e">
        <f t="shared" si="45"/>
        <v>#NUM!</v>
      </c>
      <c r="AA200" s="128" t="e">
        <f t="shared" si="49"/>
        <v>#NUM!</v>
      </c>
      <c r="AB200" s="128" t="e">
        <f t="shared" si="50"/>
        <v>#NUM!</v>
      </c>
      <c r="AC200" s="128" t="e">
        <f t="shared" si="51"/>
        <v>#NUM!</v>
      </c>
      <c r="AD200" s="128" t="e">
        <f t="shared" si="52"/>
        <v>#NUM!</v>
      </c>
      <c r="AE200" s="128" t="e">
        <f t="shared" si="53"/>
        <v>#NUM!</v>
      </c>
      <c r="AF200" s="130"/>
      <c r="AG200" s="130"/>
      <c r="AH200" s="130"/>
      <c r="AI200" s="130"/>
      <c r="AJ200" s="130"/>
      <c r="AK200" s="130"/>
      <c r="AL200" s="130"/>
      <c r="AM200" s="130"/>
      <c r="AN200" s="130"/>
      <c r="AO200" s="130"/>
      <c r="AP200" s="130"/>
      <c r="AQ200" s="130"/>
      <c r="AR200" s="130"/>
      <c r="AS200" s="130"/>
    </row>
    <row r="201" spans="1:45" s="166" customFormat="1" ht="12.75">
      <c r="A201" s="132" t="e">
        <f t="shared" si="46"/>
        <v>#DIV/0!</v>
      </c>
      <c r="B201" s="132">
        <f t="shared" si="47"/>
        <v>3.4200000000000026</v>
      </c>
      <c r="C201" s="146">
        <f t="shared" si="27"/>
        <v>2630.2679918953963</v>
      </c>
      <c r="D201" s="137" t="e">
        <f t="shared" si="28"/>
        <v>#DIV/0!</v>
      </c>
      <c r="E201" s="132" t="e">
        <f t="shared" si="29"/>
        <v>#DIV/0!</v>
      </c>
      <c r="G201" s="146"/>
      <c r="H201" s="184" t="str">
        <f t="shared" si="30"/>
        <v>1E+47-6.05090217355407E+51i</v>
      </c>
      <c r="I201" s="132" t="str">
        <f>IMSUM(IMDIV(1,COMPLEX(0,Q201*MLCC*10^-6)),MLCC_ESR*10^-3)</f>
        <v>1E+47-6.05090217355407E+51i</v>
      </c>
      <c r="J201" s="132" t="str">
        <f t="shared" si="31"/>
        <v>4.99999999999996E+46-3.02545108677705E+51i</v>
      </c>
      <c r="K201" s="132"/>
      <c r="L201" s="132" t="e">
        <f t="shared" si="32"/>
        <v>#DIV/0!</v>
      </c>
      <c r="M201" s="132" t="str">
        <f t="shared" si="33"/>
        <v>0</v>
      </c>
      <c r="N201" s="132" t="e">
        <f t="shared" si="34"/>
        <v>#DIV/0!</v>
      </c>
      <c r="O201" s="185" t="e">
        <f t="shared" si="35"/>
        <v>#DIV/0!</v>
      </c>
      <c r="P201" s="185" t="e">
        <f t="shared" si="36"/>
        <v>#DIV/0!</v>
      </c>
      <c r="Q201" s="132">
        <f t="shared" si="37"/>
        <v>16526.46120062191</v>
      </c>
      <c r="R201" s="132">
        <f t="shared" si="48"/>
        <v>3.420000000000002</v>
      </c>
      <c r="S201" s="164" t="e">
        <f t="shared" si="38"/>
        <v>#DIV/0!</v>
      </c>
      <c r="T201" s="132" t="e">
        <f t="shared" si="39"/>
        <v>#NUM!</v>
      </c>
      <c r="U201" s="138" t="e">
        <f t="shared" si="40"/>
        <v>#NUM!</v>
      </c>
      <c r="V201" s="132" t="e">
        <f t="shared" si="41"/>
        <v>#NUM!</v>
      </c>
      <c r="W201" s="132">
        <f t="shared" si="42"/>
        <v>76.573610967484</v>
      </c>
      <c r="X201" s="138">
        <f t="shared" si="43"/>
        <v>-47.63604005537602</v>
      </c>
      <c r="Y201" s="128" t="str">
        <f t="shared" si="44"/>
        <v>4541.88242705282-4980.28358898875i</v>
      </c>
      <c r="Z201" s="128" t="e">
        <f t="shared" si="45"/>
        <v>#NUM!</v>
      </c>
      <c r="AA201" s="128" t="e">
        <f t="shared" si="49"/>
        <v>#NUM!</v>
      </c>
      <c r="AB201" s="128" t="e">
        <f t="shared" si="50"/>
        <v>#NUM!</v>
      </c>
      <c r="AC201" s="128" t="e">
        <f t="shared" si="51"/>
        <v>#NUM!</v>
      </c>
      <c r="AD201" s="128" t="e">
        <f t="shared" si="52"/>
        <v>#NUM!</v>
      </c>
      <c r="AE201" s="128" t="e">
        <f t="shared" si="53"/>
        <v>#NUM!</v>
      </c>
      <c r="AF201" s="130"/>
      <c r="AG201" s="130"/>
      <c r="AH201" s="130"/>
      <c r="AI201" s="130"/>
      <c r="AJ201" s="130"/>
      <c r="AK201" s="130"/>
      <c r="AL201" s="130"/>
      <c r="AM201" s="130"/>
      <c r="AN201" s="130"/>
      <c r="AO201" s="130"/>
      <c r="AP201" s="130"/>
      <c r="AQ201" s="130"/>
      <c r="AR201" s="130"/>
      <c r="AS201" s="130"/>
    </row>
    <row r="202" spans="1:45" s="166" customFormat="1" ht="12.75">
      <c r="A202" s="132" t="e">
        <f t="shared" si="46"/>
        <v>#DIV/0!</v>
      </c>
      <c r="B202" s="132">
        <f t="shared" si="47"/>
        <v>3.440000000000002</v>
      </c>
      <c r="C202" s="146">
        <f t="shared" si="27"/>
        <v>2754.2287033381813</v>
      </c>
      <c r="D202" s="137" t="e">
        <f t="shared" si="28"/>
        <v>#DIV/0!</v>
      </c>
      <c r="E202" s="132" t="e">
        <f t="shared" si="29"/>
        <v>#DIV/0!</v>
      </c>
      <c r="G202" s="146"/>
      <c r="H202" s="184" t="str">
        <f t="shared" si="30"/>
        <v>1E+47-5.77856671448514E+51i</v>
      </c>
      <c r="I202" s="132" t="str">
        <f>IMSUM(IMDIV(1,COMPLEX(0,Q202*MLCC*10^-6)),MLCC_ESR*10^-3)</f>
        <v>1E+47-5.77856671448514E+51i</v>
      </c>
      <c r="J202" s="132" t="str">
        <f t="shared" si="31"/>
        <v>5.00000000000002E+46-2.88928335724257E+51i</v>
      </c>
      <c r="K202" s="132"/>
      <c r="L202" s="132" t="e">
        <f t="shared" si="32"/>
        <v>#DIV/0!</v>
      </c>
      <c r="M202" s="132" t="str">
        <f t="shared" si="33"/>
        <v>0</v>
      </c>
      <c r="N202" s="132" t="e">
        <f t="shared" si="34"/>
        <v>#DIV/0!</v>
      </c>
      <c r="O202" s="185" t="e">
        <f t="shared" si="35"/>
        <v>#DIV/0!</v>
      </c>
      <c r="P202" s="185" t="e">
        <f t="shared" si="36"/>
        <v>#DIV/0!</v>
      </c>
      <c r="Q202" s="132">
        <f t="shared" si="37"/>
        <v>17305.329321426743</v>
      </c>
      <c r="R202" s="132">
        <f t="shared" si="48"/>
        <v>3.440000000000002</v>
      </c>
      <c r="S202" s="164" t="e">
        <f t="shared" si="38"/>
        <v>#DIV/0!</v>
      </c>
      <c r="T202" s="132" t="e">
        <f t="shared" si="39"/>
        <v>#NUM!</v>
      </c>
      <c r="U202" s="138" t="e">
        <f t="shared" si="40"/>
        <v>#NUM!</v>
      </c>
      <c r="V202" s="132" t="e">
        <f t="shared" si="41"/>
        <v>#NUM!</v>
      </c>
      <c r="W202" s="132">
        <f t="shared" si="42"/>
        <v>76.35078627373491</v>
      </c>
      <c r="X202" s="138">
        <f t="shared" si="43"/>
        <v>-48.9472991516472</v>
      </c>
      <c r="Y202" s="128" t="str">
        <f t="shared" si="44"/>
        <v>4314.60792145517-4954.17797054529i</v>
      </c>
      <c r="Z202" s="128" t="e">
        <f t="shared" si="45"/>
        <v>#NUM!</v>
      </c>
      <c r="AA202" s="128" t="e">
        <f t="shared" si="49"/>
        <v>#NUM!</v>
      </c>
      <c r="AB202" s="128" t="e">
        <f t="shared" si="50"/>
        <v>#NUM!</v>
      </c>
      <c r="AC202" s="128" t="e">
        <f t="shared" si="51"/>
        <v>#NUM!</v>
      </c>
      <c r="AD202" s="128" t="e">
        <f t="shared" si="52"/>
        <v>#NUM!</v>
      </c>
      <c r="AE202" s="128" t="e">
        <f t="shared" si="53"/>
        <v>#NUM!</v>
      </c>
      <c r="AF202" s="130"/>
      <c r="AG202" s="130"/>
      <c r="AH202" s="130"/>
      <c r="AI202" s="130"/>
      <c r="AJ202" s="130"/>
      <c r="AK202" s="130"/>
      <c r="AL202" s="130"/>
      <c r="AM202" s="130"/>
      <c r="AN202" s="130"/>
      <c r="AO202" s="130"/>
      <c r="AP202" s="130"/>
      <c r="AQ202" s="130"/>
      <c r="AR202" s="130"/>
      <c r="AS202" s="130"/>
    </row>
    <row r="203" spans="1:45" s="166" customFormat="1" ht="12.75">
      <c r="A203" s="132" t="e">
        <f t="shared" si="46"/>
        <v>#DIV/0!</v>
      </c>
      <c r="B203" s="132">
        <f t="shared" si="47"/>
        <v>3.4600000000000026</v>
      </c>
      <c r="C203" s="146">
        <f t="shared" si="27"/>
        <v>2884.031503126623</v>
      </c>
      <c r="D203" s="137" t="e">
        <f t="shared" si="28"/>
        <v>#DIV/0!</v>
      </c>
      <c r="E203" s="132" t="e">
        <f t="shared" si="29"/>
        <v>#DIV/0!</v>
      </c>
      <c r="G203" s="146"/>
      <c r="H203" s="184" t="str">
        <f t="shared" si="30"/>
        <v>1E+47-5.51848837016352E+51i</v>
      </c>
      <c r="I203" s="132" t="str">
        <f>IMSUM(IMDIV(1,COMPLEX(0,Q203*MLCC*10^-6)),MLCC_ESR*10^-3)</f>
        <v>1E+47-5.51848837016352E+51i</v>
      </c>
      <c r="J203" s="132" t="str">
        <f t="shared" si="31"/>
        <v>4.99999999999997E+46-2.75924418508177E+51i</v>
      </c>
      <c r="K203" s="132"/>
      <c r="L203" s="132" t="e">
        <f t="shared" si="32"/>
        <v>#DIV/0!</v>
      </c>
      <c r="M203" s="132" t="str">
        <f t="shared" si="33"/>
        <v>0</v>
      </c>
      <c r="N203" s="132" t="e">
        <f t="shared" si="34"/>
        <v>#DIV/0!</v>
      </c>
      <c r="O203" s="185" t="e">
        <f t="shared" si="35"/>
        <v>#DIV/0!</v>
      </c>
      <c r="P203" s="185" t="e">
        <f t="shared" si="36"/>
        <v>#DIV/0!</v>
      </c>
      <c r="Q203" s="132">
        <f t="shared" si="37"/>
        <v>18120.904365888255</v>
      </c>
      <c r="R203" s="132">
        <f t="shared" si="48"/>
        <v>3.460000000000002</v>
      </c>
      <c r="S203" s="164" t="e">
        <f t="shared" si="38"/>
        <v>#DIV/0!</v>
      </c>
      <c r="T203" s="132" t="e">
        <f t="shared" si="39"/>
        <v>#NUM!</v>
      </c>
      <c r="U203" s="138" t="e">
        <f t="shared" si="40"/>
        <v>#NUM!</v>
      </c>
      <c r="V203" s="132" t="e">
        <f t="shared" si="41"/>
        <v>#NUM!</v>
      </c>
      <c r="W203" s="132">
        <f t="shared" si="42"/>
        <v>76.11892662887443</v>
      </c>
      <c r="X203" s="138">
        <f t="shared" si="43"/>
        <v>-50.25036531655894</v>
      </c>
      <c r="Y203" s="128" t="str">
        <f t="shared" si="44"/>
        <v>4090.17720601613-4917.96732939698i</v>
      </c>
      <c r="Z203" s="128" t="e">
        <f t="shared" si="45"/>
        <v>#NUM!</v>
      </c>
      <c r="AA203" s="128" t="e">
        <f t="shared" si="49"/>
        <v>#NUM!</v>
      </c>
      <c r="AB203" s="128" t="e">
        <f t="shared" si="50"/>
        <v>#NUM!</v>
      </c>
      <c r="AC203" s="128" t="e">
        <f t="shared" si="51"/>
        <v>#NUM!</v>
      </c>
      <c r="AD203" s="128" t="e">
        <f t="shared" si="52"/>
        <v>#NUM!</v>
      </c>
      <c r="AE203" s="128" t="e">
        <f t="shared" si="53"/>
        <v>#NUM!</v>
      </c>
      <c r="AF203" s="130"/>
      <c r="AG203" s="130"/>
      <c r="AH203" s="130"/>
      <c r="AI203" s="130"/>
      <c r="AJ203" s="130"/>
      <c r="AK203" s="130"/>
      <c r="AL203" s="130"/>
      <c r="AM203" s="130"/>
      <c r="AN203" s="130"/>
      <c r="AO203" s="130"/>
      <c r="AP203" s="130"/>
      <c r="AQ203" s="130"/>
      <c r="AR203" s="130"/>
      <c r="AS203" s="130"/>
    </row>
    <row r="204" spans="1:45" s="166" customFormat="1" ht="12.75">
      <c r="A204" s="132" t="e">
        <f t="shared" si="46"/>
        <v>#DIV/0!</v>
      </c>
      <c r="B204" s="132">
        <f t="shared" si="47"/>
        <v>3.4800000000000026</v>
      </c>
      <c r="C204" s="146">
        <f t="shared" si="27"/>
        <v>3019.951720402034</v>
      </c>
      <c r="D204" s="137" t="e">
        <f t="shared" si="28"/>
        <v>#DIV/0!</v>
      </c>
      <c r="E204" s="132" t="e">
        <f t="shared" si="29"/>
        <v>#DIV/0!</v>
      </c>
      <c r="G204" s="146"/>
      <c r="H204" s="184" t="str">
        <f t="shared" si="30"/>
        <v>1E+47-5.27011547955169E+51i</v>
      </c>
      <c r="I204" s="132" t="str">
        <f>IMSUM(IMDIV(1,COMPLEX(0,Q204*MLCC*10^-6)),MLCC_ESR*10^-3)</f>
        <v>1E+47-5.27011547955169E+51i</v>
      </c>
      <c r="J204" s="132" t="str">
        <f t="shared" si="31"/>
        <v>5.00000000000003E+46-2.63505773977584E+51i</v>
      </c>
      <c r="K204" s="132"/>
      <c r="L204" s="132" t="e">
        <f t="shared" si="32"/>
        <v>#DIV/0!</v>
      </c>
      <c r="M204" s="132" t="str">
        <f t="shared" si="33"/>
        <v>0</v>
      </c>
      <c r="N204" s="132" t="e">
        <f t="shared" si="34"/>
        <v>#DIV/0!</v>
      </c>
      <c r="O204" s="185" t="e">
        <f t="shared" si="35"/>
        <v>#DIV/0!</v>
      </c>
      <c r="P204" s="185" t="e">
        <f t="shared" si="36"/>
        <v>#DIV/0!</v>
      </c>
      <c r="Q204" s="132">
        <f t="shared" si="37"/>
        <v>18974.916278021774</v>
      </c>
      <c r="R204" s="132">
        <f t="shared" si="48"/>
        <v>3.480000000000002</v>
      </c>
      <c r="S204" s="164" t="e">
        <f t="shared" si="38"/>
        <v>#DIV/0!</v>
      </c>
      <c r="T204" s="132" t="e">
        <f t="shared" si="39"/>
        <v>#NUM!</v>
      </c>
      <c r="U204" s="138" t="e">
        <f t="shared" si="40"/>
        <v>#NUM!</v>
      </c>
      <c r="V204" s="132" t="e">
        <f t="shared" si="41"/>
        <v>#NUM!</v>
      </c>
      <c r="W204" s="132">
        <f t="shared" si="42"/>
        <v>75.87816348992781</v>
      </c>
      <c r="X204" s="138">
        <f t="shared" si="43"/>
        <v>-51.542621363773456</v>
      </c>
      <c r="Y204" s="128" t="str">
        <f t="shared" si="44"/>
        <v>3869.46821661543-4872.02295053195i</v>
      </c>
      <c r="Z204" s="128" t="e">
        <f t="shared" si="45"/>
        <v>#NUM!</v>
      </c>
      <c r="AA204" s="128" t="e">
        <f t="shared" si="49"/>
        <v>#NUM!</v>
      </c>
      <c r="AB204" s="128" t="e">
        <f t="shared" si="50"/>
        <v>#NUM!</v>
      </c>
      <c r="AC204" s="128" t="e">
        <f t="shared" si="51"/>
        <v>#NUM!</v>
      </c>
      <c r="AD204" s="128" t="e">
        <f t="shared" si="52"/>
        <v>#NUM!</v>
      </c>
      <c r="AE204" s="128" t="e">
        <f t="shared" si="53"/>
        <v>#NUM!</v>
      </c>
      <c r="AF204" s="130"/>
      <c r="AG204" s="130"/>
      <c r="AH204" s="130"/>
      <c r="AI204" s="130"/>
      <c r="AJ204" s="130"/>
      <c r="AK204" s="130"/>
      <c r="AL204" s="130"/>
      <c r="AM204" s="130"/>
      <c r="AN204" s="130"/>
      <c r="AO204" s="130"/>
      <c r="AP204" s="130"/>
      <c r="AQ204" s="130"/>
      <c r="AR204" s="130"/>
      <c r="AS204" s="130"/>
    </row>
    <row r="205" spans="1:45" s="166" customFormat="1" ht="12.75">
      <c r="A205" s="132" t="e">
        <f t="shared" si="46"/>
        <v>#DIV/0!</v>
      </c>
      <c r="B205" s="132">
        <f t="shared" si="47"/>
        <v>3.5000000000000027</v>
      </c>
      <c r="C205" s="146">
        <f t="shared" si="27"/>
        <v>3162.2776601683972</v>
      </c>
      <c r="D205" s="137" t="e">
        <f t="shared" si="28"/>
        <v>#DIV/0!</v>
      </c>
      <c r="E205" s="132" t="e">
        <f t="shared" si="29"/>
        <v>#DIV/0!</v>
      </c>
      <c r="G205" s="146"/>
      <c r="H205" s="184" t="str">
        <f t="shared" si="30"/>
        <v>1E+47-5.03292121044868E+51i</v>
      </c>
      <c r="I205" s="132" t="str">
        <f>IMSUM(IMDIV(1,COMPLEX(0,Q205*MLCC*10^-6)),MLCC_ESR*10^-3)</f>
        <v>1E+47-5.03292121044868E+51i</v>
      </c>
      <c r="J205" s="132" t="str">
        <f t="shared" si="31"/>
        <v>5.00000000000004E+46-2.51646060522433E+51i</v>
      </c>
      <c r="K205" s="132"/>
      <c r="L205" s="132" t="e">
        <f t="shared" si="32"/>
        <v>#DIV/0!</v>
      </c>
      <c r="M205" s="132" t="str">
        <f t="shared" si="33"/>
        <v>0</v>
      </c>
      <c r="N205" s="132" t="e">
        <f t="shared" si="34"/>
        <v>#DIV/0!</v>
      </c>
      <c r="O205" s="185" t="e">
        <f t="shared" si="35"/>
        <v>#DIV/0!</v>
      </c>
      <c r="P205" s="185" t="e">
        <f t="shared" si="36"/>
        <v>#DIV/0!</v>
      </c>
      <c r="Q205" s="132">
        <f t="shared" si="37"/>
        <v>19869.176531592315</v>
      </c>
      <c r="R205" s="132">
        <f t="shared" si="48"/>
        <v>3.500000000000002</v>
      </c>
      <c r="S205" s="164" t="e">
        <f t="shared" si="38"/>
        <v>#DIV/0!</v>
      </c>
      <c r="T205" s="132" t="e">
        <f t="shared" si="39"/>
        <v>#NUM!</v>
      </c>
      <c r="U205" s="138" t="e">
        <f t="shared" si="40"/>
        <v>#NUM!</v>
      </c>
      <c r="V205" s="132" t="e">
        <f t="shared" si="41"/>
        <v>#NUM!</v>
      </c>
      <c r="W205" s="132">
        <f t="shared" si="42"/>
        <v>75.62866226840227</v>
      </c>
      <c r="X205" s="138">
        <f t="shared" si="43"/>
        <v>-52.821560272334075</v>
      </c>
      <c r="Y205" s="128" t="str">
        <f t="shared" si="44"/>
        <v>3653.29912705584-4816.8065337612i</v>
      </c>
      <c r="Z205" s="128" t="e">
        <f t="shared" si="45"/>
        <v>#NUM!</v>
      </c>
      <c r="AA205" s="128" t="e">
        <f t="shared" si="49"/>
        <v>#NUM!</v>
      </c>
      <c r="AB205" s="128" t="e">
        <f t="shared" si="50"/>
        <v>#NUM!</v>
      </c>
      <c r="AC205" s="128" t="e">
        <f t="shared" si="51"/>
        <v>#NUM!</v>
      </c>
      <c r="AD205" s="128" t="e">
        <f t="shared" si="52"/>
        <v>#NUM!</v>
      </c>
      <c r="AE205" s="128" t="e">
        <f t="shared" si="53"/>
        <v>#NUM!</v>
      </c>
      <c r="AF205" s="130"/>
      <c r="AG205" s="130"/>
      <c r="AH205" s="130"/>
      <c r="AI205" s="130"/>
      <c r="AJ205" s="130"/>
      <c r="AK205" s="130"/>
      <c r="AL205" s="130"/>
      <c r="AM205" s="130"/>
      <c r="AN205" s="130"/>
      <c r="AO205" s="130"/>
      <c r="AP205" s="130"/>
      <c r="AQ205" s="130"/>
      <c r="AR205" s="130"/>
      <c r="AS205" s="130"/>
    </row>
    <row r="206" spans="1:45" s="166" customFormat="1" ht="12.75">
      <c r="A206" s="132" t="e">
        <f t="shared" si="46"/>
        <v>#DIV/0!</v>
      </c>
      <c r="B206" s="132">
        <f t="shared" si="47"/>
        <v>3.5200000000000022</v>
      </c>
      <c r="C206" s="146">
        <f t="shared" si="27"/>
        <v>3311.311214825929</v>
      </c>
      <c r="D206" s="137" t="e">
        <f t="shared" si="28"/>
        <v>#DIV/0!</v>
      </c>
      <c r="E206" s="132" t="e">
        <f t="shared" si="29"/>
        <v>#DIV/0!</v>
      </c>
      <c r="G206" s="146"/>
      <c r="H206" s="184" t="str">
        <f t="shared" si="30"/>
        <v>1E+47-4.80640244200851E+51i</v>
      </c>
      <c r="I206" s="132" t="str">
        <f>IMSUM(IMDIV(1,COMPLEX(0,Q206*MLCC*10^-6)),MLCC_ESR*10^-3)</f>
        <v>1E+47-4.80640244200851E+51i</v>
      </c>
      <c r="J206" s="132" t="str">
        <f t="shared" si="31"/>
        <v>4.99999999999999E+46-2.40320122100426E+51i</v>
      </c>
      <c r="K206" s="132"/>
      <c r="L206" s="132" t="e">
        <f t="shared" si="32"/>
        <v>#DIV/0!</v>
      </c>
      <c r="M206" s="132" t="str">
        <f t="shared" si="33"/>
        <v>0</v>
      </c>
      <c r="N206" s="132" t="e">
        <f t="shared" si="34"/>
        <v>#DIV/0!</v>
      </c>
      <c r="O206" s="185" t="e">
        <f t="shared" si="35"/>
        <v>#DIV/0!</v>
      </c>
      <c r="P206" s="185" t="e">
        <f t="shared" si="36"/>
        <v>#DIV/0!</v>
      </c>
      <c r="Q206" s="132">
        <f t="shared" si="37"/>
        <v>20805.581972493263</v>
      </c>
      <c r="R206" s="132">
        <f t="shared" si="48"/>
        <v>3.5200000000000022</v>
      </c>
      <c r="S206" s="164" t="e">
        <f t="shared" si="38"/>
        <v>#DIV/0!</v>
      </c>
      <c r="T206" s="132" t="e">
        <f t="shared" si="39"/>
        <v>#NUM!</v>
      </c>
      <c r="U206" s="138" t="e">
        <f t="shared" si="40"/>
        <v>#NUM!</v>
      </c>
      <c r="V206" s="132" t="e">
        <f t="shared" si="41"/>
        <v>#NUM!</v>
      </c>
      <c r="W206" s="132">
        <f t="shared" si="42"/>
        <v>75.37061971161472</v>
      </c>
      <c r="X206" s="138">
        <f t="shared" si="43"/>
        <v>-54.08480762569299</v>
      </c>
      <c r="Y206" s="128" t="str">
        <f t="shared" si="44"/>
        <v>3442.41726697733-4752.85918679027i</v>
      </c>
      <c r="Z206" s="128" t="e">
        <f t="shared" si="45"/>
        <v>#NUM!</v>
      </c>
      <c r="AA206" s="128" t="e">
        <f t="shared" si="49"/>
        <v>#NUM!</v>
      </c>
      <c r="AB206" s="128" t="e">
        <f t="shared" si="50"/>
        <v>#NUM!</v>
      </c>
      <c r="AC206" s="128" t="e">
        <f t="shared" si="51"/>
        <v>#NUM!</v>
      </c>
      <c r="AD206" s="128" t="e">
        <f t="shared" si="52"/>
        <v>#NUM!</v>
      </c>
      <c r="AE206" s="128" t="e">
        <f t="shared" si="53"/>
        <v>#NUM!</v>
      </c>
      <c r="AF206" s="130"/>
      <c r="AG206" s="130"/>
      <c r="AH206" s="130"/>
      <c r="AI206" s="130"/>
      <c r="AJ206" s="130"/>
      <c r="AK206" s="130"/>
      <c r="AL206" s="130"/>
      <c r="AM206" s="130"/>
      <c r="AN206" s="130"/>
      <c r="AO206" s="130"/>
      <c r="AP206" s="130"/>
      <c r="AQ206" s="130"/>
      <c r="AR206" s="130"/>
      <c r="AS206" s="130"/>
    </row>
    <row r="207" spans="1:45" s="166" customFormat="1" ht="12.75">
      <c r="A207" s="132" t="e">
        <f t="shared" si="46"/>
        <v>#DIV/0!</v>
      </c>
      <c r="B207" s="132">
        <f t="shared" si="47"/>
        <v>3.5400000000000023</v>
      </c>
      <c r="C207" s="146">
        <f t="shared" si="27"/>
        <v>3467.3685045253346</v>
      </c>
      <c r="D207" s="137" t="e">
        <f t="shared" si="28"/>
        <v>#DIV/0!</v>
      </c>
      <c r="E207" s="132" t="e">
        <f t="shared" si="29"/>
        <v>#DIV/0!</v>
      </c>
      <c r="G207" s="146"/>
      <c r="H207" s="184" t="str">
        <f t="shared" si="30"/>
        <v>1E+47-4.59007869755347E+51i</v>
      </c>
      <c r="I207" s="132" t="str">
        <f>IMSUM(IMDIV(1,COMPLEX(0,Q207*MLCC*10^-6)),MLCC_ESR*10^-3)</f>
        <v>1E+47-4.59007869755347E+51i</v>
      </c>
      <c r="J207" s="132" t="str">
        <f t="shared" si="31"/>
        <v>4.99999999999999E+46-2.29503934877674E+51i</v>
      </c>
      <c r="K207" s="132"/>
      <c r="L207" s="132" t="e">
        <f t="shared" si="32"/>
        <v>#DIV/0!</v>
      </c>
      <c r="M207" s="132" t="str">
        <f t="shared" si="33"/>
        <v>0</v>
      </c>
      <c r="N207" s="132" t="e">
        <f t="shared" si="34"/>
        <v>#DIV/0!</v>
      </c>
      <c r="O207" s="185" t="e">
        <f t="shared" si="35"/>
        <v>#DIV/0!</v>
      </c>
      <c r="P207" s="185" t="e">
        <f t="shared" si="36"/>
        <v>#DIV/0!</v>
      </c>
      <c r="Q207" s="132">
        <f t="shared" si="37"/>
        <v>21786.11884221084</v>
      </c>
      <c r="R207" s="132">
        <f t="shared" si="48"/>
        <v>3.5400000000000023</v>
      </c>
      <c r="S207" s="164" t="e">
        <f t="shared" si="38"/>
        <v>#DIV/0!</v>
      </c>
      <c r="T207" s="132" t="e">
        <f t="shared" si="39"/>
        <v>#NUM!</v>
      </c>
      <c r="U207" s="138" t="e">
        <f t="shared" si="40"/>
        <v>#NUM!</v>
      </c>
      <c r="V207" s="132" t="e">
        <f t="shared" si="41"/>
        <v>#NUM!</v>
      </c>
      <c r="W207" s="132">
        <f t="shared" si="42"/>
        <v>75.10426088548346</v>
      </c>
      <c r="X207" s="138">
        <f t="shared" si="43"/>
        <v>-55.33014095010189</v>
      </c>
      <c r="Y207" s="128" t="str">
        <f t="shared" si="44"/>
        <v>3237.49030859866-4680.78900547974i</v>
      </c>
      <c r="Z207" s="128" t="e">
        <f t="shared" si="45"/>
        <v>#NUM!</v>
      </c>
      <c r="AA207" s="128" t="e">
        <f t="shared" si="49"/>
        <v>#NUM!</v>
      </c>
      <c r="AB207" s="128" t="e">
        <f t="shared" si="50"/>
        <v>#NUM!</v>
      </c>
      <c r="AC207" s="128" t="e">
        <f t="shared" si="51"/>
        <v>#NUM!</v>
      </c>
      <c r="AD207" s="128" t="e">
        <f t="shared" si="52"/>
        <v>#NUM!</v>
      </c>
      <c r="AE207" s="128" t="e">
        <f t="shared" si="53"/>
        <v>#NUM!</v>
      </c>
      <c r="AF207" s="130"/>
      <c r="AG207" s="130"/>
      <c r="AH207" s="130"/>
      <c r="AI207" s="130"/>
      <c r="AJ207" s="130"/>
      <c r="AK207" s="130"/>
      <c r="AL207" s="130"/>
      <c r="AM207" s="130"/>
      <c r="AN207" s="130"/>
      <c r="AO207" s="130"/>
      <c r="AP207" s="130"/>
      <c r="AQ207" s="130"/>
      <c r="AR207" s="130"/>
      <c r="AS207" s="130"/>
    </row>
    <row r="208" spans="1:45" s="166" customFormat="1" ht="12.75">
      <c r="A208" s="132" t="e">
        <f t="shared" si="46"/>
        <v>#DIV/0!</v>
      </c>
      <c r="B208" s="132">
        <f t="shared" si="47"/>
        <v>3.560000000000003</v>
      </c>
      <c r="C208" s="146">
        <f aca="true" t="shared" si="54" ref="C208:C271">10^R208</f>
        <v>3630.7805477010384</v>
      </c>
      <c r="D208" s="137" t="e">
        <f aca="true" t="shared" si="55" ref="D208:D271">S208+U208</f>
        <v>#DIV/0!</v>
      </c>
      <c r="E208" s="132" t="e">
        <f aca="true" t="shared" si="56" ref="E208:E271">P208+V208</f>
        <v>#DIV/0!</v>
      </c>
      <c r="G208" s="146"/>
      <c r="H208" s="184" t="str">
        <f aca="true" t="shared" si="57" ref="H208:H271">IMSUM(IMDIV(1,COMPLEX(0,Q208*COUT*10^-6)),ESR*10^-3)</f>
        <v>1E+47-4.38349112541848E+51i</v>
      </c>
      <c r="I208" s="132" t="str">
        <f>IMSUM(IMDIV(1,COMPLEX(0,Q208*MLCC*10^-6)),MLCC_ESR*10^-3)</f>
        <v>1E+47-4.38349112541848E+51i</v>
      </c>
      <c r="J208" s="132" t="str">
        <f aca="true" t="shared" si="58" ref="J208:J271">IMDIV(IMPRODUCT(H208,I208),IMSUM(H208,I208))</f>
        <v>4.99999999999999E+46-2.19174556270924E+51i</v>
      </c>
      <c r="K208" s="132"/>
      <c r="L208" s="132" t="e">
        <f aca="true" t="shared" si="59" ref="L208:L271">IMDIV(IMPRODUCT(J208,VOUT/IOUT_max),IMSUM(J208,VOUT/IOUT_max))</f>
        <v>#DIV/0!</v>
      </c>
      <c r="M208" s="132" t="str">
        <f aca="true" t="shared" si="60" ref="M208:M271">COMPLEX(DCR*10^-3,Q208*LOUT*10^-6)</f>
        <v>0</v>
      </c>
      <c r="N208" s="132" t="e">
        <f aca="true" t="shared" si="61" ref="N208:N271">IMDIV(L208,IMSUM(M208,L208))</f>
        <v>#DIV/0!</v>
      </c>
      <c r="O208" s="185" t="e">
        <f aca="true" t="shared" si="62" ref="O208:O271">20*LOG(IMABS(N208))</f>
        <v>#DIV/0!</v>
      </c>
      <c r="P208" s="185" t="e">
        <f aca="true" t="shared" si="63" ref="P208:P271">180/PI()*IMARGUMENT(N208)</f>
        <v>#DIV/0!</v>
      </c>
      <c r="Q208" s="132">
        <f aca="true" t="shared" si="64" ref="Q208:Q271">2*PI()*C208</f>
        <v>22812.866990908617</v>
      </c>
      <c r="R208" s="132">
        <f t="shared" si="48"/>
        <v>3.5600000000000023</v>
      </c>
      <c r="S208" s="164" t="e">
        <f aca="true" t="shared" si="65" ref="S208:S271">20*LOG(IMABS(N208)*$F$62)</f>
        <v>#DIV/0!</v>
      </c>
      <c r="T208" s="132" t="e">
        <f aca="true" t="shared" si="66" ref="T208:T271">COMPLEX(1,Q208*(R_1+R_2)*C_1*10^-12)</f>
        <v>#NUM!</v>
      </c>
      <c r="U208" s="138" t="e">
        <f aca="true" t="shared" si="67" ref="U208:U271">20*LOG(IMABS(AE217))</f>
        <v>#NUM!</v>
      </c>
      <c r="V208" s="132" t="e">
        <f aca="true" t="shared" si="68" ref="V208:V271">IF(180/PI()*IMARGUMENT(AE217)&lt;0,180/PI()*IMARGUMENT(AE217)+360,180/PI()*IMARGUMENT(AE217))</f>
        <v>#NUM!</v>
      </c>
      <c r="W208" s="132">
        <f aca="true" t="shared" si="69" ref="W208:W271">20*LOG(IMABS(Y208))</f>
        <v>74.82983585305269</v>
      </c>
      <c r="X208" s="138">
        <f aca="true" t="shared" si="70" ref="X208:X271">180/PI()*IMARGUMENT(Y208)</f>
        <v>-56.55550564613869</v>
      </c>
      <c r="Y208" s="128" t="str">
        <f aca="true" t="shared" si="71" ref="Y208:Y271">IMDIV(10^(DCGAIN/20),IMPRODUCT(COMPLEX(1,2*PI()*C208/(2*PI()*(GBWP*10^6/10^(DCGAIN/20)))),COMPLEX(1,2*PI()*C208/(2*PI()*EAP*10^6))))</f>
        <v>3039.09987899312-4601.25774805608i</v>
      </c>
      <c r="Z208" s="128" t="e">
        <f aca="true" t="shared" si="72" ref="Z208:Z271">IMDIV(1,COMPLEX(0,2*PI()*C208*C_3*10^-12))</f>
        <v>#NUM!</v>
      </c>
      <c r="AA208" s="128" t="e">
        <f t="shared" si="49"/>
        <v>#NUM!</v>
      </c>
      <c r="AB208" s="128" t="e">
        <f t="shared" si="50"/>
        <v>#NUM!</v>
      </c>
      <c r="AC208" s="128" t="e">
        <f t="shared" si="51"/>
        <v>#NUM!</v>
      </c>
      <c r="AD208" s="128" t="e">
        <f t="shared" si="52"/>
        <v>#NUM!</v>
      </c>
      <c r="AE208" s="128" t="e">
        <f t="shared" si="53"/>
        <v>#NUM!</v>
      </c>
      <c r="AF208" s="130"/>
      <c r="AG208" s="130"/>
      <c r="AH208" s="130"/>
      <c r="AI208" s="130"/>
      <c r="AJ208" s="130"/>
      <c r="AK208" s="130"/>
      <c r="AL208" s="130"/>
      <c r="AM208" s="130"/>
      <c r="AN208" s="130"/>
      <c r="AO208" s="130"/>
      <c r="AP208" s="130"/>
      <c r="AQ208" s="130"/>
      <c r="AR208" s="130"/>
      <c r="AS208" s="130"/>
    </row>
    <row r="209" spans="1:45" s="166" customFormat="1" ht="12.75">
      <c r="A209" s="132" t="e">
        <f aca="true" t="shared" si="73" ref="A209:A272">ROUND(ABS(D209),3)</f>
        <v>#DIV/0!</v>
      </c>
      <c r="B209" s="132">
        <f aca="true" t="shared" si="74" ref="B209:B272">LOG(C209)</f>
        <v>3.5800000000000027</v>
      </c>
      <c r="C209" s="146">
        <f t="shared" si="54"/>
        <v>3801.893963205637</v>
      </c>
      <c r="D209" s="137" t="e">
        <f t="shared" si="55"/>
        <v>#DIV/0!</v>
      </c>
      <c r="E209" s="132" t="e">
        <f t="shared" si="56"/>
        <v>#DIV/0!</v>
      </c>
      <c r="G209" s="146"/>
      <c r="H209" s="184" t="str">
        <f t="shared" si="57"/>
        <v>1E+47-4.18620152566541E+51i</v>
      </c>
      <c r="I209" s="132" t="str">
        <f>IMSUM(IMDIV(1,COMPLEX(0,Q209*MLCC*10^-6)),MLCC_ESR*10^-3)</f>
        <v>1E+47-4.18620152566541E+51i</v>
      </c>
      <c r="J209" s="132" t="str">
        <f t="shared" si="58"/>
        <v>5E+46-2.0931007628327E+51i</v>
      </c>
      <c r="K209" s="132"/>
      <c r="L209" s="132" t="e">
        <f t="shared" si="59"/>
        <v>#DIV/0!</v>
      </c>
      <c r="M209" s="132" t="str">
        <f t="shared" si="60"/>
        <v>0</v>
      </c>
      <c r="N209" s="132" t="e">
        <f t="shared" si="61"/>
        <v>#DIV/0!</v>
      </c>
      <c r="O209" s="185" t="e">
        <f t="shared" si="62"/>
        <v>#DIV/0!</v>
      </c>
      <c r="P209" s="185" t="e">
        <f t="shared" si="63"/>
        <v>#DIV/0!</v>
      </c>
      <c r="Q209" s="132">
        <f t="shared" si="64"/>
        <v>23888.004289068427</v>
      </c>
      <c r="R209" s="132">
        <f aca="true" t="shared" si="75" ref="R209:R272">R208+0.02</f>
        <v>3.5800000000000023</v>
      </c>
      <c r="S209" s="164" t="e">
        <f t="shared" si="65"/>
        <v>#DIV/0!</v>
      </c>
      <c r="T209" s="132" t="e">
        <f t="shared" si="66"/>
        <v>#NUM!</v>
      </c>
      <c r="U209" s="138" t="e">
        <f t="shared" si="67"/>
        <v>#NUM!</v>
      </c>
      <c r="V209" s="132" t="e">
        <f t="shared" si="68"/>
        <v>#NUM!</v>
      </c>
      <c r="W209" s="132">
        <f t="shared" si="69"/>
        <v>74.54761614688175</v>
      </c>
      <c r="X209" s="138">
        <f t="shared" si="70"/>
        <v>-57.75902734173803</v>
      </c>
      <c r="Y209" s="128" t="str">
        <f t="shared" si="71"/>
        <v>2847.73763521738-4514.9671117997i</v>
      </c>
      <c r="Z209" s="128" t="e">
        <f t="shared" si="72"/>
        <v>#NUM!</v>
      </c>
      <c r="AA209" s="128" t="e">
        <f t="shared" si="49"/>
        <v>#NUM!</v>
      </c>
      <c r="AB209" s="128" t="e">
        <f t="shared" si="50"/>
        <v>#NUM!</v>
      </c>
      <c r="AC209" s="128" t="e">
        <f t="shared" si="51"/>
        <v>#NUM!</v>
      </c>
      <c r="AD209" s="128" t="e">
        <f t="shared" si="52"/>
        <v>#NUM!</v>
      </c>
      <c r="AE209" s="128" t="e">
        <f t="shared" si="53"/>
        <v>#NUM!</v>
      </c>
      <c r="AF209" s="130"/>
      <c r="AG209" s="130"/>
      <c r="AH209" s="130"/>
      <c r="AI209" s="130"/>
      <c r="AJ209" s="130"/>
      <c r="AK209" s="130"/>
      <c r="AL209" s="130"/>
      <c r="AM209" s="130"/>
      <c r="AN209" s="130"/>
      <c r="AO209" s="130"/>
      <c r="AP209" s="130"/>
      <c r="AQ209" s="130"/>
      <c r="AR209" s="130"/>
      <c r="AS209" s="130"/>
    </row>
    <row r="210" spans="1:45" s="166" customFormat="1" ht="12.75">
      <c r="A210" s="132" t="e">
        <f t="shared" si="73"/>
        <v>#DIV/0!</v>
      </c>
      <c r="B210" s="132">
        <f t="shared" si="74"/>
        <v>3.6000000000000028</v>
      </c>
      <c r="C210" s="146">
        <f t="shared" si="54"/>
        <v>3981.0717055349983</v>
      </c>
      <c r="D210" s="137" t="e">
        <f t="shared" si="55"/>
        <v>#DIV/0!</v>
      </c>
      <c r="E210" s="132" t="e">
        <f t="shared" si="56"/>
        <v>#DIV/0!</v>
      </c>
      <c r="G210" s="146"/>
      <c r="H210" s="184" t="str">
        <f t="shared" si="57"/>
        <v>1E+47-3.99779142060208E+51i</v>
      </c>
      <c r="I210" s="132" t="str">
        <f>IMSUM(IMDIV(1,COMPLEX(0,Q210*MLCC*10^-6)),MLCC_ESR*10^-3)</f>
        <v>1E+47-3.99779142060208E+51i</v>
      </c>
      <c r="J210" s="132" t="str">
        <f t="shared" si="58"/>
        <v>5E+46-1.99889571030104E+51i</v>
      </c>
      <c r="K210" s="132"/>
      <c r="L210" s="132" t="e">
        <f t="shared" si="59"/>
        <v>#DIV/0!</v>
      </c>
      <c r="M210" s="132" t="str">
        <f t="shared" si="60"/>
        <v>0</v>
      </c>
      <c r="N210" s="132" t="e">
        <f t="shared" si="61"/>
        <v>#DIV/0!</v>
      </c>
      <c r="O210" s="185" t="e">
        <f t="shared" si="62"/>
        <v>#DIV/0!</v>
      </c>
      <c r="P210" s="185" t="e">
        <f t="shared" si="63"/>
        <v>#DIV/0!</v>
      </c>
      <c r="Q210" s="132">
        <f t="shared" si="64"/>
        <v>25013.811247045876</v>
      </c>
      <c r="R210" s="132">
        <f t="shared" si="75"/>
        <v>3.6000000000000023</v>
      </c>
      <c r="S210" s="164" t="e">
        <f t="shared" si="65"/>
        <v>#DIV/0!</v>
      </c>
      <c r="T210" s="132" t="e">
        <f t="shared" si="66"/>
        <v>#NUM!</v>
      </c>
      <c r="U210" s="138" t="e">
        <f t="shared" si="67"/>
        <v>#NUM!</v>
      </c>
      <c r="V210" s="132" t="e">
        <f t="shared" si="68"/>
        <v>#NUM!</v>
      </c>
      <c r="W210" s="132">
        <f t="shared" si="69"/>
        <v>74.25789113267065</v>
      </c>
      <c r="X210" s="138">
        <f t="shared" si="70"/>
        <v>-58.93902062626873</v>
      </c>
      <c r="Y210" s="128" t="str">
        <f t="shared" si="71"/>
        <v>2663.8037289972-4422.64509382847i</v>
      </c>
      <c r="Z210" s="128" t="e">
        <f t="shared" si="72"/>
        <v>#NUM!</v>
      </c>
      <c r="AA210" s="128" t="e">
        <f t="shared" si="49"/>
        <v>#NUM!</v>
      </c>
      <c r="AB210" s="128" t="e">
        <f t="shared" si="50"/>
        <v>#NUM!</v>
      </c>
      <c r="AC210" s="128" t="e">
        <f t="shared" si="51"/>
        <v>#NUM!</v>
      </c>
      <c r="AD210" s="128" t="e">
        <f t="shared" si="52"/>
        <v>#NUM!</v>
      </c>
      <c r="AE210" s="128" t="e">
        <f t="shared" si="53"/>
        <v>#NUM!</v>
      </c>
      <c r="AF210" s="130"/>
      <c r="AG210" s="130"/>
      <c r="AH210" s="130"/>
      <c r="AI210" s="130"/>
      <c r="AJ210" s="130"/>
      <c r="AK210" s="130"/>
      <c r="AL210" s="130"/>
      <c r="AM210" s="130"/>
      <c r="AN210" s="130"/>
      <c r="AO210" s="130"/>
      <c r="AP210" s="130"/>
      <c r="AQ210" s="130"/>
      <c r="AR210" s="130"/>
      <c r="AS210" s="130"/>
    </row>
    <row r="211" spans="1:45" s="166" customFormat="1" ht="12.75">
      <c r="A211" s="132" t="e">
        <f t="shared" si="73"/>
        <v>#DIV/0!</v>
      </c>
      <c r="B211" s="132">
        <f t="shared" si="74"/>
        <v>3.6200000000000028</v>
      </c>
      <c r="C211" s="146">
        <f t="shared" si="54"/>
        <v>4168.69383470338</v>
      </c>
      <c r="D211" s="137" t="e">
        <f t="shared" si="55"/>
        <v>#DIV/0!</v>
      </c>
      <c r="E211" s="132" t="e">
        <f t="shared" si="56"/>
        <v>#DIV/0!</v>
      </c>
      <c r="G211" s="146"/>
      <c r="H211" s="184" t="str">
        <f t="shared" si="57"/>
        <v>1E+47-3.8178611671351E+51i</v>
      </c>
      <c r="I211" s="132" t="str">
        <f>IMSUM(IMDIV(1,COMPLEX(0,Q211*MLCC*10^-6)),MLCC_ESR*10^-3)</f>
        <v>1E+47-3.8178611671351E+51i</v>
      </c>
      <c r="J211" s="132" t="str">
        <f t="shared" si="58"/>
        <v>5E+46-1.90893058356755E+51i</v>
      </c>
      <c r="K211" s="132"/>
      <c r="L211" s="132" t="e">
        <f t="shared" si="59"/>
        <v>#DIV/0!</v>
      </c>
      <c r="M211" s="132" t="str">
        <f t="shared" si="60"/>
        <v>0</v>
      </c>
      <c r="N211" s="132" t="e">
        <f t="shared" si="61"/>
        <v>#DIV/0!</v>
      </c>
      <c r="O211" s="185" t="e">
        <f t="shared" si="62"/>
        <v>#DIV/0!</v>
      </c>
      <c r="P211" s="185" t="e">
        <f t="shared" si="63"/>
        <v>#DIV/0!</v>
      </c>
      <c r="Q211" s="132">
        <f t="shared" si="64"/>
        <v>26192.675852338405</v>
      </c>
      <c r="R211" s="132">
        <f t="shared" si="75"/>
        <v>3.6200000000000023</v>
      </c>
      <c r="S211" s="164" t="e">
        <f t="shared" si="65"/>
        <v>#DIV/0!</v>
      </c>
      <c r="T211" s="132" t="e">
        <f t="shared" si="66"/>
        <v>#NUM!</v>
      </c>
      <c r="U211" s="138" t="e">
        <f t="shared" si="67"/>
        <v>#NUM!</v>
      </c>
      <c r="V211" s="132" t="e">
        <f t="shared" si="68"/>
        <v>#NUM!</v>
      </c>
      <c r="W211" s="132">
        <f t="shared" si="69"/>
        <v>73.96096435659823</v>
      </c>
      <c r="X211" s="138">
        <f t="shared" si="70"/>
        <v>-60.09399424602545</v>
      </c>
      <c r="Y211" s="128" t="str">
        <f t="shared" si="71"/>
        <v>2487.60749250561-4325.03286693113i</v>
      </c>
      <c r="Z211" s="128" t="e">
        <f t="shared" si="72"/>
        <v>#NUM!</v>
      </c>
      <c r="AA211" s="128" t="e">
        <f t="shared" si="49"/>
        <v>#NUM!</v>
      </c>
      <c r="AB211" s="128" t="e">
        <f t="shared" si="50"/>
        <v>#NUM!</v>
      </c>
      <c r="AC211" s="128" t="e">
        <f t="shared" si="51"/>
        <v>#NUM!</v>
      </c>
      <c r="AD211" s="128" t="e">
        <f t="shared" si="52"/>
        <v>#NUM!</v>
      </c>
      <c r="AE211" s="128" t="e">
        <f t="shared" si="53"/>
        <v>#NUM!</v>
      </c>
      <c r="AF211" s="130"/>
      <c r="AG211" s="130"/>
      <c r="AH211" s="130"/>
      <c r="AI211" s="130"/>
      <c r="AJ211" s="130"/>
      <c r="AK211" s="130"/>
      <c r="AL211" s="130"/>
      <c r="AM211" s="130"/>
      <c r="AN211" s="130"/>
      <c r="AO211" s="130"/>
      <c r="AP211" s="130"/>
      <c r="AQ211" s="130"/>
      <c r="AR211" s="130"/>
      <c r="AS211" s="130"/>
    </row>
    <row r="212" spans="1:45" s="166" customFormat="1" ht="12.75">
      <c r="A212" s="132" t="e">
        <f t="shared" si="73"/>
        <v>#DIV/0!</v>
      </c>
      <c r="B212" s="132">
        <f t="shared" si="74"/>
        <v>3.640000000000003</v>
      </c>
      <c r="C212" s="146">
        <f t="shared" si="54"/>
        <v>4365.158322401686</v>
      </c>
      <c r="D212" s="137" t="e">
        <f t="shared" si="55"/>
        <v>#DIV/0!</v>
      </c>
      <c r="E212" s="132" t="e">
        <f t="shared" si="56"/>
        <v>#DIV/0!</v>
      </c>
      <c r="G212" s="146"/>
      <c r="H212" s="184" t="str">
        <f t="shared" si="57"/>
        <v>1E+47-3.64602910907316E+51i</v>
      </c>
      <c r="I212" s="132" t="str">
        <f>IMSUM(IMDIV(1,COMPLEX(0,Q212*MLCC*10^-6)),MLCC_ESR*10^-3)</f>
        <v>1E+47-3.64602910907316E+51i</v>
      </c>
      <c r="J212" s="132" t="str">
        <f t="shared" si="58"/>
        <v>5.00000000000001E+46-1.82301455453658E+51i</v>
      </c>
      <c r="K212" s="132"/>
      <c r="L212" s="132" t="e">
        <f t="shared" si="59"/>
        <v>#DIV/0!</v>
      </c>
      <c r="M212" s="132" t="str">
        <f t="shared" si="60"/>
        <v>0</v>
      </c>
      <c r="N212" s="132" t="e">
        <f t="shared" si="61"/>
        <v>#DIV/0!</v>
      </c>
      <c r="O212" s="185" t="e">
        <f t="shared" si="62"/>
        <v>#DIV/0!</v>
      </c>
      <c r="P212" s="185" t="e">
        <f t="shared" si="63"/>
        <v>#DIV/0!</v>
      </c>
      <c r="Q212" s="132">
        <f t="shared" si="64"/>
        <v>27427.098634826965</v>
      </c>
      <c r="R212" s="132">
        <f t="shared" si="75"/>
        <v>3.6400000000000023</v>
      </c>
      <c r="S212" s="164" t="e">
        <f t="shared" si="65"/>
        <v>#DIV/0!</v>
      </c>
      <c r="T212" s="132" t="e">
        <f t="shared" si="66"/>
        <v>#NUM!</v>
      </c>
      <c r="U212" s="138" t="e">
        <f t="shared" si="67"/>
        <v>#NUM!</v>
      </c>
      <c r="V212" s="132" t="e">
        <f t="shared" si="68"/>
        <v>#NUM!</v>
      </c>
      <c r="W212" s="132">
        <f t="shared" si="69"/>
        <v>73.65714996053885</v>
      </c>
      <c r="X212" s="138">
        <f t="shared" si="70"/>
        <v>-61.2226529465052</v>
      </c>
      <c r="Y212" s="128" t="str">
        <f t="shared" si="71"/>
        <v>2319.37010162588-4222.87253325809i</v>
      </c>
      <c r="Z212" s="128" t="e">
        <f t="shared" si="72"/>
        <v>#NUM!</v>
      </c>
      <c r="AA212" s="128" t="e">
        <f t="shared" si="49"/>
        <v>#NUM!</v>
      </c>
      <c r="AB212" s="128" t="e">
        <f t="shared" si="50"/>
        <v>#NUM!</v>
      </c>
      <c r="AC212" s="128" t="e">
        <f t="shared" si="51"/>
        <v>#NUM!</v>
      </c>
      <c r="AD212" s="128" t="e">
        <f t="shared" si="52"/>
        <v>#NUM!</v>
      </c>
      <c r="AE212" s="128" t="e">
        <f t="shared" si="53"/>
        <v>#NUM!</v>
      </c>
      <c r="AF212" s="130"/>
      <c r="AG212" s="130"/>
      <c r="AH212" s="130"/>
      <c r="AI212" s="130"/>
      <c r="AJ212" s="130"/>
      <c r="AK212" s="130"/>
      <c r="AL212" s="130"/>
      <c r="AM212" s="130"/>
      <c r="AN212" s="130"/>
      <c r="AO212" s="130"/>
      <c r="AP212" s="130"/>
      <c r="AQ212" s="130"/>
      <c r="AR212" s="130"/>
      <c r="AS212" s="130"/>
    </row>
    <row r="213" spans="1:45" s="166" customFormat="1" ht="12.75">
      <c r="A213" s="132" t="e">
        <f t="shared" si="73"/>
        <v>#DIV/0!</v>
      </c>
      <c r="B213" s="132">
        <f t="shared" si="74"/>
        <v>3.6600000000000024</v>
      </c>
      <c r="C213" s="146">
        <f t="shared" si="54"/>
        <v>4570.881896148777</v>
      </c>
      <c r="D213" s="137" t="e">
        <f t="shared" si="55"/>
        <v>#DIV/0!</v>
      </c>
      <c r="E213" s="132" t="e">
        <f t="shared" si="56"/>
        <v>#DIV/0!</v>
      </c>
      <c r="G213" s="146"/>
      <c r="H213" s="184" t="str">
        <f t="shared" si="57"/>
        <v>1E+47-3.48193076758321E+51i</v>
      </c>
      <c r="I213" s="132" t="str">
        <f>IMSUM(IMDIV(1,COMPLEX(0,Q213*MLCC*10^-6)),MLCC_ESR*10^-3)</f>
        <v>1E+47-3.48193076758321E+51i</v>
      </c>
      <c r="J213" s="132" t="str">
        <f t="shared" si="58"/>
        <v>5E+46-1.7409653837916E+51i</v>
      </c>
      <c r="K213" s="132"/>
      <c r="L213" s="132" t="e">
        <f t="shared" si="59"/>
        <v>#DIV/0!</v>
      </c>
      <c r="M213" s="132" t="str">
        <f t="shared" si="60"/>
        <v>0</v>
      </c>
      <c r="N213" s="132" t="e">
        <f t="shared" si="61"/>
        <v>#DIV/0!</v>
      </c>
      <c r="O213" s="185" t="e">
        <f t="shared" si="62"/>
        <v>#DIV/0!</v>
      </c>
      <c r="P213" s="185" t="e">
        <f t="shared" si="63"/>
        <v>#DIV/0!</v>
      </c>
      <c r="Q213" s="132">
        <f t="shared" si="64"/>
        <v>28719.69797073516</v>
      </c>
      <c r="R213" s="132">
        <f t="shared" si="75"/>
        <v>3.6600000000000024</v>
      </c>
      <c r="S213" s="164" t="e">
        <f t="shared" si="65"/>
        <v>#DIV/0!</v>
      </c>
      <c r="T213" s="132" t="e">
        <f t="shared" si="66"/>
        <v>#NUM!</v>
      </c>
      <c r="U213" s="138" t="e">
        <f t="shared" si="67"/>
        <v>#NUM!</v>
      </c>
      <c r="V213" s="132" t="e">
        <f t="shared" si="68"/>
        <v>#NUM!</v>
      </c>
      <c r="W213" s="132">
        <f t="shared" si="69"/>
        <v>73.34676923844854</v>
      </c>
      <c r="X213" s="138">
        <f t="shared" si="70"/>
        <v>-62.323896232315576</v>
      </c>
      <c r="Y213" s="128" t="str">
        <f t="shared" si="71"/>
        <v>2159.22892029832-4116.89603987133i</v>
      </c>
      <c r="Z213" s="128" t="e">
        <f t="shared" si="72"/>
        <v>#NUM!</v>
      </c>
      <c r="AA213" s="128" t="e">
        <f t="shared" si="49"/>
        <v>#NUM!</v>
      </c>
      <c r="AB213" s="128" t="e">
        <f t="shared" si="50"/>
        <v>#NUM!</v>
      </c>
      <c r="AC213" s="128" t="e">
        <f t="shared" si="51"/>
        <v>#NUM!</v>
      </c>
      <c r="AD213" s="128" t="e">
        <f t="shared" si="52"/>
        <v>#NUM!</v>
      </c>
      <c r="AE213" s="128" t="e">
        <f t="shared" si="53"/>
        <v>#NUM!</v>
      </c>
      <c r="AF213" s="130"/>
      <c r="AG213" s="130"/>
      <c r="AH213" s="130"/>
      <c r="AI213" s="130"/>
      <c r="AJ213" s="130"/>
      <c r="AK213" s="130"/>
      <c r="AL213" s="130"/>
      <c r="AM213" s="130"/>
      <c r="AN213" s="130"/>
      <c r="AO213" s="130"/>
      <c r="AP213" s="130"/>
      <c r="AQ213" s="130"/>
      <c r="AR213" s="130"/>
      <c r="AS213" s="130"/>
    </row>
    <row r="214" spans="1:45" s="166" customFormat="1" ht="12.75">
      <c r="A214" s="132" t="e">
        <f t="shared" si="73"/>
        <v>#DIV/0!</v>
      </c>
      <c r="B214" s="132">
        <f t="shared" si="74"/>
        <v>3.6800000000000024</v>
      </c>
      <c r="C214" s="146">
        <f t="shared" si="54"/>
        <v>4786.30092322641</v>
      </c>
      <c r="D214" s="137" t="e">
        <f t="shared" si="55"/>
        <v>#DIV/0!</v>
      </c>
      <c r="E214" s="132" t="e">
        <f t="shared" si="56"/>
        <v>#DIV/0!</v>
      </c>
      <c r="G214" s="146"/>
      <c r="H214" s="184" t="str">
        <f t="shared" si="57"/>
        <v>1E+47-3.3252180680819E+51i</v>
      </c>
      <c r="I214" s="132" t="str">
        <f>IMSUM(IMDIV(1,COMPLEX(0,Q214*MLCC*10^-6)),MLCC_ESR*10^-3)</f>
        <v>1E+47-3.3252180680819E+51i</v>
      </c>
      <c r="J214" s="132" t="str">
        <f t="shared" si="58"/>
        <v>5.00000000000001E+46-1.66260903404095E+51i</v>
      </c>
      <c r="K214" s="132"/>
      <c r="L214" s="132" t="e">
        <f t="shared" si="59"/>
        <v>#DIV/0!</v>
      </c>
      <c r="M214" s="132" t="str">
        <f t="shared" si="60"/>
        <v>0</v>
      </c>
      <c r="N214" s="132" t="e">
        <f t="shared" si="61"/>
        <v>#DIV/0!</v>
      </c>
      <c r="O214" s="185" t="e">
        <f t="shared" si="62"/>
        <v>#DIV/0!</v>
      </c>
      <c r="P214" s="185" t="e">
        <f t="shared" si="63"/>
        <v>#DIV/0!</v>
      </c>
      <c r="Q214" s="132">
        <f t="shared" si="64"/>
        <v>30073.21563655627</v>
      </c>
      <c r="R214" s="132">
        <f t="shared" si="75"/>
        <v>3.6800000000000024</v>
      </c>
      <c r="S214" s="164" t="e">
        <f t="shared" si="65"/>
        <v>#DIV/0!</v>
      </c>
      <c r="T214" s="132" t="e">
        <f t="shared" si="66"/>
        <v>#NUM!</v>
      </c>
      <c r="U214" s="138" t="e">
        <f t="shared" si="67"/>
        <v>#NUM!</v>
      </c>
      <c r="V214" s="132" t="e">
        <f t="shared" si="68"/>
        <v>#NUM!</v>
      </c>
      <c r="W214" s="132">
        <f t="shared" si="69"/>
        <v>73.03014739468122</v>
      </c>
      <c r="X214" s="138">
        <f t="shared" si="70"/>
        <v>-63.396814379571595</v>
      </c>
      <c r="Y214" s="128" t="str">
        <f t="shared" si="71"/>
        <v>2007.24319931469-4007.81545733501i</v>
      </c>
      <c r="Z214" s="128" t="e">
        <f t="shared" si="72"/>
        <v>#NUM!</v>
      </c>
      <c r="AA214" s="128" t="e">
        <f t="shared" si="49"/>
        <v>#NUM!</v>
      </c>
      <c r="AB214" s="128" t="e">
        <f t="shared" si="50"/>
        <v>#NUM!</v>
      </c>
      <c r="AC214" s="128" t="e">
        <f t="shared" si="51"/>
        <v>#NUM!</v>
      </c>
      <c r="AD214" s="128" t="e">
        <f t="shared" si="52"/>
        <v>#NUM!</v>
      </c>
      <c r="AE214" s="128" t="e">
        <f t="shared" si="53"/>
        <v>#NUM!</v>
      </c>
      <c r="AF214" s="130"/>
      <c r="AG214" s="130"/>
      <c r="AH214" s="130"/>
      <c r="AI214" s="130"/>
      <c r="AJ214" s="130"/>
      <c r="AK214" s="130"/>
      <c r="AL214" s="130"/>
      <c r="AM214" s="130"/>
      <c r="AN214" s="130"/>
      <c r="AO214" s="130"/>
      <c r="AP214" s="130"/>
      <c r="AQ214" s="130"/>
      <c r="AR214" s="130"/>
      <c r="AS214" s="130"/>
    </row>
    <row r="215" spans="1:45" s="166" customFormat="1" ht="12.75">
      <c r="A215" s="132" t="e">
        <f t="shared" si="73"/>
        <v>#DIV/0!</v>
      </c>
      <c r="B215" s="132">
        <f t="shared" si="74"/>
        <v>3.7000000000000024</v>
      </c>
      <c r="C215" s="146">
        <f t="shared" si="54"/>
        <v>5011.8723362727505</v>
      </c>
      <c r="D215" s="137" t="e">
        <f t="shared" si="55"/>
        <v>#DIV/0!</v>
      </c>
      <c r="E215" s="132" t="e">
        <f t="shared" si="56"/>
        <v>#DIV/0!</v>
      </c>
      <c r="G215" s="146"/>
      <c r="H215" s="184" t="str">
        <f t="shared" si="57"/>
        <v>1E+47-3.17555860192273E+51i</v>
      </c>
      <c r="I215" s="132" t="str">
        <f>IMSUM(IMDIV(1,COMPLEX(0,Q215*MLCC*10^-6)),MLCC_ESR*10^-3)</f>
        <v>1E+47-3.17555860192273E+51i</v>
      </c>
      <c r="J215" s="132" t="str">
        <f t="shared" si="58"/>
        <v>5.00000000000002E+46-1.58777930096136E+51i</v>
      </c>
      <c r="K215" s="132"/>
      <c r="L215" s="132" t="e">
        <f t="shared" si="59"/>
        <v>#DIV/0!</v>
      </c>
      <c r="M215" s="132" t="str">
        <f t="shared" si="60"/>
        <v>0</v>
      </c>
      <c r="N215" s="132" t="e">
        <f t="shared" si="61"/>
        <v>#DIV/0!</v>
      </c>
      <c r="O215" s="185" t="e">
        <f t="shared" si="62"/>
        <v>#DIV/0!</v>
      </c>
      <c r="P215" s="185" t="e">
        <f t="shared" si="63"/>
        <v>#DIV/0!</v>
      </c>
      <c r="Q215" s="132">
        <f t="shared" si="64"/>
        <v>31490.522624728772</v>
      </c>
      <c r="R215" s="132">
        <f t="shared" si="75"/>
        <v>3.7000000000000024</v>
      </c>
      <c r="S215" s="164" t="e">
        <f t="shared" si="65"/>
        <v>#DIV/0!</v>
      </c>
      <c r="T215" s="132" t="e">
        <f t="shared" si="66"/>
        <v>#NUM!</v>
      </c>
      <c r="U215" s="138" t="e">
        <f t="shared" si="67"/>
        <v>#NUM!</v>
      </c>
      <c r="V215" s="132" t="e">
        <f t="shared" si="68"/>
        <v>#NUM!</v>
      </c>
      <c r="W215" s="132">
        <f t="shared" si="69"/>
        <v>72.70761055168286</v>
      </c>
      <c r="X215" s="138">
        <f t="shared" si="70"/>
        <v>-64.4406820779309</v>
      </c>
      <c r="Y215" s="128" t="str">
        <f t="shared" si="71"/>
        <v>1863.40079366825-3896.31474156677i</v>
      </c>
      <c r="Z215" s="128" t="e">
        <f t="shared" si="72"/>
        <v>#NUM!</v>
      </c>
      <c r="AA215" s="128" t="e">
        <f t="shared" si="49"/>
        <v>#NUM!</v>
      </c>
      <c r="AB215" s="128" t="e">
        <f t="shared" si="50"/>
        <v>#NUM!</v>
      </c>
      <c r="AC215" s="128" t="e">
        <f t="shared" si="51"/>
        <v>#NUM!</v>
      </c>
      <c r="AD215" s="128" t="e">
        <f t="shared" si="52"/>
        <v>#NUM!</v>
      </c>
      <c r="AE215" s="128" t="e">
        <f t="shared" si="53"/>
        <v>#NUM!</v>
      </c>
      <c r="AF215" s="130"/>
      <c r="AG215" s="130"/>
      <c r="AH215" s="130"/>
      <c r="AI215" s="130"/>
      <c r="AJ215" s="130"/>
      <c r="AK215" s="130"/>
      <c r="AL215" s="130"/>
      <c r="AM215" s="130"/>
      <c r="AN215" s="130"/>
      <c r="AO215" s="130"/>
      <c r="AP215" s="130"/>
      <c r="AQ215" s="130"/>
      <c r="AR215" s="130"/>
      <c r="AS215" s="130"/>
    </row>
    <row r="216" spans="1:45" s="166" customFormat="1" ht="12.75">
      <c r="A216" s="132" t="e">
        <f t="shared" si="73"/>
        <v>#DIV/0!</v>
      </c>
      <c r="B216" s="132">
        <f t="shared" si="74"/>
        <v>3.7200000000000033</v>
      </c>
      <c r="C216" s="146">
        <f t="shared" si="54"/>
        <v>5248.074602497763</v>
      </c>
      <c r="D216" s="137" t="e">
        <f t="shared" si="55"/>
        <v>#DIV/0!</v>
      </c>
      <c r="E216" s="132" t="e">
        <f t="shared" si="56"/>
        <v>#DIV/0!</v>
      </c>
      <c r="G216" s="146"/>
      <c r="H216" s="184" t="str">
        <f t="shared" si="57"/>
        <v>1E+47-3.0326349213128E+51i</v>
      </c>
      <c r="I216" s="132" t="str">
        <f>IMSUM(IMDIV(1,COMPLEX(0,Q216*MLCC*10^-6)),MLCC_ESR*10^-3)</f>
        <v>1E+47-3.0326349213128E+51i</v>
      </c>
      <c r="J216" s="132" t="str">
        <f t="shared" si="58"/>
        <v>5E+46-1.5163174606564E+51i</v>
      </c>
      <c r="K216" s="132"/>
      <c r="L216" s="132" t="e">
        <f t="shared" si="59"/>
        <v>#DIV/0!</v>
      </c>
      <c r="M216" s="132" t="str">
        <f t="shared" si="60"/>
        <v>0</v>
      </c>
      <c r="N216" s="132" t="e">
        <f t="shared" si="61"/>
        <v>#DIV/0!</v>
      </c>
      <c r="O216" s="185" t="e">
        <f t="shared" si="62"/>
        <v>#DIV/0!</v>
      </c>
      <c r="P216" s="185" t="e">
        <f t="shared" si="63"/>
        <v>#DIV/0!</v>
      </c>
      <c r="Q216" s="132">
        <f t="shared" si="64"/>
        <v>32974.62523339629</v>
      </c>
      <c r="R216" s="132">
        <f t="shared" si="75"/>
        <v>3.7200000000000024</v>
      </c>
      <c r="S216" s="164" t="e">
        <f t="shared" si="65"/>
        <v>#DIV/0!</v>
      </c>
      <c r="T216" s="132" t="e">
        <f t="shared" si="66"/>
        <v>#NUM!</v>
      </c>
      <c r="U216" s="138" t="e">
        <f t="shared" si="67"/>
        <v>#NUM!</v>
      </c>
      <c r="V216" s="132" t="e">
        <f t="shared" si="68"/>
        <v>#NUM!</v>
      </c>
      <c r="W216" s="132">
        <f t="shared" si="69"/>
        <v>72.37948304119952</v>
      </c>
      <c r="X216" s="138">
        <f t="shared" si="70"/>
        <v>-65.4549501011396</v>
      </c>
      <c r="Y216" s="128" t="str">
        <f t="shared" si="71"/>
        <v>1727.62557139998-3783.04302477786i</v>
      </c>
      <c r="Z216" s="128" t="e">
        <f t="shared" si="72"/>
        <v>#NUM!</v>
      </c>
      <c r="AA216" s="128" t="e">
        <f t="shared" si="49"/>
        <v>#NUM!</v>
      </c>
      <c r="AB216" s="128" t="e">
        <f t="shared" si="50"/>
        <v>#NUM!</v>
      </c>
      <c r="AC216" s="128" t="e">
        <f t="shared" si="51"/>
        <v>#NUM!</v>
      </c>
      <c r="AD216" s="128" t="e">
        <f t="shared" si="52"/>
        <v>#NUM!</v>
      </c>
      <c r="AE216" s="128" t="e">
        <f t="shared" si="53"/>
        <v>#NUM!</v>
      </c>
      <c r="AF216" s="130"/>
      <c r="AG216" s="130"/>
      <c r="AH216" s="130"/>
      <c r="AI216" s="130"/>
      <c r="AJ216" s="130"/>
      <c r="AK216" s="130"/>
      <c r="AL216" s="130"/>
      <c r="AM216" s="130"/>
      <c r="AN216" s="130"/>
      <c r="AO216" s="130"/>
      <c r="AP216" s="130"/>
      <c r="AQ216" s="130"/>
      <c r="AR216" s="130"/>
      <c r="AS216" s="130"/>
    </row>
    <row r="217" spans="1:45" s="166" customFormat="1" ht="12.75">
      <c r="A217" s="132" t="e">
        <f t="shared" si="73"/>
        <v>#DIV/0!</v>
      </c>
      <c r="B217" s="132">
        <f t="shared" si="74"/>
        <v>3.740000000000003</v>
      </c>
      <c r="C217" s="146">
        <f t="shared" si="54"/>
        <v>5495.408738576283</v>
      </c>
      <c r="D217" s="137" t="e">
        <f t="shared" si="55"/>
        <v>#DIV/0!</v>
      </c>
      <c r="E217" s="132" t="e">
        <f t="shared" si="56"/>
        <v>#DIV/0!</v>
      </c>
      <c r="G217" s="146"/>
      <c r="H217" s="184" t="str">
        <f t="shared" si="57"/>
        <v>1E+47-2.89614386596343E+51i</v>
      </c>
      <c r="I217" s="132" t="str">
        <f>IMSUM(IMDIV(1,COMPLEX(0,Q217*MLCC*10^-6)),MLCC_ESR*10^-3)</f>
        <v>1E+47-2.89614386596343E+51i</v>
      </c>
      <c r="J217" s="132" t="str">
        <f t="shared" si="58"/>
        <v>5E+46-1.44807193298171E+51i</v>
      </c>
      <c r="K217" s="132"/>
      <c r="L217" s="132" t="e">
        <f t="shared" si="59"/>
        <v>#DIV/0!</v>
      </c>
      <c r="M217" s="132" t="str">
        <f t="shared" si="60"/>
        <v>0</v>
      </c>
      <c r="N217" s="132" t="e">
        <f t="shared" si="61"/>
        <v>#DIV/0!</v>
      </c>
      <c r="O217" s="185" t="e">
        <f t="shared" si="62"/>
        <v>#DIV/0!</v>
      </c>
      <c r="P217" s="185" t="e">
        <f t="shared" si="63"/>
        <v>#DIV/0!</v>
      </c>
      <c r="Q217" s="132">
        <f t="shared" si="64"/>
        <v>34528.67144316881</v>
      </c>
      <c r="R217" s="132">
        <f t="shared" si="75"/>
        <v>3.7400000000000024</v>
      </c>
      <c r="S217" s="164" t="e">
        <f t="shared" si="65"/>
        <v>#DIV/0!</v>
      </c>
      <c r="T217" s="132" t="e">
        <f t="shared" si="66"/>
        <v>#NUM!</v>
      </c>
      <c r="U217" s="138" t="e">
        <f t="shared" si="67"/>
        <v>#NUM!</v>
      </c>
      <c r="V217" s="132" t="e">
        <f t="shared" si="68"/>
        <v>#NUM!</v>
      </c>
      <c r="W217" s="132">
        <f t="shared" si="69"/>
        <v>72.04608500048063</v>
      </c>
      <c r="X217" s="138">
        <f t="shared" si="70"/>
        <v>-66.4392354082939</v>
      </c>
      <c r="Y217" s="128" t="str">
        <f t="shared" si="71"/>
        <v>1599.78521010982-3668.60941686342i</v>
      </c>
      <c r="Z217" s="128" t="e">
        <f t="shared" si="72"/>
        <v>#NUM!</v>
      </c>
      <c r="AA217" s="128" t="e">
        <f aca="true" t="shared" si="76" ref="AA217:AA280">IMSUM(R_3,IMDIV(1,COMPLEX(0,2*PI()*C208*C_2*10^-12)))</f>
        <v>#NUM!</v>
      </c>
      <c r="AB217" s="128" t="e">
        <f aca="true" t="shared" si="77" ref="AB217:AB280">IMSUM(R_2,IMDIV(1,COMPLEX(0,2*PI()*C208*C_1*10^-12)))</f>
        <v>#NUM!</v>
      </c>
      <c r="AC217" s="128" t="e">
        <f aca="true" t="shared" si="78" ref="AC217:AC280">IMDIV(IMPRODUCT(Z208,AA217),IMSUM(Z208,AA217))</f>
        <v>#NUM!</v>
      </c>
      <c r="AD217" s="128" t="e">
        <f aca="true" t="shared" si="79" ref="AD217:AD280">IMDIV(IMPRODUCT(AB217,R_1),IMSUM(AB217,R_1))</f>
        <v>#NUM!</v>
      </c>
      <c r="AE217" s="128" t="e">
        <f aca="true" t="shared" si="80" ref="AE217:AE280">IMDIV(IMPRODUCT(-1,Y208),IMSUM(1,IMDIV(AD217,R_4),IMPRODUCT(IMDIV(AD217,AC217),IMSUM(1,Y208))))</f>
        <v>#NUM!</v>
      </c>
      <c r="AF217" s="130"/>
      <c r="AG217" s="130"/>
      <c r="AH217" s="130"/>
      <c r="AI217" s="130"/>
      <c r="AJ217" s="130"/>
      <c r="AK217" s="130"/>
      <c r="AL217" s="130"/>
      <c r="AM217" s="130"/>
      <c r="AN217" s="130"/>
      <c r="AO217" s="130"/>
      <c r="AP217" s="130"/>
      <c r="AQ217" s="130"/>
      <c r="AR217" s="130"/>
      <c r="AS217" s="130"/>
    </row>
    <row r="218" spans="1:45" s="166" customFormat="1" ht="12.75">
      <c r="A218" s="132" t="e">
        <f t="shared" si="73"/>
        <v>#DIV/0!</v>
      </c>
      <c r="B218" s="132">
        <f t="shared" si="74"/>
        <v>3.760000000000003</v>
      </c>
      <c r="C218" s="146">
        <f t="shared" si="54"/>
        <v>5754.399373371608</v>
      </c>
      <c r="D218" s="137" t="e">
        <f t="shared" si="55"/>
        <v>#DIV/0!</v>
      </c>
      <c r="E218" s="132" t="e">
        <f t="shared" si="56"/>
        <v>#DIV/0!</v>
      </c>
      <c r="G218" s="146"/>
      <c r="H218" s="184" t="str">
        <f t="shared" si="57"/>
        <v>1E+47-2.76579592004654E+51i</v>
      </c>
      <c r="I218" s="132" t="str">
        <f>IMSUM(IMDIV(1,COMPLEX(0,Q218*MLCC*10^-6)),MLCC_ESR*10^-3)</f>
        <v>1E+47-2.76579592004654E+51i</v>
      </c>
      <c r="J218" s="132" t="str">
        <f t="shared" si="58"/>
        <v>5E+46-1.38289796002327E+51i</v>
      </c>
      <c r="K218" s="132"/>
      <c r="L218" s="132" t="e">
        <f t="shared" si="59"/>
        <v>#DIV/0!</v>
      </c>
      <c r="M218" s="132" t="str">
        <f t="shared" si="60"/>
        <v>0</v>
      </c>
      <c r="N218" s="132" t="e">
        <f t="shared" si="61"/>
        <v>#DIV/0!</v>
      </c>
      <c r="O218" s="185" t="e">
        <f t="shared" si="62"/>
        <v>#DIV/0!</v>
      </c>
      <c r="P218" s="185" t="e">
        <f t="shared" si="63"/>
        <v>#DIV/0!</v>
      </c>
      <c r="Q218" s="132">
        <f t="shared" si="64"/>
        <v>36155.957594411906</v>
      </c>
      <c r="R218" s="132">
        <f t="shared" si="75"/>
        <v>3.7600000000000025</v>
      </c>
      <c r="S218" s="164" t="e">
        <f t="shared" si="65"/>
        <v>#DIV/0!</v>
      </c>
      <c r="T218" s="132" t="e">
        <f t="shared" si="66"/>
        <v>#NUM!</v>
      </c>
      <c r="U218" s="138" t="e">
        <f t="shared" si="67"/>
        <v>#NUM!</v>
      </c>
      <c r="V218" s="132" t="e">
        <f t="shared" si="68"/>
        <v>#NUM!</v>
      </c>
      <c r="W218" s="132">
        <f t="shared" si="69"/>
        <v>71.70773028345242</v>
      </c>
      <c r="X218" s="138">
        <f t="shared" si="70"/>
        <v>-67.39331006590369</v>
      </c>
      <c r="Y218" s="128" t="str">
        <f t="shared" si="71"/>
        <v>1479.69911090817-3553.57924604646i</v>
      </c>
      <c r="Z218" s="128" t="e">
        <f t="shared" si="72"/>
        <v>#NUM!</v>
      </c>
      <c r="AA218" s="128" t="e">
        <f t="shared" si="76"/>
        <v>#NUM!</v>
      </c>
      <c r="AB218" s="128" t="e">
        <f t="shared" si="77"/>
        <v>#NUM!</v>
      </c>
      <c r="AC218" s="128" t="e">
        <f t="shared" si="78"/>
        <v>#NUM!</v>
      </c>
      <c r="AD218" s="128" t="e">
        <f t="shared" si="79"/>
        <v>#NUM!</v>
      </c>
      <c r="AE218" s="128" t="e">
        <f t="shared" si="80"/>
        <v>#NUM!</v>
      </c>
      <c r="AF218" s="130"/>
      <c r="AG218" s="130"/>
      <c r="AH218" s="130"/>
      <c r="AI218" s="130"/>
      <c r="AJ218" s="130"/>
      <c r="AK218" s="130"/>
      <c r="AL218" s="130"/>
      <c r="AM218" s="130"/>
      <c r="AN218" s="130"/>
      <c r="AO218" s="130"/>
      <c r="AP218" s="130"/>
      <c r="AQ218" s="130"/>
      <c r="AR218" s="130"/>
      <c r="AS218" s="130"/>
    </row>
    <row r="219" spans="1:45" s="166" customFormat="1" ht="12.75">
      <c r="A219" s="132" t="e">
        <f t="shared" si="73"/>
        <v>#DIV/0!</v>
      </c>
      <c r="B219" s="132">
        <f t="shared" si="74"/>
        <v>3.780000000000003</v>
      </c>
      <c r="C219" s="146">
        <f t="shared" si="54"/>
        <v>6025.595860743617</v>
      </c>
      <c r="D219" s="137" t="e">
        <f t="shared" si="55"/>
        <v>#DIV/0!</v>
      </c>
      <c r="E219" s="132" t="e">
        <f t="shared" si="56"/>
        <v>#DIV/0!</v>
      </c>
      <c r="G219" s="146"/>
      <c r="H219" s="184" t="str">
        <f t="shared" si="57"/>
        <v>1E+47-2.64131459809278E+51i</v>
      </c>
      <c r="I219" s="132" t="str">
        <f>IMSUM(IMDIV(1,COMPLEX(0,Q219*MLCC*10^-6)),MLCC_ESR*10^-3)</f>
        <v>1E+47-2.64131459809278E+51i</v>
      </c>
      <c r="J219" s="132" t="str">
        <f t="shared" si="58"/>
        <v>5E+46-1.32065729904639E+51i</v>
      </c>
      <c r="K219" s="132"/>
      <c r="L219" s="132" t="e">
        <f t="shared" si="59"/>
        <v>#DIV/0!</v>
      </c>
      <c r="M219" s="132" t="str">
        <f t="shared" si="60"/>
        <v>0</v>
      </c>
      <c r="N219" s="132" t="e">
        <f t="shared" si="61"/>
        <v>#DIV/0!</v>
      </c>
      <c r="O219" s="185" t="e">
        <f t="shared" si="62"/>
        <v>#DIV/0!</v>
      </c>
      <c r="P219" s="185" t="e">
        <f t="shared" si="63"/>
        <v>#DIV/0!</v>
      </c>
      <c r="Q219" s="132">
        <f t="shared" si="64"/>
        <v>37859.93537922642</v>
      </c>
      <c r="R219" s="132">
        <f t="shared" si="75"/>
        <v>3.7800000000000025</v>
      </c>
      <c r="S219" s="164" t="e">
        <f t="shared" si="65"/>
        <v>#DIV/0!</v>
      </c>
      <c r="T219" s="132" t="e">
        <f t="shared" si="66"/>
        <v>#NUM!</v>
      </c>
      <c r="U219" s="138" t="e">
        <f t="shared" si="67"/>
        <v>#NUM!</v>
      </c>
      <c r="V219" s="132" t="e">
        <f t="shared" si="68"/>
        <v>#NUM!</v>
      </c>
      <c r="W219" s="132">
        <f t="shared" si="69"/>
        <v>71.36472468681455</v>
      </c>
      <c r="X219" s="138">
        <f t="shared" si="70"/>
        <v>-68.31708935652253</v>
      </c>
      <c r="Y219" s="128" t="str">
        <f t="shared" si="71"/>
        <v>1367.14619964274-3438.47162767242i</v>
      </c>
      <c r="Z219" s="128" t="e">
        <f t="shared" si="72"/>
        <v>#NUM!</v>
      </c>
      <c r="AA219" s="128" t="e">
        <f t="shared" si="76"/>
        <v>#NUM!</v>
      </c>
      <c r="AB219" s="128" t="e">
        <f t="shared" si="77"/>
        <v>#NUM!</v>
      </c>
      <c r="AC219" s="128" t="e">
        <f t="shared" si="78"/>
        <v>#NUM!</v>
      </c>
      <c r="AD219" s="128" t="e">
        <f t="shared" si="79"/>
        <v>#NUM!</v>
      </c>
      <c r="AE219" s="128" t="e">
        <f t="shared" si="80"/>
        <v>#NUM!</v>
      </c>
      <c r="AF219" s="130"/>
      <c r="AG219" s="130"/>
      <c r="AH219" s="130"/>
      <c r="AI219" s="130"/>
      <c r="AJ219" s="130"/>
      <c r="AK219" s="130"/>
      <c r="AL219" s="130"/>
      <c r="AM219" s="130"/>
      <c r="AN219" s="130"/>
      <c r="AO219" s="130"/>
      <c r="AP219" s="130"/>
      <c r="AQ219" s="130"/>
      <c r="AR219" s="130"/>
      <c r="AS219" s="130"/>
    </row>
    <row r="220" spans="1:45" s="166" customFormat="1" ht="12.75">
      <c r="A220" s="132" t="e">
        <f t="shared" si="73"/>
        <v>#DIV/0!</v>
      </c>
      <c r="B220" s="132">
        <f t="shared" si="74"/>
        <v>3.800000000000003</v>
      </c>
      <c r="C220" s="146">
        <f t="shared" si="54"/>
        <v>6309.573444801972</v>
      </c>
      <c r="D220" s="137" t="e">
        <f t="shared" si="55"/>
        <v>#DIV/0!</v>
      </c>
      <c r="E220" s="132" t="e">
        <f t="shared" si="56"/>
        <v>#DIV/0!</v>
      </c>
      <c r="G220" s="146"/>
      <c r="H220" s="184" t="str">
        <f t="shared" si="57"/>
        <v>1E+47-2.52243585852879E+51i</v>
      </c>
      <c r="I220" s="132" t="str">
        <f>IMSUM(IMDIV(1,COMPLEX(0,Q220*MLCC*10^-6)),MLCC_ESR*10^-3)</f>
        <v>1E+47-2.52243585852879E+51i</v>
      </c>
      <c r="J220" s="132" t="str">
        <f t="shared" si="58"/>
        <v>5E+46-1.26121792926439E+51i</v>
      </c>
      <c r="K220" s="132"/>
      <c r="L220" s="132" t="e">
        <f t="shared" si="59"/>
        <v>#DIV/0!</v>
      </c>
      <c r="M220" s="132" t="str">
        <f t="shared" si="60"/>
        <v>0</v>
      </c>
      <c r="N220" s="132" t="e">
        <f t="shared" si="61"/>
        <v>#DIV/0!</v>
      </c>
      <c r="O220" s="185" t="e">
        <f t="shared" si="62"/>
        <v>#DIV/0!</v>
      </c>
      <c r="P220" s="185" t="e">
        <f t="shared" si="63"/>
        <v>#DIV/0!</v>
      </c>
      <c r="Q220" s="132">
        <f t="shared" si="64"/>
        <v>39644.21916295024</v>
      </c>
      <c r="R220" s="132">
        <f t="shared" si="75"/>
        <v>3.8000000000000025</v>
      </c>
      <c r="S220" s="164" t="e">
        <f t="shared" si="65"/>
        <v>#DIV/0!</v>
      </c>
      <c r="T220" s="132" t="e">
        <f t="shared" si="66"/>
        <v>#NUM!</v>
      </c>
      <c r="U220" s="138" t="e">
        <f t="shared" si="67"/>
        <v>#NUM!</v>
      </c>
      <c r="V220" s="132" t="e">
        <f t="shared" si="68"/>
        <v>#NUM!</v>
      </c>
      <c r="W220" s="132">
        <f t="shared" si="69"/>
        <v>71.01736448266492</v>
      </c>
      <c r="X220" s="138">
        <f t="shared" si="70"/>
        <v>-69.21061940650266</v>
      </c>
      <c r="Y220" s="128" t="str">
        <f t="shared" si="71"/>
        <v>1261.87242821515-3323.7582225138i</v>
      </c>
      <c r="Z220" s="128" t="e">
        <f t="shared" si="72"/>
        <v>#NUM!</v>
      </c>
      <c r="AA220" s="128" t="e">
        <f t="shared" si="76"/>
        <v>#NUM!</v>
      </c>
      <c r="AB220" s="128" t="e">
        <f t="shared" si="77"/>
        <v>#NUM!</v>
      </c>
      <c r="AC220" s="128" t="e">
        <f t="shared" si="78"/>
        <v>#NUM!</v>
      </c>
      <c r="AD220" s="128" t="e">
        <f t="shared" si="79"/>
        <v>#NUM!</v>
      </c>
      <c r="AE220" s="128" t="e">
        <f t="shared" si="80"/>
        <v>#NUM!</v>
      </c>
      <c r="AF220" s="130"/>
      <c r="AG220" s="130"/>
      <c r="AH220" s="130"/>
      <c r="AI220" s="130"/>
      <c r="AJ220" s="130"/>
      <c r="AK220" s="130"/>
      <c r="AL220" s="130"/>
      <c r="AM220" s="130"/>
      <c r="AN220" s="130"/>
      <c r="AO220" s="130"/>
      <c r="AP220" s="130"/>
      <c r="AQ220" s="130"/>
      <c r="AR220" s="130"/>
      <c r="AS220" s="130"/>
    </row>
    <row r="221" spans="1:45" s="166" customFormat="1" ht="12.75">
      <c r="A221" s="132" t="e">
        <f t="shared" si="73"/>
        <v>#DIV/0!</v>
      </c>
      <c r="B221" s="132">
        <f t="shared" si="74"/>
        <v>3.8200000000000025</v>
      </c>
      <c r="C221" s="146">
        <f t="shared" si="54"/>
        <v>6606.934480076001</v>
      </c>
      <c r="D221" s="137" t="e">
        <f t="shared" si="55"/>
        <v>#DIV/0!</v>
      </c>
      <c r="E221" s="132" t="e">
        <f t="shared" si="56"/>
        <v>#DIV/0!</v>
      </c>
      <c r="G221" s="146"/>
      <c r="H221" s="184" t="str">
        <f t="shared" si="57"/>
        <v>1E+47-2.40890754360961E+51i</v>
      </c>
      <c r="I221" s="132" t="str">
        <f>IMSUM(IMDIV(1,COMPLEX(0,Q221*MLCC*10^-6)),MLCC_ESR*10^-3)</f>
        <v>1E+47-2.40890754360961E+51i</v>
      </c>
      <c r="J221" s="132" t="str">
        <f t="shared" si="58"/>
        <v>5E+46-1.20445377180481E+51i</v>
      </c>
      <c r="K221" s="132"/>
      <c r="L221" s="132" t="e">
        <f t="shared" si="59"/>
        <v>#DIV/0!</v>
      </c>
      <c r="M221" s="132" t="str">
        <f t="shared" si="60"/>
        <v>0</v>
      </c>
      <c r="N221" s="132" t="e">
        <f t="shared" si="61"/>
        <v>#DIV/0!</v>
      </c>
      <c r="O221" s="185" t="e">
        <f t="shared" si="62"/>
        <v>#DIV/0!</v>
      </c>
      <c r="P221" s="185" t="e">
        <f t="shared" si="63"/>
        <v>#DIV/0!</v>
      </c>
      <c r="Q221" s="132">
        <f t="shared" si="64"/>
        <v>41512.59365071173</v>
      </c>
      <c r="R221" s="132">
        <f t="shared" si="75"/>
        <v>3.8200000000000025</v>
      </c>
      <c r="S221" s="164" t="e">
        <f t="shared" si="65"/>
        <v>#DIV/0!</v>
      </c>
      <c r="T221" s="132" t="e">
        <f t="shared" si="66"/>
        <v>#NUM!</v>
      </c>
      <c r="U221" s="138" t="e">
        <f t="shared" si="67"/>
        <v>#NUM!</v>
      </c>
      <c r="V221" s="132" t="e">
        <f t="shared" si="68"/>
        <v>#NUM!</v>
      </c>
      <c r="W221" s="132">
        <f t="shared" si="69"/>
        <v>70.66593524263462</v>
      </c>
      <c r="X221" s="138">
        <f t="shared" si="70"/>
        <v>-70.07406462649142</v>
      </c>
      <c r="Y221" s="128" t="str">
        <f t="shared" si="71"/>
        <v>1163.5978317478-3209.86302972781i</v>
      </c>
      <c r="Z221" s="128" t="e">
        <f t="shared" si="72"/>
        <v>#NUM!</v>
      </c>
      <c r="AA221" s="128" t="e">
        <f t="shared" si="76"/>
        <v>#NUM!</v>
      </c>
      <c r="AB221" s="128" t="e">
        <f t="shared" si="77"/>
        <v>#NUM!</v>
      </c>
      <c r="AC221" s="128" t="e">
        <f t="shared" si="78"/>
        <v>#NUM!</v>
      </c>
      <c r="AD221" s="128" t="e">
        <f t="shared" si="79"/>
        <v>#NUM!</v>
      </c>
      <c r="AE221" s="128" t="e">
        <f t="shared" si="80"/>
        <v>#NUM!</v>
      </c>
      <c r="AF221" s="130"/>
      <c r="AG221" s="130"/>
      <c r="AH221" s="130"/>
      <c r="AI221" s="130"/>
      <c r="AJ221" s="130"/>
      <c r="AK221" s="130"/>
      <c r="AL221" s="130"/>
      <c r="AM221" s="130"/>
      <c r="AN221" s="130"/>
      <c r="AO221" s="130"/>
      <c r="AP221" s="130"/>
      <c r="AQ221" s="130"/>
      <c r="AR221" s="130"/>
      <c r="AS221" s="130"/>
    </row>
    <row r="222" spans="1:45" s="166" customFormat="1" ht="12.75">
      <c r="A222" s="132" t="e">
        <f t="shared" si="73"/>
        <v>#DIV/0!</v>
      </c>
      <c r="B222" s="132">
        <f t="shared" si="74"/>
        <v>3.8400000000000025</v>
      </c>
      <c r="C222" s="146">
        <f t="shared" si="54"/>
        <v>6918.309709189406</v>
      </c>
      <c r="D222" s="137" t="e">
        <f t="shared" si="55"/>
        <v>#DIV/0!</v>
      </c>
      <c r="E222" s="132" t="e">
        <f t="shared" si="56"/>
        <v>#DIV/0!</v>
      </c>
      <c r="G222" s="146"/>
      <c r="H222" s="184" t="str">
        <f t="shared" si="57"/>
        <v>1E+47-2.30048884455829E+51i</v>
      </c>
      <c r="I222" s="132" t="str">
        <f>IMSUM(IMDIV(1,COMPLEX(0,Q222*MLCC*10^-6)),MLCC_ESR*10^-3)</f>
        <v>1E+47-2.30048884455829E+51i</v>
      </c>
      <c r="J222" s="132" t="str">
        <f t="shared" si="58"/>
        <v>5E+46-1.15024442227915E+51i</v>
      </c>
      <c r="K222" s="132"/>
      <c r="L222" s="132" t="e">
        <f t="shared" si="59"/>
        <v>#DIV/0!</v>
      </c>
      <c r="M222" s="132" t="str">
        <f t="shared" si="60"/>
        <v>0</v>
      </c>
      <c r="N222" s="132" t="e">
        <f t="shared" si="61"/>
        <v>#DIV/0!</v>
      </c>
      <c r="O222" s="185" t="e">
        <f t="shared" si="62"/>
        <v>#DIV/0!</v>
      </c>
      <c r="P222" s="185" t="e">
        <f t="shared" si="63"/>
        <v>#DIV/0!</v>
      </c>
      <c r="Q222" s="132">
        <f t="shared" si="64"/>
        <v>43469.021915296755</v>
      </c>
      <c r="R222" s="132">
        <f t="shared" si="75"/>
        <v>3.8400000000000025</v>
      </c>
      <c r="S222" s="164" t="e">
        <f t="shared" si="65"/>
        <v>#DIV/0!</v>
      </c>
      <c r="T222" s="132" t="e">
        <f t="shared" si="66"/>
        <v>#NUM!</v>
      </c>
      <c r="U222" s="138" t="e">
        <f t="shared" si="67"/>
        <v>#NUM!</v>
      </c>
      <c r="V222" s="132" t="e">
        <f t="shared" si="68"/>
        <v>#NUM!</v>
      </c>
      <c r="W222" s="132">
        <f t="shared" si="69"/>
        <v>70.31071093356911</v>
      </c>
      <c r="X222" s="138">
        <f t="shared" si="70"/>
        <v>-70.90769521639199</v>
      </c>
      <c r="Y222" s="128" t="str">
        <f t="shared" si="71"/>
        <v>1072.02303799756-3097.16305317006i</v>
      </c>
      <c r="Z222" s="128" t="e">
        <f t="shared" si="72"/>
        <v>#NUM!</v>
      </c>
      <c r="AA222" s="128" t="e">
        <f t="shared" si="76"/>
        <v>#NUM!</v>
      </c>
      <c r="AB222" s="128" t="e">
        <f t="shared" si="77"/>
        <v>#NUM!</v>
      </c>
      <c r="AC222" s="128" t="e">
        <f t="shared" si="78"/>
        <v>#NUM!</v>
      </c>
      <c r="AD222" s="128" t="e">
        <f t="shared" si="79"/>
        <v>#NUM!</v>
      </c>
      <c r="AE222" s="128" t="e">
        <f t="shared" si="80"/>
        <v>#NUM!</v>
      </c>
      <c r="AF222" s="130"/>
      <c r="AG222" s="130"/>
      <c r="AH222" s="130"/>
      <c r="AI222" s="130"/>
      <c r="AJ222" s="130"/>
      <c r="AK222" s="130"/>
      <c r="AL222" s="130"/>
      <c r="AM222" s="130"/>
      <c r="AN222" s="130"/>
      <c r="AO222" s="130"/>
      <c r="AP222" s="130"/>
      <c r="AQ222" s="130"/>
      <c r="AR222" s="130"/>
      <c r="AS222" s="130"/>
    </row>
    <row r="223" spans="1:45" s="166" customFormat="1" ht="12.75">
      <c r="A223" s="132" t="e">
        <f t="shared" si="73"/>
        <v>#DIV/0!</v>
      </c>
      <c r="B223" s="132">
        <f t="shared" si="74"/>
        <v>3.8600000000000034</v>
      </c>
      <c r="C223" s="146">
        <f t="shared" si="54"/>
        <v>7244.3596007499555</v>
      </c>
      <c r="D223" s="137" t="e">
        <f t="shared" si="55"/>
        <v>#DIV/0!</v>
      </c>
      <c r="E223" s="132" t="e">
        <f t="shared" si="56"/>
        <v>#DIV/0!</v>
      </c>
      <c r="G223" s="146"/>
      <c r="H223" s="184" t="str">
        <f t="shared" si="57"/>
        <v>1E+47-2.19694979077818E+51i</v>
      </c>
      <c r="I223" s="132" t="str">
        <f>IMSUM(IMDIV(1,COMPLEX(0,Q223*MLCC*10^-6)),MLCC_ESR*10^-3)</f>
        <v>1E+47-2.19694979077818E+51i</v>
      </c>
      <c r="J223" s="132" t="str">
        <f t="shared" si="58"/>
        <v>5E+46-1.09847489538909E+51i</v>
      </c>
      <c r="K223" s="132"/>
      <c r="L223" s="132" t="e">
        <f t="shared" si="59"/>
        <v>#DIV/0!</v>
      </c>
      <c r="M223" s="132" t="str">
        <f t="shared" si="60"/>
        <v>0</v>
      </c>
      <c r="N223" s="132" t="e">
        <f t="shared" si="61"/>
        <v>#DIV/0!</v>
      </c>
      <c r="O223" s="185" t="e">
        <f t="shared" si="62"/>
        <v>#DIV/0!</v>
      </c>
      <c r="P223" s="185" t="e">
        <f t="shared" si="63"/>
        <v>#DIV/0!</v>
      </c>
      <c r="Q223" s="132">
        <f t="shared" si="64"/>
        <v>45517.65380335749</v>
      </c>
      <c r="R223" s="132">
        <f t="shared" si="75"/>
        <v>3.8600000000000025</v>
      </c>
      <c r="S223" s="164" t="e">
        <f t="shared" si="65"/>
        <v>#DIV/0!</v>
      </c>
      <c r="T223" s="132" t="e">
        <f t="shared" si="66"/>
        <v>#NUM!</v>
      </c>
      <c r="U223" s="138" t="e">
        <f t="shared" si="67"/>
        <v>#NUM!</v>
      </c>
      <c r="V223" s="132" t="e">
        <f t="shared" si="68"/>
        <v>#NUM!</v>
      </c>
      <c r="W223" s="132">
        <f t="shared" si="69"/>
        <v>69.95195326140025</v>
      </c>
      <c r="X223" s="138">
        <f t="shared" si="70"/>
        <v>-71.71187494400739</v>
      </c>
      <c r="Y223" s="128" t="str">
        <f t="shared" si="71"/>
        <v>986.835162140583-2985.98968130335i</v>
      </c>
      <c r="Z223" s="128" t="e">
        <f t="shared" si="72"/>
        <v>#NUM!</v>
      </c>
      <c r="AA223" s="128" t="e">
        <f t="shared" si="76"/>
        <v>#NUM!</v>
      </c>
      <c r="AB223" s="128" t="e">
        <f t="shared" si="77"/>
        <v>#NUM!</v>
      </c>
      <c r="AC223" s="128" t="e">
        <f t="shared" si="78"/>
        <v>#NUM!</v>
      </c>
      <c r="AD223" s="128" t="e">
        <f t="shared" si="79"/>
        <v>#NUM!</v>
      </c>
      <c r="AE223" s="128" t="e">
        <f t="shared" si="80"/>
        <v>#NUM!</v>
      </c>
      <c r="AF223" s="130"/>
      <c r="AG223" s="130"/>
      <c r="AH223" s="130"/>
      <c r="AI223" s="130"/>
      <c r="AJ223" s="130"/>
      <c r="AK223" s="130"/>
      <c r="AL223" s="130"/>
      <c r="AM223" s="130"/>
      <c r="AN223" s="130"/>
      <c r="AO223" s="130"/>
      <c r="AP223" s="130"/>
      <c r="AQ223" s="130"/>
      <c r="AR223" s="130"/>
      <c r="AS223" s="130"/>
    </row>
    <row r="224" spans="1:45" s="166" customFormat="1" ht="12.75">
      <c r="A224" s="132" t="e">
        <f t="shared" si="73"/>
        <v>#DIV/0!</v>
      </c>
      <c r="B224" s="132">
        <f t="shared" si="74"/>
        <v>3.880000000000003</v>
      </c>
      <c r="C224" s="146">
        <f t="shared" si="54"/>
        <v>7585.775750291893</v>
      </c>
      <c r="D224" s="137" t="e">
        <f t="shared" si="55"/>
        <v>#DIV/0!</v>
      </c>
      <c r="E224" s="132" t="e">
        <f t="shared" si="56"/>
        <v>#DIV/0!</v>
      </c>
      <c r="G224" s="146"/>
      <c r="H224" s="184" t="str">
        <f t="shared" si="57"/>
        <v>1E+47-2.09807076205451E+51i</v>
      </c>
      <c r="I224" s="132" t="str">
        <f>IMSUM(IMDIV(1,COMPLEX(0,Q224*MLCC*10^-6)),MLCC_ESR*10^-3)</f>
        <v>1E+47-2.09807076205451E+51i</v>
      </c>
      <c r="J224" s="132" t="str">
        <f t="shared" si="58"/>
        <v>5E+46-1.04903538102725E+51i</v>
      </c>
      <c r="K224" s="132"/>
      <c r="L224" s="132" t="e">
        <f t="shared" si="59"/>
        <v>#DIV/0!</v>
      </c>
      <c r="M224" s="132" t="str">
        <f t="shared" si="60"/>
        <v>0</v>
      </c>
      <c r="N224" s="132" t="e">
        <f t="shared" si="61"/>
        <v>#DIV/0!</v>
      </c>
      <c r="O224" s="185" t="e">
        <f t="shared" si="62"/>
        <v>#DIV/0!</v>
      </c>
      <c r="P224" s="185" t="e">
        <f t="shared" si="63"/>
        <v>#DIV/0!</v>
      </c>
      <c r="Q224" s="132">
        <f t="shared" si="64"/>
        <v>47662.83473779322</v>
      </c>
      <c r="R224" s="132">
        <f t="shared" si="75"/>
        <v>3.8800000000000026</v>
      </c>
      <c r="S224" s="164" t="e">
        <f t="shared" si="65"/>
        <v>#DIV/0!</v>
      </c>
      <c r="T224" s="132" t="e">
        <f t="shared" si="66"/>
        <v>#NUM!</v>
      </c>
      <c r="U224" s="138" t="e">
        <f t="shared" si="67"/>
        <v>#NUM!</v>
      </c>
      <c r="V224" s="132" t="e">
        <f t="shared" si="68"/>
        <v>#NUM!</v>
      </c>
      <c r="W224" s="132">
        <f t="shared" si="69"/>
        <v>69.58991123783022</v>
      </c>
      <c r="X224" s="138">
        <f t="shared" si="70"/>
        <v>-72.48704936534013</v>
      </c>
      <c r="Y224" s="128" t="str">
        <f t="shared" si="71"/>
        <v>907.713051895241-2876.63062858946i</v>
      </c>
      <c r="Z224" s="128" t="e">
        <f t="shared" si="72"/>
        <v>#NUM!</v>
      </c>
      <c r="AA224" s="128" t="e">
        <f t="shared" si="76"/>
        <v>#NUM!</v>
      </c>
      <c r="AB224" s="128" t="e">
        <f t="shared" si="77"/>
        <v>#NUM!</v>
      </c>
      <c r="AC224" s="128" t="e">
        <f t="shared" si="78"/>
        <v>#NUM!</v>
      </c>
      <c r="AD224" s="128" t="e">
        <f t="shared" si="79"/>
        <v>#NUM!</v>
      </c>
      <c r="AE224" s="128" t="e">
        <f t="shared" si="80"/>
        <v>#NUM!</v>
      </c>
      <c r="AF224" s="130"/>
      <c r="AG224" s="130"/>
      <c r="AH224" s="130"/>
      <c r="AI224" s="130"/>
      <c r="AJ224" s="130"/>
      <c r="AK224" s="130"/>
      <c r="AL224" s="130"/>
      <c r="AM224" s="130"/>
      <c r="AN224" s="130"/>
      <c r="AO224" s="130"/>
      <c r="AP224" s="130"/>
      <c r="AQ224" s="130"/>
      <c r="AR224" s="130"/>
      <c r="AS224" s="130"/>
    </row>
    <row r="225" spans="1:45" s="166" customFormat="1" ht="12.75">
      <c r="A225" s="132" t="e">
        <f t="shared" si="73"/>
        <v>#DIV/0!</v>
      </c>
      <c r="B225" s="132">
        <f t="shared" si="74"/>
        <v>3.900000000000003</v>
      </c>
      <c r="C225" s="146">
        <f t="shared" si="54"/>
        <v>7943.282347242872</v>
      </c>
      <c r="D225" s="137" t="e">
        <f t="shared" si="55"/>
        <v>#DIV/0!</v>
      </c>
      <c r="E225" s="132" t="e">
        <f t="shared" si="56"/>
        <v>#DIV/0!</v>
      </c>
      <c r="G225" s="146"/>
      <c r="H225" s="184" t="str">
        <f t="shared" si="57"/>
        <v>1E+47-2.0036420227104E+51i</v>
      </c>
      <c r="I225" s="132" t="str">
        <f>IMSUM(IMDIV(1,COMPLEX(0,Q225*MLCC*10^-6)),MLCC_ESR*10^-3)</f>
        <v>1E+47-2.0036420227104E+51i</v>
      </c>
      <c r="J225" s="132" t="str">
        <f t="shared" si="58"/>
        <v>5E+46-1.0018210113552E+51i</v>
      </c>
      <c r="K225" s="132"/>
      <c r="L225" s="132" t="e">
        <f t="shared" si="59"/>
        <v>#DIV/0!</v>
      </c>
      <c r="M225" s="132" t="str">
        <f t="shared" si="60"/>
        <v>0</v>
      </c>
      <c r="N225" s="132" t="e">
        <f t="shared" si="61"/>
        <v>#DIV/0!</v>
      </c>
      <c r="O225" s="185" t="e">
        <f t="shared" si="62"/>
        <v>#DIV/0!</v>
      </c>
      <c r="P225" s="185" t="e">
        <f t="shared" si="63"/>
        <v>#DIV/0!</v>
      </c>
      <c r="Q225" s="132">
        <f t="shared" si="64"/>
        <v>49909.11493497539</v>
      </c>
      <c r="R225" s="132">
        <f t="shared" si="75"/>
        <v>3.9000000000000026</v>
      </c>
      <c r="S225" s="164" t="e">
        <f t="shared" si="65"/>
        <v>#DIV/0!</v>
      </c>
      <c r="T225" s="132" t="e">
        <f t="shared" si="66"/>
        <v>#NUM!</v>
      </c>
      <c r="U225" s="138" t="e">
        <f t="shared" si="67"/>
        <v>#NUM!</v>
      </c>
      <c r="V225" s="132" t="e">
        <f t="shared" si="68"/>
        <v>#NUM!</v>
      </c>
      <c r="W225" s="132">
        <f t="shared" si="69"/>
        <v>69.22482094359906</v>
      </c>
      <c r="X225" s="138">
        <f t="shared" si="70"/>
        <v>-73.23373461590103</v>
      </c>
      <c r="Y225" s="128" t="str">
        <f t="shared" si="71"/>
        <v>834.33187446601-2769.332298247i</v>
      </c>
      <c r="Z225" s="128" t="e">
        <f t="shared" si="72"/>
        <v>#NUM!</v>
      </c>
      <c r="AA225" s="128" t="e">
        <f t="shared" si="76"/>
        <v>#NUM!</v>
      </c>
      <c r="AB225" s="128" t="e">
        <f t="shared" si="77"/>
        <v>#NUM!</v>
      </c>
      <c r="AC225" s="128" t="e">
        <f t="shared" si="78"/>
        <v>#NUM!</v>
      </c>
      <c r="AD225" s="128" t="e">
        <f t="shared" si="79"/>
        <v>#NUM!</v>
      </c>
      <c r="AE225" s="128" t="e">
        <f t="shared" si="80"/>
        <v>#NUM!</v>
      </c>
      <c r="AF225" s="130"/>
      <c r="AG225" s="130"/>
      <c r="AH225" s="130"/>
      <c r="AI225" s="130"/>
      <c r="AJ225" s="130"/>
      <c r="AK225" s="130"/>
      <c r="AL225" s="130"/>
      <c r="AM225" s="130"/>
      <c r="AN225" s="130"/>
      <c r="AO225" s="130"/>
      <c r="AP225" s="130"/>
      <c r="AQ225" s="130"/>
      <c r="AR225" s="130"/>
      <c r="AS225" s="130"/>
    </row>
    <row r="226" spans="1:45" s="166" customFormat="1" ht="12.75">
      <c r="A226" s="132" t="e">
        <f t="shared" si="73"/>
        <v>#DIV/0!</v>
      </c>
      <c r="B226" s="132">
        <f t="shared" si="74"/>
        <v>3.920000000000003</v>
      </c>
      <c r="C226" s="146">
        <f t="shared" si="54"/>
        <v>8317.637711026768</v>
      </c>
      <c r="D226" s="137" t="e">
        <f t="shared" si="55"/>
        <v>#DIV/0!</v>
      </c>
      <c r="E226" s="132" t="e">
        <f t="shared" si="56"/>
        <v>#DIV/0!</v>
      </c>
      <c r="G226" s="146"/>
      <c r="H226" s="184" t="str">
        <f t="shared" si="57"/>
        <v>1E+47-1.91346327672943E+51i</v>
      </c>
      <c r="I226" s="132" t="str">
        <f>IMSUM(IMDIV(1,COMPLEX(0,Q226*MLCC*10^-6)),MLCC_ESR*10^-3)</f>
        <v>1E+47-1.91346327672943E+51i</v>
      </c>
      <c r="J226" s="132" t="str">
        <f t="shared" si="58"/>
        <v>5E+46-9.56731638364716E+50i</v>
      </c>
      <c r="K226" s="132"/>
      <c r="L226" s="132" t="e">
        <f t="shared" si="59"/>
        <v>#DIV/0!</v>
      </c>
      <c r="M226" s="132" t="str">
        <f t="shared" si="60"/>
        <v>0</v>
      </c>
      <c r="N226" s="132" t="e">
        <f t="shared" si="61"/>
        <v>#DIV/0!</v>
      </c>
      <c r="O226" s="185" t="e">
        <f t="shared" si="62"/>
        <v>#DIV/0!</v>
      </c>
      <c r="P226" s="185" t="e">
        <f t="shared" si="63"/>
        <v>#DIV/0!</v>
      </c>
      <c r="Q226" s="132">
        <f t="shared" si="64"/>
        <v>52261.25905636623</v>
      </c>
      <c r="R226" s="132">
        <f t="shared" si="75"/>
        <v>3.9200000000000026</v>
      </c>
      <c r="S226" s="164" t="e">
        <f t="shared" si="65"/>
        <v>#DIV/0!</v>
      </c>
      <c r="T226" s="132" t="e">
        <f t="shared" si="66"/>
        <v>#NUM!</v>
      </c>
      <c r="U226" s="138" t="e">
        <f t="shared" si="67"/>
        <v>#NUM!</v>
      </c>
      <c r="V226" s="132" t="e">
        <f t="shared" si="68"/>
        <v>#NUM!</v>
      </c>
      <c r="W226" s="132">
        <f t="shared" si="69"/>
        <v>68.8569054622042</v>
      </c>
      <c r="X226" s="138">
        <f t="shared" si="70"/>
        <v>-73.95250686731706</v>
      </c>
      <c r="Y226" s="128" t="str">
        <f t="shared" si="71"/>
        <v>766.367057955841-2664.30244101586i</v>
      </c>
      <c r="Z226" s="128" t="e">
        <f t="shared" si="72"/>
        <v>#NUM!</v>
      </c>
      <c r="AA226" s="128" t="e">
        <f t="shared" si="76"/>
        <v>#NUM!</v>
      </c>
      <c r="AB226" s="128" t="e">
        <f t="shared" si="77"/>
        <v>#NUM!</v>
      </c>
      <c r="AC226" s="128" t="e">
        <f t="shared" si="78"/>
        <v>#NUM!</v>
      </c>
      <c r="AD226" s="128" t="e">
        <f t="shared" si="79"/>
        <v>#NUM!</v>
      </c>
      <c r="AE226" s="128" t="e">
        <f t="shared" si="80"/>
        <v>#NUM!</v>
      </c>
      <c r="AF226" s="130"/>
      <c r="AG226" s="130"/>
      <c r="AH226" s="130"/>
      <c r="AI226" s="130"/>
      <c r="AJ226" s="130"/>
      <c r="AK226" s="130"/>
      <c r="AL226" s="130"/>
      <c r="AM226" s="130"/>
      <c r="AN226" s="130"/>
      <c r="AO226" s="130"/>
      <c r="AP226" s="130"/>
      <c r="AQ226" s="130"/>
      <c r="AR226" s="130"/>
      <c r="AS226" s="130"/>
    </row>
    <row r="227" spans="1:45" s="166" customFormat="1" ht="12.75">
      <c r="A227" s="132" t="e">
        <f t="shared" si="73"/>
        <v>#DIV/0!</v>
      </c>
      <c r="B227" s="132">
        <f t="shared" si="74"/>
        <v>3.940000000000003</v>
      </c>
      <c r="C227" s="146">
        <f t="shared" si="54"/>
        <v>8709.635899560866</v>
      </c>
      <c r="D227" s="137" t="e">
        <f t="shared" si="55"/>
        <v>#DIV/0!</v>
      </c>
      <c r="E227" s="132" t="e">
        <f t="shared" si="56"/>
        <v>#DIV/0!</v>
      </c>
      <c r="G227" s="146"/>
      <c r="H227" s="184" t="str">
        <f t="shared" si="57"/>
        <v>1E+47-1.82734324290089E+51i</v>
      </c>
      <c r="I227" s="132" t="str">
        <f>IMSUM(IMDIV(1,COMPLEX(0,Q227*MLCC*10^-6)),MLCC_ESR*10^-3)</f>
        <v>1E+47-1.82734324290089E+51i</v>
      </c>
      <c r="J227" s="132" t="str">
        <f t="shared" si="58"/>
        <v>5E+46-9.13671621450445E+50i</v>
      </c>
      <c r="K227" s="132"/>
      <c r="L227" s="132" t="e">
        <f t="shared" si="59"/>
        <v>#DIV/0!</v>
      </c>
      <c r="M227" s="132" t="str">
        <f t="shared" si="60"/>
        <v>0</v>
      </c>
      <c r="N227" s="132" t="e">
        <f t="shared" si="61"/>
        <v>#DIV/0!</v>
      </c>
      <c r="O227" s="185" t="e">
        <f t="shared" si="62"/>
        <v>#DIV/0!</v>
      </c>
      <c r="P227" s="185" t="e">
        <f t="shared" si="63"/>
        <v>#DIV/0!</v>
      </c>
      <c r="Q227" s="132">
        <f t="shared" si="64"/>
        <v>54724.25631500469</v>
      </c>
      <c r="R227" s="132">
        <f t="shared" si="75"/>
        <v>3.9400000000000026</v>
      </c>
      <c r="S227" s="164" t="e">
        <f t="shared" si="65"/>
        <v>#DIV/0!</v>
      </c>
      <c r="T227" s="132" t="e">
        <f t="shared" si="66"/>
        <v>#NUM!</v>
      </c>
      <c r="U227" s="138" t="e">
        <f t="shared" si="67"/>
        <v>#NUM!</v>
      </c>
      <c r="V227" s="132" t="e">
        <f t="shared" si="68"/>
        <v>#NUM!</v>
      </c>
      <c r="W227" s="132">
        <f t="shared" si="69"/>
        <v>68.48637495878756</v>
      </c>
      <c r="X227" s="138">
        <f t="shared" si="70"/>
        <v>-74.64399251257898</v>
      </c>
      <c r="Y227" s="128" t="str">
        <f t="shared" si="71"/>
        <v>703.497615993792-2561.71300075722i</v>
      </c>
      <c r="Z227" s="128" t="e">
        <f t="shared" si="72"/>
        <v>#NUM!</v>
      </c>
      <c r="AA227" s="128" t="e">
        <f t="shared" si="76"/>
        <v>#NUM!</v>
      </c>
      <c r="AB227" s="128" t="e">
        <f t="shared" si="77"/>
        <v>#NUM!</v>
      </c>
      <c r="AC227" s="128" t="e">
        <f t="shared" si="78"/>
        <v>#NUM!</v>
      </c>
      <c r="AD227" s="128" t="e">
        <f t="shared" si="79"/>
        <v>#NUM!</v>
      </c>
      <c r="AE227" s="128" t="e">
        <f t="shared" si="80"/>
        <v>#NUM!</v>
      </c>
      <c r="AF227" s="130"/>
      <c r="AG227" s="130"/>
      <c r="AH227" s="130"/>
      <c r="AI227" s="130"/>
      <c r="AJ227" s="130"/>
      <c r="AK227" s="130"/>
      <c r="AL227" s="130"/>
      <c r="AM227" s="130"/>
      <c r="AN227" s="130"/>
      <c r="AO227" s="130"/>
      <c r="AP227" s="130"/>
      <c r="AQ227" s="130"/>
      <c r="AR227" s="130"/>
      <c r="AS227" s="130"/>
    </row>
    <row r="228" spans="1:45" s="166" customFormat="1" ht="12.75">
      <c r="A228" s="132" t="e">
        <f t="shared" si="73"/>
        <v>#DIV/0!</v>
      </c>
      <c r="B228" s="132">
        <f t="shared" si="74"/>
        <v>3.960000000000003</v>
      </c>
      <c r="C228" s="146">
        <f t="shared" si="54"/>
        <v>9120.108393559158</v>
      </c>
      <c r="D228" s="137" t="e">
        <f t="shared" si="55"/>
        <v>#DIV/0!</v>
      </c>
      <c r="E228" s="132" t="e">
        <f t="shared" si="56"/>
        <v>#DIV/0!</v>
      </c>
      <c r="G228" s="146"/>
      <c r="H228" s="184" t="str">
        <f t="shared" si="57"/>
        <v>1E+47-1.74509924908672E+51i</v>
      </c>
      <c r="I228" s="132" t="str">
        <f>IMSUM(IMDIV(1,COMPLEX(0,Q228*MLCC*10^-6)),MLCC_ESR*10^-3)</f>
        <v>1E+47-1.74509924908672E+51i</v>
      </c>
      <c r="J228" s="132" t="str">
        <f t="shared" si="58"/>
        <v>5.00000000000001E+46-8.72549624543359E+50i</v>
      </c>
      <c r="K228" s="132"/>
      <c r="L228" s="132" t="e">
        <f t="shared" si="59"/>
        <v>#DIV/0!</v>
      </c>
      <c r="M228" s="132" t="str">
        <f t="shared" si="60"/>
        <v>0</v>
      </c>
      <c r="N228" s="132" t="e">
        <f t="shared" si="61"/>
        <v>#DIV/0!</v>
      </c>
      <c r="O228" s="185" t="e">
        <f t="shared" si="62"/>
        <v>#DIV/0!</v>
      </c>
      <c r="P228" s="185" t="e">
        <f t="shared" si="63"/>
        <v>#DIV/0!</v>
      </c>
      <c r="Q228" s="132">
        <f t="shared" si="64"/>
        <v>57303.33105829612</v>
      </c>
      <c r="R228" s="132">
        <f t="shared" si="75"/>
        <v>3.9600000000000026</v>
      </c>
      <c r="S228" s="164" t="e">
        <f t="shared" si="65"/>
        <v>#DIV/0!</v>
      </c>
      <c r="T228" s="132" t="e">
        <f t="shared" si="66"/>
        <v>#NUM!</v>
      </c>
      <c r="U228" s="138" t="e">
        <f t="shared" si="67"/>
        <v>#NUM!</v>
      </c>
      <c r="V228" s="132" t="e">
        <f t="shared" si="68"/>
        <v>#NUM!</v>
      </c>
      <c r="W228" s="132">
        <f t="shared" si="69"/>
        <v>68.1134268802972</v>
      </c>
      <c r="X228" s="138">
        <f t="shared" si="70"/>
        <v>-75.30885911665753</v>
      </c>
      <c r="Y228" s="128" t="str">
        <f t="shared" si="71"/>
        <v>645.408895847569-2461.70305426494i</v>
      </c>
      <c r="Z228" s="128" t="e">
        <f t="shared" si="72"/>
        <v>#NUM!</v>
      </c>
      <c r="AA228" s="128" t="e">
        <f t="shared" si="76"/>
        <v>#NUM!</v>
      </c>
      <c r="AB228" s="128" t="e">
        <f t="shared" si="77"/>
        <v>#NUM!</v>
      </c>
      <c r="AC228" s="128" t="e">
        <f t="shared" si="78"/>
        <v>#NUM!</v>
      </c>
      <c r="AD228" s="128" t="e">
        <f t="shared" si="79"/>
        <v>#NUM!</v>
      </c>
      <c r="AE228" s="128" t="e">
        <f t="shared" si="80"/>
        <v>#NUM!</v>
      </c>
      <c r="AF228" s="130"/>
      <c r="AG228" s="130"/>
      <c r="AH228" s="130"/>
      <c r="AI228" s="130"/>
      <c r="AJ228" s="130"/>
      <c r="AK228" s="130"/>
      <c r="AL228" s="130"/>
      <c r="AM228" s="130"/>
      <c r="AN228" s="130"/>
      <c r="AO228" s="130"/>
      <c r="AP228" s="130"/>
      <c r="AQ228" s="130"/>
      <c r="AR228" s="130"/>
      <c r="AS228" s="130"/>
    </row>
    <row r="229" spans="1:45" s="166" customFormat="1" ht="12.75">
      <c r="A229" s="132" t="e">
        <f t="shared" si="73"/>
        <v>#DIV/0!</v>
      </c>
      <c r="B229" s="132">
        <f t="shared" si="74"/>
        <v>3.9800000000000026</v>
      </c>
      <c r="C229" s="146">
        <f t="shared" si="54"/>
        <v>9549.92586021442</v>
      </c>
      <c r="D229" s="137" t="e">
        <f t="shared" si="55"/>
        <v>#DIV/0!</v>
      </c>
      <c r="E229" s="132" t="e">
        <f t="shared" si="56"/>
        <v>#DIV/0!</v>
      </c>
      <c r="G229" s="146"/>
      <c r="H229" s="184" t="str">
        <f t="shared" si="57"/>
        <v>1E+47-1.66655684474939E+51i</v>
      </c>
      <c r="I229" s="132" t="str">
        <f>IMSUM(IMDIV(1,COMPLEX(0,Q229*MLCC*10^-6)),MLCC_ESR*10^-3)</f>
        <v>1E+47-1.66655684474939E+51i</v>
      </c>
      <c r="J229" s="132" t="str">
        <f t="shared" si="58"/>
        <v>5E+46-8.33278422374694E+50i</v>
      </c>
      <c r="K229" s="132"/>
      <c r="L229" s="132" t="e">
        <f t="shared" si="59"/>
        <v>#DIV/0!</v>
      </c>
      <c r="M229" s="132" t="str">
        <f t="shared" si="60"/>
        <v>0</v>
      </c>
      <c r="N229" s="132" t="e">
        <f t="shared" si="61"/>
        <v>#DIV/0!</v>
      </c>
      <c r="O229" s="185" t="e">
        <f t="shared" si="62"/>
        <v>#DIV/0!</v>
      </c>
      <c r="P229" s="185" t="e">
        <f t="shared" si="63"/>
        <v>#DIV/0!</v>
      </c>
      <c r="Q229" s="132">
        <f t="shared" si="64"/>
        <v>60003.95384955362</v>
      </c>
      <c r="R229" s="132">
        <f t="shared" si="75"/>
        <v>3.9800000000000026</v>
      </c>
      <c r="S229" s="164" t="e">
        <f t="shared" si="65"/>
        <v>#DIV/0!</v>
      </c>
      <c r="T229" s="132" t="e">
        <f t="shared" si="66"/>
        <v>#NUM!</v>
      </c>
      <c r="U229" s="138" t="e">
        <f t="shared" si="67"/>
        <v>#NUM!</v>
      </c>
      <c r="V229" s="132" t="e">
        <f t="shared" si="68"/>
        <v>#NUM!</v>
      </c>
      <c r="W229" s="132">
        <f t="shared" si="69"/>
        <v>67.73824625480559</v>
      </c>
      <c r="X229" s="138">
        <f t="shared" si="70"/>
        <v>-75.94780714692065</v>
      </c>
      <c r="Y229" s="128" t="str">
        <f t="shared" si="71"/>
        <v>591.794797844026-2364.38176876351i</v>
      </c>
      <c r="Z229" s="128" t="e">
        <f t="shared" si="72"/>
        <v>#NUM!</v>
      </c>
      <c r="AA229" s="128" t="e">
        <f t="shared" si="76"/>
        <v>#NUM!</v>
      </c>
      <c r="AB229" s="128" t="e">
        <f t="shared" si="77"/>
        <v>#NUM!</v>
      </c>
      <c r="AC229" s="128" t="e">
        <f t="shared" si="78"/>
        <v>#NUM!</v>
      </c>
      <c r="AD229" s="128" t="e">
        <f t="shared" si="79"/>
        <v>#NUM!</v>
      </c>
      <c r="AE229" s="128" t="e">
        <f t="shared" si="80"/>
        <v>#NUM!</v>
      </c>
      <c r="AF229" s="130"/>
      <c r="AG229" s="130"/>
      <c r="AH229" s="130"/>
      <c r="AI229" s="130"/>
      <c r="AJ229" s="130"/>
      <c r="AK229" s="130"/>
      <c r="AL229" s="130"/>
      <c r="AM229" s="130"/>
      <c r="AN229" s="130"/>
      <c r="AO229" s="130"/>
      <c r="AP229" s="130"/>
      <c r="AQ229" s="130"/>
      <c r="AR229" s="130"/>
      <c r="AS229" s="130"/>
    </row>
    <row r="230" spans="1:45" s="166" customFormat="1" ht="12.75">
      <c r="A230" s="132" t="e">
        <f t="shared" si="73"/>
        <v>#DIV/0!</v>
      </c>
      <c r="B230" s="132">
        <f t="shared" si="74"/>
        <v>4.000000000000003</v>
      </c>
      <c r="C230" s="132">
        <f t="shared" si="54"/>
        <v>10000.000000000062</v>
      </c>
      <c r="D230" s="137" t="e">
        <f t="shared" si="55"/>
        <v>#DIV/0!</v>
      </c>
      <c r="E230" s="132" t="e">
        <f t="shared" si="56"/>
        <v>#DIV/0!</v>
      </c>
      <c r="G230" s="132"/>
      <c r="H230" s="184" t="str">
        <f t="shared" si="57"/>
        <v>1E+47-1.59154943091894E+51i</v>
      </c>
      <c r="I230" s="132" t="str">
        <f>IMSUM(IMDIV(1,COMPLEX(0,Q230*MLCC*10^-6)),MLCC_ESR*10^-3)</f>
        <v>1E+47-1.59154943091894E+51i</v>
      </c>
      <c r="J230" s="132" t="str">
        <f t="shared" si="58"/>
        <v>5E+46-7.95774715459469E+50i</v>
      </c>
      <c r="K230" s="132"/>
      <c r="L230" s="132" t="e">
        <f t="shared" si="59"/>
        <v>#DIV/0!</v>
      </c>
      <c r="M230" s="132" t="str">
        <f t="shared" si="60"/>
        <v>0</v>
      </c>
      <c r="N230" s="132" t="e">
        <f t="shared" si="61"/>
        <v>#DIV/0!</v>
      </c>
      <c r="O230" s="185" t="e">
        <f t="shared" si="62"/>
        <v>#DIV/0!</v>
      </c>
      <c r="P230" s="185" t="e">
        <f t="shared" si="63"/>
        <v>#DIV/0!</v>
      </c>
      <c r="Q230" s="132">
        <f t="shared" si="64"/>
        <v>62831.85307179625</v>
      </c>
      <c r="R230" s="132">
        <f t="shared" si="75"/>
        <v>4.000000000000003</v>
      </c>
      <c r="S230" s="164" t="e">
        <f t="shared" si="65"/>
        <v>#DIV/0!</v>
      </c>
      <c r="T230" s="132" t="e">
        <f t="shared" si="66"/>
        <v>#NUM!</v>
      </c>
      <c r="U230" s="138" t="e">
        <f t="shared" si="67"/>
        <v>#NUM!</v>
      </c>
      <c r="V230" s="132" t="e">
        <f t="shared" si="68"/>
        <v>#NUM!</v>
      </c>
      <c r="W230" s="132">
        <f t="shared" si="69"/>
        <v>67.36100606987377</v>
      </c>
      <c r="X230" s="138">
        <f t="shared" si="70"/>
        <v>-76.56156247961874</v>
      </c>
      <c r="Y230" s="128" t="str">
        <f t="shared" si="71"/>
        <v>542.359518154848-2269.83131564522i</v>
      </c>
      <c r="Z230" s="128" t="e">
        <f t="shared" si="72"/>
        <v>#NUM!</v>
      </c>
      <c r="AA230" s="128" t="e">
        <f t="shared" si="76"/>
        <v>#NUM!</v>
      </c>
      <c r="AB230" s="128" t="e">
        <f t="shared" si="77"/>
        <v>#NUM!</v>
      </c>
      <c r="AC230" s="128" t="e">
        <f t="shared" si="78"/>
        <v>#NUM!</v>
      </c>
      <c r="AD230" s="128" t="e">
        <f t="shared" si="79"/>
        <v>#NUM!</v>
      </c>
      <c r="AE230" s="128" t="e">
        <f t="shared" si="80"/>
        <v>#NUM!</v>
      </c>
      <c r="AF230" s="130"/>
      <c r="AG230" s="130"/>
      <c r="AH230" s="130"/>
      <c r="AI230" s="130"/>
      <c r="AJ230" s="130"/>
      <c r="AK230" s="130"/>
      <c r="AL230" s="130"/>
      <c r="AM230" s="130"/>
      <c r="AN230" s="130"/>
      <c r="AO230" s="130"/>
      <c r="AP230" s="130"/>
      <c r="AQ230" s="130"/>
      <c r="AR230" s="130"/>
      <c r="AS230" s="130"/>
    </row>
    <row r="231" spans="1:45" s="166" customFormat="1" ht="12.75">
      <c r="A231" s="132" t="e">
        <f t="shared" si="73"/>
        <v>#DIV/0!</v>
      </c>
      <c r="B231" s="132">
        <f t="shared" si="74"/>
        <v>4.020000000000002</v>
      </c>
      <c r="C231" s="146">
        <f t="shared" si="54"/>
        <v>10471.285480509057</v>
      </c>
      <c r="D231" s="137" t="e">
        <f t="shared" si="55"/>
        <v>#DIV/0!</v>
      </c>
      <c r="E231" s="132" t="e">
        <f t="shared" si="56"/>
        <v>#DIV/0!</v>
      </c>
      <c r="G231" s="146"/>
      <c r="H231" s="184" t="str">
        <f t="shared" si="57"/>
        <v>1E+47-1.51991790681423E+51i</v>
      </c>
      <c r="I231" s="132" t="str">
        <f>IMSUM(IMDIV(1,COMPLEX(0,Q231*MLCC*10^-6)),MLCC_ESR*10^-3)</f>
        <v>1E+47-1.51991790681423E+51i</v>
      </c>
      <c r="J231" s="132" t="str">
        <f t="shared" si="58"/>
        <v>5E+46-7.59958953407115E+50i</v>
      </c>
      <c r="K231" s="132"/>
      <c r="L231" s="132" t="e">
        <f t="shared" si="59"/>
        <v>#DIV/0!</v>
      </c>
      <c r="M231" s="132" t="str">
        <f t="shared" si="60"/>
        <v>0</v>
      </c>
      <c r="N231" s="132" t="e">
        <f t="shared" si="61"/>
        <v>#DIV/0!</v>
      </c>
      <c r="O231" s="185" t="e">
        <f t="shared" si="62"/>
        <v>#DIV/0!</v>
      </c>
      <c r="P231" s="185" t="e">
        <f t="shared" si="63"/>
        <v>#DIV/0!</v>
      </c>
      <c r="Q231" s="132">
        <f t="shared" si="64"/>
        <v>65793.02707841745</v>
      </c>
      <c r="R231" s="132">
        <f t="shared" si="75"/>
        <v>4.020000000000002</v>
      </c>
      <c r="S231" s="164" t="e">
        <f t="shared" si="65"/>
        <v>#DIV/0!</v>
      </c>
      <c r="T231" s="132" t="e">
        <f t="shared" si="66"/>
        <v>#NUM!</v>
      </c>
      <c r="U231" s="138" t="e">
        <f t="shared" si="67"/>
        <v>#NUM!</v>
      </c>
      <c r="V231" s="132" t="e">
        <f t="shared" si="68"/>
        <v>#NUM!</v>
      </c>
      <c r="W231" s="132">
        <f t="shared" si="69"/>
        <v>66.9818677119706</v>
      </c>
      <c r="X231" s="138">
        <f t="shared" si="70"/>
        <v>-77.15086966433229</v>
      </c>
      <c r="Y231" s="128" t="str">
        <f t="shared" si="71"/>
        <v>496.818868565468-2178.10969268754i</v>
      </c>
      <c r="Z231" s="128" t="e">
        <f t="shared" si="72"/>
        <v>#NUM!</v>
      </c>
      <c r="AA231" s="128" t="e">
        <f t="shared" si="76"/>
        <v>#NUM!</v>
      </c>
      <c r="AB231" s="128" t="e">
        <f t="shared" si="77"/>
        <v>#NUM!</v>
      </c>
      <c r="AC231" s="128" t="e">
        <f t="shared" si="78"/>
        <v>#NUM!</v>
      </c>
      <c r="AD231" s="128" t="e">
        <f t="shared" si="79"/>
        <v>#NUM!</v>
      </c>
      <c r="AE231" s="128" t="e">
        <f t="shared" si="80"/>
        <v>#NUM!</v>
      </c>
      <c r="AF231" s="130"/>
      <c r="AG231" s="130"/>
      <c r="AH231" s="130"/>
      <c r="AI231" s="130"/>
      <c r="AJ231" s="130"/>
      <c r="AK231" s="130"/>
      <c r="AL231" s="130"/>
      <c r="AM231" s="130"/>
      <c r="AN231" s="130"/>
      <c r="AO231" s="130"/>
      <c r="AP231" s="130"/>
      <c r="AQ231" s="130"/>
      <c r="AR231" s="130"/>
      <c r="AS231" s="130"/>
    </row>
    <row r="232" spans="1:45" s="166" customFormat="1" ht="12.75">
      <c r="A232" s="132" t="e">
        <f t="shared" si="73"/>
        <v>#DIV/0!</v>
      </c>
      <c r="B232" s="132">
        <f t="shared" si="74"/>
        <v>4.040000000000003</v>
      </c>
      <c r="C232" s="146">
        <f t="shared" si="54"/>
        <v>10964.781961431914</v>
      </c>
      <c r="D232" s="137" t="e">
        <f t="shared" si="55"/>
        <v>#DIV/0!</v>
      </c>
      <c r="E232" s="132" t="e">
        <f t="shared" si="56"/>
        <v>#DIV/0!</v>
      </c>
      <c r="G232" s="146"/>
      <c r="H232" s="184" t="str">
        <f t="shared" si="57"/>
        <v>1E+47-1.45151033236881E+51i</v>
      </c>
      <c r="I232" s="132" t="str">
        <f>IMSUM(IMDIV(1,COMPLEX(0,Q232*MLCC*10^-6)),MLCC_ESR*10^-3)</f>
        <v>1E+47-1.45151033236881E+51i</v>
      </c>
      <c r="J232" s="132" t="str">
        <f t="shared" si="58"/>
        <v>5.00000000000001E+46-7.25755166184404E+50i</v>
      </c>
      <c r="K232" s="132"/>
      <c r="L232" s="132" t="e">
        <f t="shared" si="59"/>
        <v>#DIV/0!</v>
      </c>
      <c r="M232" s="132" t="str">
        <f t="shared" si="60"/>
        <v>0</v>
      </c>
      <c r="N232" s="132" t="e">
        <f t="shared" si="61"/>
        <v>#DIV/0!</v>
      </c>
      <c r="O232" s="185" t="e">
        <f t="shared" si="62"/>
        <v>#DIV/0!</v>
      </c>
      <c r="P232" s="185" t="e">
        <f t="shared" si="63"/>
        <v>#DIV/0!</v>
      </c>
      <c r="Q232" s="132">
        <f t="shared" si="64"/>
        <v>68893.75691649677</v>
      </c>
      <c r="R232" s="132">
        <f t="shared" si="75"/>
        <v>4.040000000000002</v>
      </c>
      <c r="S232" s="164" t="e">
        <f t="shared" si="65"/>
        <v>#DIV/0!</v>
      </c>
      <c r="T232" s="132" t="e">
        <f t="shared" si="66"/>
        <v>#NUM!</v>
      </c>
      <c r="U232" s="138" t="e">
        <f t="shared" si="67"/>
        <v>#NUM!</v>
      </c>
      <c r="V232" s="132" t="e">
        <f t="shared" si="68"/>
        <v>#NUM!</v>
      </c>
      <c r="W232" s="132">
        <f t="shared" si="69"/>
        <v>66.60098145109674</v>
      </c>
      <c r="X232" s="138">
        <f t="shared" si="70"/>
        <v>-77.71648591731186</v>
      </c>
      <c r="Y232" s="128" t="str">
        <f t="shared" si="71"/>
        <v>454.901226334341-2089.25341908889i</v>
      </c>
      <c r="Z232" s="128" t="e">
        <f t="shared" si="72"/>
        <v>#NUM!</v>
      </c>
      <c r="AA232" s="128" t="e">
        <f t="shared" si="76"/>
        <v>#NUM!</v>
      </c>
      <c r="AB232" s="128" t="e">
        <f t="shared" si="77"/>
        <v>#NUM!</v>
      </c>
      <c r="AC232" s="128" t="e">
        <f t="shared" si="78"/>
        <v>#NUM!</v>
      </c>
      <c r="AD232" s="128" t="e">
        <f t="shared" si="79"/>
        <v>#NUM!</v>
      </c>
      <c r="AE232" s="128" t="e">
        <f t="shared" si="80"/>
        <v>#NUM!</v>
      </c>
      <c r="AF232" s="130"/>
      <c r="AG232" s="130"/>
      <c r="AH232" s="130"/>
      <c r="AI232" s="130"/>
      <c r="AJ232" s="130"/>
      <c r="AK232" s="130"/>
      <c r="AL232" s="130"/>
      <c r="AM232" s="130"/>
      <c r="AN232" s="130"/>
      <c r="AO232" s="130"/>
      <c r="AP232" s="130"/>
      <c r="AQ232" s="130"/>
      <c r="AR232" s="130"/>
      <c r="AS232" s="130"/>
    </row>
    <row r="233" spans="1:45" s="166" customFormat="1" ht="12.75">
      <c r="A233" s="132" t="e">
        <f t="shared" si="73"/>
        <v>#DIV/0!</v>
      </c>
      <c r="B233" s="132">
        <f t="shared" si="74"/>
        <v>4.060000000000001</v>
      </c>
      <c r="C233" s="146">
        <f t="shared" si="54"/>
        <v>11481.536214968872</v>
      </c>
      <c r="D233" s="137" t="e">
        <f t="shared" si="55"/>
        <v>#DIV/0!</v>
      </c>
      <c r="E233" s="132" t="e">
        <f t="shared" si="56"/>
        <v>#DIV/0!</v>
      </c>
      <c r="G233" s="146"/>
      <c r="H233" s="184" t="str">
        <f t="shared" si="57"/>
        <v>1E+47-1.38618160594572E+51i</v>
      </c>
      <c r="I233" s="132" t="str">
        <f>IMSUM(IMDIV(1,COMPLEX(0,Q233*MLCC*10^-6)),MLCC_ESR*10^-3)</f>
        <v>1E+47-1.38618160594572E+51i</v>
      </c>
      <c r="J233" s="132" t="str">
        <f t="shared" si="58"/>
        <v>4.99999999999999E+46-6.93090802972862E+50i</v>
      </c>
      <c r="K233" s="132"/>
      <c r="L233" s="132" t="e">
        <f t="shared" si="59"/>
        <v>#DIV/0!</v>
      </c>
      <c r="M233" s="132" t="str">
        <f t="shared" si="60"/>
        <v>0</v>
      </c>
      <c r="N233" s="132" t="e">
        <f t="shared" si="61"/>
        <v>#DIV/0!</v>
      </c>
      <c r="O233" s="185" t="e">
        <f t="shared" si="62"/>
        <v>#DIV/0!</v>
      </c>
      <c r="P233" s="185" t="e">
        <f t="shared" si="63"/>
        <v>#DIV/0!</v>
      </c>
      <c r="Q233" s="132">
        <f t="shared" si="64"/>
        <v>72140.61964974273</v>
      </c>
      <c r="R233" s="132">
        <f t="shared" si="75"/>
        <v>4.060000000000001</v>
      </c>
      <c r="S233" s="164" t="e">
        <f t="shared" si="65"/>
        <v>#DIV/0!</v>
      </c>
      <c r="T233" s="132" t="e">
        <f t="shared" si="66"/>
        <v>#NUM!</v>
      </c>
      <c r="U233" s="138" t="e">
        <f t="shared" si="67"/>
        <v>#NUM!</v>
      </c>
      <c r="V233" s="132" t="e">
        <f t="shared" si="68"/>
        <v>#NUM!</v>
      </c>
      <c r="W233" s="132">
        <f t="shared" si="69"/>
        <v>66.21848695685087</v>
      </c>
      <c r="X233" s="138">
        <f t="shared" si="70"/>
        <v>-78.25917580664772</v>
      </c>
      <c r="Y233" s="128" t="str">
        <f t="shared" si="71"/>
        <v>416.34816520529-2003.28007809621i</v>
      </c>
      <c r="Z233" s="128" t="e">
        <f t="shared" si="72"/>
        <v>#NUM!</v>
      </c>
      <c r="AA233" s="128" t="e">
        <f t="shared" si="76"/>
        <v>#NUM!</v>
      </c>
      <c r="AB233" s="128" t="e">
        <f t="shared" si="77"/>
        <v>#NUM!</v>
      </c>
      <c r="AC233" s="128" t="e">
        <f t="shared" si="78"/>
        <v>#NUM!</v>
      </c>
      <c r="AD233" s="128" t="e">
        <f t="shared" si="79"/>
        <v>#NUM!</v>
      </c>
      <c r="AE233" s="128" t="e">
        <f t="shared" si="80"/>
        <v>#NUM!</v>
      </c>
      <c r="AF233" s="130"/>
      <c r="AG233" s="130"/>
      <c r="AH233" s="130"/>
      <c r="AI233" s="130"/>
      <c r="AJ233" s="130"/>
      <c r="AK233" s="130"/>
      <c r="AL233" s="130"/>
      <c r="AM233" s="130"/>
      <c r="AN233" s="130"/>
      <c r="AO233" s="130"/>
      <c r="AP233" s="130"/>
      <c r="AQ233" s="130"/>
      <c r="AR233" s="130"/>
      <c r="AS233" s="130"/>
    </row>
    <row r="234" spans="1:45" s="166" customFormat="1" ht="12.75">
      <c r="A234" s="132" t="e">
        <f t="shared" si="73"/>
        <v>#DIV/0!</v>
      </c>
      <c r="B234" s="132">
        <f t="shared" si="74"/>
        <v>4.080000000000002</v>
      </c>
      <c r="C234" s="146">
        <f t="shared" si="54"/>
        <v>12022.644346174173</v>
      </c>
      <c r="D234" s="137" t="e">
        <f t="shared" si="55"/>
        <v>#DIV/0!</v>
      </c>
      <c r="E234" s="132" t="e">
        <f t="shared" si="56"/>
        <v>#DIV/0!</v>
      </c>
      <c r="G234" s="146"/>
      <c r="H234" s="184" t="str">
        <f t="shared" si="57"/>
        <v>1E+47-1.32379315655745E+51i</v>
      </c>
      <c r="I234" s="132" t="str">
        <f>IMSUM(IMDIV(1,COMPLEX(0,Q234*MLCC*10^-6)),MLCC_ESR*10^-3)</f>
        <v>1E+47-1.32379315655745E+51i</v>
      </c>
      <c r="J234" s="132" t="str">
        <f t="shared" si="58"/>
        <v>4.99999999999999E+46-6.61896578278726E+50i</v>
      </c>
      <c r="K234" s="132"/>
      <c r="L234" s="132" t="e">
        <f t="shared" si="59"/>
        <v>#DIV/0!</v>
      </c>
      <c r="M234" s="132" t="str">
        <f t="shared" si="60"/>
        <v>0</v>
      </c>
      <c r="N234" s="132" t="e">
        <f t="shared" si="61"/>
        <v>#DIV/0!</v>
      </c>
      <c r="O234" s="185" t="e">
        <f t="shared" si="62"/>
        <v>#DIV/0!</v>
      </c>
      <c r="P234" s="185" t="e">
        <f t="shared" si="63"/>
        <v>#DIV/0!</v>
      </c>
      <c r="Q234" s="132">
        <f t="shared" si="64"/>
        <v>75540.50230932729</v>
      </c>
      <c r="R234" s="132">
        <f t="shared" si="75"/>
        <v>4.080000000000001</v>
      </c>
      <c r="S234" s="164" t="e">
        <f t="shared" si="65"/>
        <v>#DIV/0!</v>
      </c>
      <c r="T234" s="132" t="e">
        <f t="shared" si="66"/>
        <v>#NUM!</v>
      </c>
      <c r="U234" s="138" t="e">
        <f t="shared" si="67"/>
        <v>#NUM!</v>
      </c>
      <c r="V234" s="132" t="e">
        <f t="shared" si="68"/>
        <v>#NUM!</v>
      </c>
      <c r="W234" s="132">
        <f t="shared" si="69"/>
        <v>65.834513834156</v>
      </c>
      <c r="X234" s="138">
        <f t="shared" si="70"/>
        <v>-78.77970658674558</v>
      </c>
      <c r="Y234" s="128" t="str">
        <f t="shared" si="71"/>
        <v>380.914815519665-1920.19069079381i</v>
      </c>
      <c r="Z234" s="128" t="e">
        <f t="shared" si="72"/>
        <v>#NUM!</v>
      </c>
      <c r="AA234" s="128" t="e">
        <f t="shared" si="76"/>
        <v>#NUM!</v>
      </c>
      <c r="AB234" s="128" t="e">
        <f t="shared" si="77"/>
        <v>#NUM!</v>
      </c>
      <c r="AC234" s="128" t="e">
        <f t="shared" si="78"/>
        <v>#NUM!</v>
      </c>
      <c r="AD234" s="128" t="e">
        <f t="shared" si="79"/>
        <v>#NUM!</v>
      </c>
      <c r="AE234" s="128" t="e">
        <f t="shared" si="80"/>
        <v>#NUM!</v>
      </c>
      <c r="AF234" s="130"/>
      <c r="AG234" s="130"/>
      <c r="AH234" s="130"/>
      <c r="AI234" s="130"/>
      <c r="AJ234" s="130"/>
      <c r="AK234" s="130"/>
      <c r="AL234" s="130"/>
      <c r="AM234" s="130"/>
      <c r="AN234" s="130"/>
      <c r="AO234" s="130"/>
      <c r="AP234" s="130"/>
      <c r="AQ234" s="130"/>
      <c r="AR234" s="130"/>
      <c r="AS234" s="130"/>
    </row>
    <row r="235" spans="1:45" s="166" customFormat="1" ht="12.75">
      <c r="A235" s="132" t="e">
        <f t="shared" si="73"/>
        <v>#DIV/0!</v>
      </c>
      <c r="B235" s="132">
        <f t="shared" si="74"/>
        <v>4.1000000000000005</v>
      </c>
      <c r="C235" s="146">
        <f t="shared" si="54"/>
        <v>12589.254117941693</v>
      </c>
      <c r="D235" s="137" t="e">
        <f t="shared" si="55"/>
        <v>#DIV/0!</v>
      </c>
      <c r="E235" s="132" t="e">
        <f t="shared" si="56"/>
        <v>#DIV/0!</v>
      </c>
      <c r="G235" s="146"/>
      <c r="H235" s="184" t="str">
        <f t="shared" si="57"/>
        <v>1E+47-1.26421264993829E+51i</v>
      </c>
      <c r="I235" s="132" t="str">
        <f>IMSUM(IMDIV(1,COMPLEX(0,Q235*MLCC*10^-6)),MLCC_ESR*10^-3)</f>
        <v>1E+47-1.26421264993829E+51i</v>
      </c>
      <c r="J235" s="132" t="str">
        <f t="shared" si="58"/>
        <v>5.00000000000001E+46-6.32106324969144E+50i</v>
      </c>
      <c r="K235" s="132"/>
      <c r="L235" s="132" t="e">
        <f t="shared" si="59"/>
        <v>#DIV/0!</v>
      </c>
      <c r="M235" s="132" t="str">
        <f t="shared" si="60"/>
        <v>0</v>
      </c>
      <c r="N235" s="132" t="e">
        <f t="shared" si="61"/>
        <v>#DIV/0!</v>
      </c>
      <c r="O235" s="185" t="e">
        <f t="shared" si="62"/>
        <v>#DIV/0!</v>
      </c>
      <c r="P235" s="185" t="e">
        <f t="shared" si="63"/>
        <v>#DIV/0!</v>
      </c>
      <c r="Q235" s="132">
        <f t="shared" si="64"/>
        <v>79100.61650220134</v>
      </c>
      <c r="R235" s="132">
        <f t="shared" si="75"/>
        <v>4.1000000000000005</v>
      </c>
      <c r="S235" s="164" t="e">
        <f t="shared" si="65"/>
        <v>#DIV/0!</v>
      </c>
      <c r="T235" s="132" t="e">
        <f t="shared" si="66"/>
        <v>#NUM!</v>
      </c>
      <c r="U235" s="138" t="e">
        <f t="shared" si="67"/>
        <v>#NUM!</v>
      </c>
      <c r="V235" s="132" t="e">
        <f t="shared" si="68"/>
        <v>#NUM!</v>
      </c>
      <c r="W235" s="132">
        <f t="shared" si="69"/>
        <v>65.44918216871041</v>
      </c>
      <c r="X235" s="138">
        <f t="shared" si="70"/>
        <v>-79.27884413624552</v>
      </c>
      <c r="Y235" s="128" t="str">
        <f t="shared" si="71"/>
        <v>348.369997571923-1839.97191187355i</v>
      </c>
      <c r="Z235" s="128" t="e">
        <f t="shared" si="72"/>
        <v>#NUM!</v>
      </c>
      <c r="AA235" s="128" t="e">
        <f t="shared" si="76"/>
        <v>#NUM!</v>
      </c>
      <c r="AB235" s="128" t="e">
        <f t="shared" si="77"/>
        <v>#NUM!</v>
      </c>
      <c r="AC235" s="128" t="e">
        <f t="shared" si="78"/>
        <v>#NUM!</v>
      </c>
      <c r="AD235" s="128" t="e">
        <f t="shared" si="79"/>
        <v>#NUM!</v>
      </c>
      <c r="AE235" s="128" t="e">
        <f t="shared" si="80"/>
        <v>#NUM!</v>
      </c>
      <c r="AF235" s="130"/>
      <c r="AG235" s="130"/>
      <c r="AH235" s="130"/>
      <c r="AI235" s="130"/>
      <c r="AJ235" s="130"/>
      <c r="AK235" s="130"/>
      <c r="AL235" s="130"/>
      <c r="AM235" s="130"/>
      <c r="AN235" s="130"/>
      <c r="AO235" s="130"/>
      <c r="AP235" s="130"/>
      <c r="AQ235" s="130"/>
      <c r="AR235" s="130"/>
      <c r="AS235" s="130"/>
    </row>
    <row r="236" spans="1:45" s="166" customFormat="1" ht="12.75">
      <c r="A236" s="132" t="e">
        <f t="shared" si="73"/>
        <v>#DIV/0!</v>
      </c>
      <c r="B236" s="132">
        <f t="shared" si="74"/>
        <v>4.120000000000001</v>
      </c>
      <c r="C236" s="146">
        <f t="shared" si="54"/>
        <v>13182.56738556409</v>
      </c>
      <c r="D236" s="137" t="e">
        <f t="shared" si="55"/>
        <v>#DIV/0!</v>
      </c>
      <c r="E236" s="132" t="e">
        <f t="shared" si="56"/>
        <v>#DIV/0!</v>
      </c>
      <c r="G236" s="146"/>
      <c r="H236" s="184" t="str">
        <f t="shared" si="57"/>
        <v>1E+47-1.20731370784558E+51i</v>
      </c>
      <c r="I236" s="132" t="str">
        <f>IMSUM(IMDIV(1,COMPLEX(0,Q236*MLCC*10^-6)),MLCC_ESR*10^-3)</f>
        <v>1E+47-1.20731370784558E+51i</v>
      </c>
      <c r="J236" s="132" t="str">
        <f t="shared" si="58"/>
        <v>5.00000000000001E+46-6.03656853922789E+50i</v>
      </c>
      <c r="K236" s="132"/>
      <c r="L236" s="132" t="e">
        <f t="shared" si="59"/>
        <v>#DIV/0!</v>
      </c>
      <c r="M236" s="132" t="str">
        <f t="shared" si="60"/>
        <v>0</v>
      </c>
      <c r="N236" s="132" t="e">
        <f t="shared" si="61"/>
        <v>#DIV/0!</v>
      </c>
      <c r="O236" s="185" t="e">
        <f t="shared" si="62"/>
        <v>#DIV/0!</v>
      </c>
      <c r="P236" s="185" t="e">
        <f t="shared" si="63"/>
        <v>#DIV/0!</v>
      </c>
      <c r="Q236" s="132">
        <f t="shared" si="64"/>
        <v>82828.51370788111</v>
      </c>
      <c r="R236" s="132">
        <f t="shared" si="75"/>
        <v>4.12</v>
      </c>
      <c r="S236" s="164" t="e">
        <f t="shared" si="65"/>
        <v>#DIV/0!</v>
      </c>
      <c r="T236" s="132" t="e">
        <f t="shared" si="66"/>
        <v>#NUM!</v>
      </c>
      <c r="U236" s="138" t="e">
        <f t="shared" si="67"/>
        <v>#NUM!</v>
      </c>
      <c r="V236" s="132" t="e">
        <f t="shared" si="68"/>
        <v>#NUM!</v>
      </c>
      <c r="W236" s="132">
        <f t="shared" si="69"/>
        <v>65.06260307390599</v>
      </c>
      <c r="X236" s="138">
        <f t="shared" si="70"/>
        <v>-79.75734945189471</v>
      </c>
      <c r="Y236" s="128" t="str">
        <f t="shared" si="71"/>
        <v>318.496168170788-1762.59804404166i</v>
      </c>
      <c r="Z236" s="128" t="e">
        <f t="shared" si="72"/>
        <v>#NUM!</v>
      </c>
      <c r="AA236" s="128" t="e">
        <f t="shared" si="76"/>
        <v>#NUM!</v>
      </c>
      <c r="AB236" s="128" t="e">
        <f t="shared" si="77"/>
        <v>#NUM!</v>
      </c>
      <c r="AC236" s="128" t="e">
        <f t="shared" si="78"/>
        <v>#NUM!</v>
      </c>
      <c r="AD236" s="128" t="e">
        <f t="shared" si="79"/>
        <v>#NUM!</v>
      </c>
      <c r="AE236" s="128" t="e">
        <f t="shared" si="80"/>
        <v>#NUM!</v>
      </c>
      <c r="AF236" s="130"/>
      <c r="AG236" s="130"/>
      <c r="AH236" s="130"/>
      <c r="AI236" s="130"/>
      <c r="AJ236" s="130"/>
      <c r="AK236" s="130"/>
      <c r="AL236" s="130"/>
      <c r="AM236" s="130"/>
      <c r="AN236" s="130"/>
      <c r="AO236" s="130"/>
      <c r="AP236" s="130"/>
      <c r="AQ236" s="130"/>
      <c r="AR236" s="130"/>
      <c r="AS236" s="130"/>
    </row>
    <row r="237" spans="1:45" s="166" customFormat="1" ht="12.75">
      <c r="A237" s="132" t="e">
        <f t="shared" si="73"/>
        <v>#DIV/0!</v>
      </c>
      <c r="B237" s="132">
        <f t="shared" si="74"/>
        <v>4.14</v>
      </c>
      <c r="C237" s="146">
        <f t="shared" si="54"/>
        <v>13803.842646028841</v>
      </c>
      <c r="D237" s="137" t="e">
        <f t="shared" si="55"/>
        <v>#DIV/0!</v>
      </c>
      <c r="E237" s="132" t="e">
        <f t="shared" si="56"/>
        <v>#DIV/0!</v>
      </c>
      <c r="G237" s="146"/>
      <c r="H237" s="184" t="str">
        <f t="shared" si="57"/>
        <v>1E+47-1.15297563999458E+51i</v>
      </c>
      <c r="I237" s="132" t="str">
        <f>IMSUM(IMDIV(1,COMPLEX(0,Q237*MLCC*10^-6)),MLCC_ESR*10^-3)</f>
        <v>1E+47-1.15297563999458E+51i</v>
      </c>
      <c r="J237" s="132" t="str">
        <f t="shared" si="58"/>
        <v>5E+46-5.76487819997289E+50i</v>
      </c>
      <c r="K237" s="132"/>
      <c r="L237" s="132" t="e">
        <f t="shared" si="59"/>
        <v>#DIV/0!</v>
      </c>
      <c r="M237" s="132" t="str">
        <f t="shared" si="60"/>
        <v>0</v>
      </c>
      <c r="N237" s="132" t="e">
        <f t="shared" si="61"/>
        <v>#DIV/0!</v>
      </c>
      <c r="O237" s="185" t="e">
        <f t="shared" si="62"/>
        <v>#DIV/0!</v>
      </c>
      <c r="P237" s="185" t="e">
        <f t="shared" si="63"/>
        <v>#DIV/0!</v>
      </c>
      <c r="Q237" s="132">
        <f t="shared" si="64"/>
        <v>86732.10129614739</v>
      </c>
      <c r="R237" s="132">
        <f t="shared" si="75"/>
        <v>4.14</v>
      </c>
      <c r="S237" s="164" t="e">
        <f t="shared" si="65"/>
        <v>#DIV/0!</v>
      </c>
      <c r="T237" s="132" t="e">
        <f t="shared" si="66"/>
        <v>#NUM!</v>
      </c>
      <c r="U237" s="138" t="e">
        <f t="shared" si="67"/>
        <v>#NUM!</v>
      </c>
      <c r="V237" s="132" t="e">
        <f t="shared" si="68"/>
        <v>#NUM!</v>
      </c>
      <c r="W237" s="132">
        <f t="shared" si="69"/>
        <v>64.67487923247285</v>
      </c>
      <c r="X237" s="138">
        <f t="shared" si="70"/>
        <v>-80.21597565063745</v>
      </c>
      <c r="Y237" s="128" t="str">
        <f t="shared" si="71"/>
        <v>291.089216048468-1688.03287229712i</v>
      </c>
      <c r="Z237" s="128" t="e">
        <f t="shared" si="72"/>
        <v>#NUM!</v>
      </c>
      <c r="AA237" s="128" t="e">
        <f t="shared" si="76"/>
        <v>#NUM!</v>
      </c>
      <c r="AB237" s="128" t="e">
        <f t="shared" si="77"/>
        <v>#NUM!</v>
      </c>
      <c r="AC237" s="128" t="e">
        <f t="shared" si="78"/>
        <v>#NUM!</v>
      </c>
      <c r="AD237" s="128" t="e">
        <f t="shared" si="79"/>
        <v>#NUM!</v>
      </c>
      <c r="AE237" s="128" t="e">
        <f t="shared" si="80"/>
        <v>#NUM!</v>
      </c>
      <c r="AF237" s="130"/>
      <c r="AG237" s="130"/>
      <c r="AH237" s="130"/>
      <c r="AI237" s="130"/>
      <c r="AJ237" s="130"/>
      <c r="AK237" s="130"/>
      <c r="AL237" s="130"/>
      <c r="AM237" s="130"/>
      <c r="AN237" s="130"/>
      <c r="AO237" s="130"/>
      <c r="AP237" s="130"/>
      <c r="AQ237" s="130"/>
      <c r="AR237" s="130"/>
      <c r="AS237" s="130"/>
    </row>
    <row r="238" spans="1:45" s="166" customFormat="1" ht="12.75">
      <c r="A238" s="132" t="e">
        <f t="shared" si="73"/>
        <v>#DIV/0!</v>
      </c>
      <c r="B238" s="132">
        <f t="shared" si="74"/>
        <v>4.16</v>
      </c>
      <c r="C238" s="146">
        <f t="shared" si="54"/>
        <v>14454.397707459266</v>
      </c>
      <c r="D238" s="137" t="e">
        <f t="shared" si="55"/>
        <v>#DIV/0!</v>
      </c>
      <c r="E238" s="132" t="e">
        <f t="shared" si="56"/>
        <v>#DIV/0!</v>
      </c>
      <c r="G238" s="146"/>
      <c r="H238" s="184" t="str">
        <f t="shared" si="57"/>
        <v>1E+47-1.10108318805814E+51i</v>
      </c>
      <c r="I238" s="132" t="str">
        <f>IMSUM(IMDIV(1,COMPLEX(0,Q238*MLCC*10^-6)),MLCC_ESR*10^-3)</f>
        <v>1E+47-1.10108318805814E+51i</v>
      </c>
      <c r="J238" s="132" t="str">
        <f t="shared" si="58"/>
        <v>4.99999999999999E+46-5.50541594029071E+50i</v>
      </c>
      <c r="K238" s="132"/>
      <c r="L238" s="132" t="e">
        <f t="shared" si="59"/>
        <v>#DIV/0!</v>
      </c>
      <c r="M238" s="132" t="str">
        <f t="shared" si="60"/>
        <v>0</v>
      </c>
      <c r="N238" s="132" t="e">
        <f t="shared" si="61"/>
        <v>#DIV/0!</v>
      </c>
      <c r="O238" s="185" t="e">
        <f t="shared" si="62"/>
        <v>#DIV/0!</v>
      </c>
      <c r="P238" s="185" t="e">
        <f t="shared" si="63"/>
        <v>#DIV/0!</v>
      </c>
      <c r="Q238" s="132">
        <f t="shared" si="64"/>
        <v>90819.65929963836</v>
      </c>
      <c r="R238" s="132">
        <f t="shared" si="75"/>
        <v>4.159999999999999</v>
      </c>
      <c r="S238" s="164" t="e">
        <f t="shared" si="65"/>
        <v>#DIV/0!</v>
      </c>
      <c r="T238" s="132" t="e">
        <f t="shared" si="66"/>
        <v>#NUM!</v>
      </c>
      <c r="U238" s="138" t="e">
        <f t="shared" si="67"/>
        <v>#NUM!</v>
      </c>
      <c r="V238" s="132" t="e">
        <f t="shared" si="68"/>
        <v>#NUM!</v>
      </c>
      <c r="W238" s="132">
        <f t="shared" si="69"/>
        <v>64.28610542744421</v>
      </c>
      <c r="X238" s="138">
        <f t="shared" si="70"/>
        <v>-80.65546543299313</v>
      </c>
      <c r="Y238" s="128" t="str">
        <f t="shared" si="71"/>
        <v>265.958137482465-1616.23132280246i</v>
      </c>
      <c r="Z238" s="128" t="e">
        <f t="shared" si="72"/>
        <v>#NUM!</v>
      </c>
      <c r="AA238" s="128" t="e">
        <f t="shared" si="76"/>
        <v>#NUM!</v>
      </c>
      <c r="AB238" s="128" t="e">
        <f t="shared" si="77"/>
        <v>#NUM!</v>
      </c>
      <c r="AC238" s="128" t="e">
        <f t="shared" si="78"/>
        <v>#NUM!</v>
      </c>
      <c r="AD238" s="128" t="e">
        <f t="shared" si="79"/>
        <v>#NUM!</v>
      </c>
      <c r="AE238" s="128" t="e">
        <f t="shared" si="80"/>
        <v>#NUM!</v>
      </c>
      <c r="AF238" s="130"/>
      <c r="AG238" s="130"/>
      <c r="AH238" s="130"/>
      <c r="AI238" s="130"/>
      <c r="AJ238" s="130"/>
      <c r="AK238" s="130"/>
      <c r="AL238" s="130"/>
      <c r="AM238" s="130"/>
      <c r="AN238" s="130"/>
      <c r="AO238" s="130"/>
      <c r="AP238" s="130"/>
      <c r="AQ238" s="130"/>
      <c r="AR238" s="130"/>
      <c r="AS238" s="130"/>
    </row>
    <row r="239" spans="1:45" s="166" customFormat="1" ht="12.75">
      <c r="A239" s="132" t="e">
        <f t="shared" si="73"/>
        <v>#DIV/0!</v>
      </c>
      <c r="B239" s="132">
        <f t="shared" si="74"/>
        <v>4.179999999999999</v>
      </c>
      <c r="C239" s="146">
        <f t="shared" si="54"/>
        <v>15135.612484362042</v>
      </c>
      <c r="D239" s="137" t="e">
        <f t="shared" si="55"/>
        <v>#DIV/0!</v>
      </c>
      <c r="E239" s="132" t="e">
        <f t="shared" si="56"/>
        <v>#DIV/0!</v>
      </c>
      <c r="G239" s="146"/>
      <c r="H239" s="184" t="str">
        <f t="shared" si="57"/>
        <v>1E+47-1.05152628118837E+51i</v>
      </c>
      <c r="I239" s="132" t="str">
        <f>IMSUM(IMDIV(1,COMPLEX(0,Q239*MLCC*10^-6)),MLCC_ESR*10^-3)</f>
        <v>1E+47-1.05152628118837E+51i</v>
      </c>
      <c r="J239" s="132" t="str">
        <f t="shared" si="58"/>
        <v>5.00000000000001E+46-5.25763140594184E+50i</v>
      </c>
      <c r="K239" s="132"/>
      <c r="L239" s="132" t="e">
        <f t="shared" si="59"/>
        <v>#DIV/0!</v>
      </c>
      <c r="M239" s="132" t="str">
        <f t="shared" si="60"/>
        <v>0</v>
      </c>
      <c r="N239" s="132" t="e">
        <f t="shared" si="61"/>
        <v>#DIV/0!</v>
      </c>
      <c r="O239" s="185" t="e">
        <f t="shared" si="62"/>
        <v>#DIV/0!</v>
      </c>
      <c r="P239" s="185" t="e">
        <f t="shared" si="63"/>
        <v>#DIV/0!</v>
      </c>
      <c r="Q239" s="132">
        <f t="shared" si="64"/>
        <v>95099.8579769075</v>
      </c>
      <c r="R239" s="132">
        <f t="shared" si="75"/>
        <v>4.179999999999999</v>
      </c>
      <c r="S239" s="164" t="e">
        <f t="shared" si="65"/>
        <v>#DIV/0!</v>
      </c>
      <c r="T239" s="132" t="e">
        <f t="shared" si="66"/>
        <v>#NUM!</v>
      </c>
      <c r="U239" s="138" t="e">
        <f t="shared" si="67"/>
        <v>#NUM!</v>
      </c>
      <c r="V239" s="132" t="e">
        <f t="shared" si="68"/>
        <v>#NUM!</v>
      </c>
      <c r="W239" s="132">
        <f t="shared" si="69"/>
        <v>63.89636905821119</v>
      </c>
      <c r="X239" s="138">
        <f t="shared" si="70"/>
        <v>-81.07654896239573</v>
      </c>
      <c r="Y239" s="128" t="str">
        <f t="shared" si="71"/>
        <v>242.924619387286-1547.14095362622i</v>
      </c>
      <c r="Z239" s="128" t="e">
        <f t="shared" si="72"/>
        <v>#NUM!</v>
      </c>
      <c r="AA239" s="128" t="e">
        <f t="shared" si="76"/>
        <v>#NUM!</v>
      </c>
      <c r="AB239" s="128" t="e">
        <f t="shared" si="77"/>
        <v>#NUM!</v>
      </c>
      <c r="AC239" s="128" t="e">
        <f t="shared" si="78"/>
        <v>#NUM!</v>
      </c>
      <c r="AD239" s="128" t="e">
        <f t="shared" si="79"/>
        <v>#NUM!</v>
      </c>
      <c r="AE239" s="128" t="e">
        <f t="shared" si="80"/>
        <v>#NUM!</v>
      </c>
      <c r="AF239" s="130"/>
      <c r="AG239" s="130"/>
      <c r="AH239" s="130"/>
      <c r="AI239" s="130"/>
      <c r="AJ239" s="130"/>
      <c r="AK239" s="130"/>
      <c r="AL239" s="130"/>
      <c r="AM239" s="130"/>
      <c r="AN239" s="130"/>
      <c r="AO239" s="130"/>
      <c r="AP239" s="130"/>
      <c r="AQ239" s="130"/>
      <c r="AR239" s="130"/>
      <c r="AS239" s="130"/>
    </row>
    <row r="240" spans="1:45" s="166" customFormat="1" ht="12.75">
      <c r="A240" s="132" t="e">
        <f t="shared" si="73"/>
        <v>#DIV/0!</v>
      </c>
      <c r="B240" s="132">
        <f t="shared" si="74"/>
        <v>4.199999999999998</v>
      </c>
      <c r="C240" s="146">
        <f t="shared" si="54"/>
        <v>15848.93192461109</v>
      </c>
      <c r="D240" s="137" t="e">
        <f t="shared" si="55"/>
        <v>#DIV/0!</v>
      </c>
      <c r="E240" s="132" t="e">
        <f t="shared" si="56"/>
        <v>#DIV/0!</v>
      </c>
      <c r="G240" s="146"/>
      <c r="H240" s="184" t="str">
        <f t="shared" si="57"/>
        <v>1E+47-1.00419980254159E+51i</v>
      </c>
      <c r="I240" s="132" t="str">
        <f>IMSUM(IMDIV(1,COMPLEX(0,Q240*MLCC*10^-6)),MLCC_ESR*10^-3)</f>
        <v>1E+47-1.00419980254159E+51i</v>
      </c>
      <c r="J240" s="132" t="str">
        <f t="shared" si="58"/>
        <v>4.99999999999999E+46-5.02099901270796E+50i</v>
      </c>
      <c r="K240" s="132"/>
      <c r="L240" s="132" t="e">
        <f t="shared" si="59"/>
        <v>#DIV/0!</v>
      </c>
      <c r="M240" s="132" t="str">
        <f t="shared" si="60"/>
        <v>0</v>
      </c>
      <c r="N240" s="132" t="e">
        <f t="shared" si="61"/>
        <v>#DIV/0!</v>
      </c>
      <c r="O240" s="185" t="e">
        <f t="shared" si="62"/>
        <v>#DIV/0!</v>
      </c>
      <c r="P240" s="185" t="e">
        <f t="shared" si="63"/>
        <v>#DIV/0!</v>
      </c>
      <c r="Q240" s="132">
        <f t="shared" si="64"/>
        <v>99581.77620320588</v>
      </c>
      <c r="R240" s="132">
        <f t="shared" si="75"/>
        <v>4.199999999999998</v>
      </c>
      <c r="S240" s="164" t="e">
        <f t="shared" si="65"/>
        <v>#DIV/0!</v>
      </c>
      <c r="T240" s="132" t="e">
        <f t="shared" si="66"/>
        <v>#NUM!</v>
      </c>
      <c r="U240" s="138" t="e">
        <f t="shared" si="67"/>
        <v>#NUM!</v>
      </c>
      <c r="V240" s="132" t="e">
        <f t="shared" si="68"/>
        <v>#NUM!</v>
      </c>
      <c r="W240" s="132">
        <f t="shared" si="69"/>
        <v>63.505750638445676</v>
      </c>
      <c r="X240" s="138">
        <f t="shared" si="70"/>
        <v>-81.47994211734263</v>
      </c>
      <c r="Y240" s="128" t="str">
        <f t="shared" si="71"/>
        <v>221.822553283346-1480.70328641865i</v>
      </c>
      <c r="Z240" s="128" t="e">
        <f t="shared" si="72"/>
        <v>#NUM!</v>
      </c>
      <c r="AA240" s="128" t="e">
        <f t="shared" si="76"/>
        <v>#NUM!</v>
      </c>
      <c r="AB240" s="128" t="e">
        <f t="shared" si="77"/>
        <v>#NUM!</v>
      </c>
      <c r="AC240" s="128" t="e">
        <f t="shared" si="78"/>
        <v>#NUM!</v>
      </c>
      <c r="AD240" s="128" t="e">
        <f t="shared" si="79"/>
        <v>#NUM!</v>
      </c>
      <c r="AE240" s="128" t="e">
        <f t="shared" si="80"/>
        <v>#NUM!</v>
      </c>
      <c r="AF240" s="130"/>
      <c r="AG240" s="130"/>
      <c r="AH240" s="130"/>
      <c r="AI240" s="130"/>
      <c r="AJ240" s="130"/>
      <c r="AK240" s="130"/>
      <c r="AL240" s="130"/>
      <c r="AM240" s="130"/>
      <c r="AN240" s="130"/>
      <c r="AO240" s="130"/>
      <c r="AP240" s="130"/>
      <c r="AQ240" s="130"/>
      <c r="AR240" s="130"/>
      <c r="AS240" s="130"/>
    </row>
    <row r="241" spans="1:45" s="166" customFormat="1" ht="12.75">
      <c r="A241" s="132" t="e">
        <f t="shared" si="73"/>
        <v>#DIV/0!</v>
      </c>
      <c r="B241" s="132">
        <f t="shared" si="74"/>
        <v>4.219999999999999</v>
      </c>
      <c r="C241" s="146">
        <f t="shared" si="54"/>
        <v>16595.869074375558</v>
      </c>
      <c r="D241" s="137" t="e">
        <f t="shared" si="55"/>
        <v>#DIV/0!</v>
      </c>
      <c r="E241" s="132" t="e">
        <f t="shared" si="56"/>
        <v>#DIV/0!</v>
      </c>
      <c r="G241" s="146"/>
      <c r="H241" s="184" t="str">
        <f t="shared" si="57"/>
        <v>1E+47-9.59003366311403E+50i</v>
      </c>
      <c r="I241" s="132" t="str">
        <f>IMSUM(IMDIV(1,COMPLEX(0,Q241*MLCC*10^-6)),MLCC_ESR*10^-3)</f>
        <v>1E+47-9.59003366311403E+50i</v>
      </c>
      <c r="J241" s="132" t="str">
        <f t="shared" si="58"/>
        <v>5.00000000000002E+46-4.795016831557E+50i</v>
      </c>
      <c r="K241" s="132"/>
      <c r="L241" s="132" t="e">
        <f t="shared" si="59"/>
        <v>#DIV/0!</v>
      </c>
      <c r="M241" s="132" t="str">
        <f t="shared" si="60"/>
        <v>0</v>
      </c>
      <c r="N241" s="132" t="e">
        <f t="shared" si="61"/>
        <v>#DIV/0!</v>
      </c>
      <c r="O241" s="185" t="e">
        <f t="shared" si="62"/>
        <v>#DIV/0!</v>
      </c>
      <c r="P241" s="185" t="e">
        <f t="shared" si="63"/>
        <v>#DIV/0!</v>
      </c>
      <c r="Q241" s="132">
        <f t="shared" si="64"/>
        <v>104274.92072799259</v>
      </c>
      <c r="R241" s="132">
        <f t="shared" si="75"/>
        <v>4.219999999999998</v>
      </c>
      <c r="S241" s="164" t="e">
        <f t="shared" si="65"/>
        <v>#DIV/0!</v>
      </c>
      <c r="T241" s="132" t="e">
        <f t="shared" si="66"/>
        <v>#NUM!</v>
      </c>
      <c r="U241" s="138" t="e">
        <f t="shared" si="67"/>
        <v>#NUM!</v>
      </c>
      <c r="V241" s="132" t="e">
        <f t="shared" si="68"/>
        <v>#NUM!</v>
      </c>
      <c r="W241" s="132">
        <f t="shared" si="69"/>
        <v>63.11432427353572</v>
      </c>
      <c r="X241" s="138">
        <f t="shared" si="70"/>
        <v>-81.86634507575289</v>
      </c>
      <c r="Y241" s="128" t="str">
        <f t="shared" si="71"/>
        <v>202.497500011458-1416.85498923174i</v>
      </c>
      <c r="Z241" s="128" t="e">
        <f t="shared" si="72"/>
        <v>#NUM!</v>
      </c>
      <c r="AA241" s="128" t="e">
        <f t="shared" si="76"/>
        <v>#NUM!</v>
      </c>
      <c r="AB241" s="128" t="e">
        <f t="shared" si="77"/>
        <v>#NUM!</v>
      </c>
      <c r="AC241" s="128" t="e">
        <f t="shared" si="78"/>
        <v>#NUM!</v>
      </c>
      <c r="AD241" s="128" t="e">
        <f t="shared" si="79"/>
        <v>#NUM!</v>
      </c>
      <c r="AE241" s="128" t="e">
        <f t="shared" si="80"/>
        <v>#NUM!</v>
      </c>
      <c r="AF241" s="130"/>
      <c r="AG241" s="130"/>
      <c r="AH241" s="130"/>
      <c r="AI241" s="130"/>
      <c r="AJ241" s="130"/>
      <c r="AK241" s="130"/>
      <c r="AL241" s="130"/>
      <c r="AM241" s="130"/>
      <c r="AN241" s="130"/>
      <c r="AO241" s="130"/>
      <c r="AP241" s="130"/>
      <c r="AQ241" s="130"/>
      <c r="AR241" s="130"/>
      <c r="AS241" s="130"/>
    </row>
    <row r="242" spans="1:45" s="166" customFormat="1" ht="12.75">
      <c r="A242" s="132" t="e">
        <f t="shared" si="73"/>
        <v>#DIV/0!</v>
      </c>
      <c r="B242" s="132">
        <f t="shared" si="74"/>
        <v>4.2399999999999975</v>
      </c>
      <c r="C242" s="146">
        <f t="shared" si="54"/>
        <v>17378.008287493667</v>
      </c>
      <c r="D242" s="137" t="e">
        <f t="shared" si="55"/>
        <v>#DIV/0!</v>
      </c>
      <c r="E242" s="132" t="e">
        <f t="shared" si="56"/>
        <v>#DIV/0!</v>
      </c>
      <c r="G242" s="146"/>
      <c r="H242" s="184" t="str">
        <f t="shared" si="57"/>
        <v>1E+47-9.15841104796997E+50i</v>
      </c>
      <c r="I242" s="132" t="str">
        <f>IMSUM(IMDIV(1,COMPLEX(0,Q242*MLCC*10^-6)),MLCC_ESR*10^-3)</f>
        <v>1E+47-9.15841104796997E+50i</v>
      </c>
      <c r="J242" s="132" t="str">
        <f t="shared" si="58"/>
        <v>4.99999999999998E+46-4.579205523985E+50i</v>
      </c>
      <c r="K242" s="132"/>
      <c r="L242" s="132" t="e">
        <f t="shared" si="59"/>
        <v>#DIV/0!</v>
      </c>
      <c r="M242" s="132" t="str">
        <f t="shared" si="60"/>
        <v>0</v>
      </c>
      <c r="N242" s="132" t="e">
        <f t="shared" si="61"/>
        <v>#DIV/0!</v>
      </c>
      <c r="O242" s="185" t="e">
        <f t="shared" si="62"/>
        <v>#DIV/0!</v>
      </c>
      <c r="P242" s="185" t="e">
        <f t="shared" si="63"/>
        <v>#DIV/0!</v>
      </c>
      <c r="Q242" s="132">
        <f t="shared" si="64"/>
        <v>109189.24634002529</v>
      </c>
      <c r="R242" s="132">
        <f t="shared" si="75"/>
        <v>4.2399999999999975</v>
      </c>
      <c r="S242" s="164" t="e">
        <f t="shared" si="65"/>
        <v>#DIV/0!</v>
      </c>
      <c r="T242" s="132" t="e">
        <f t="shared" si="66"/>
        <v>#NUM!</v>
      </c>
      <c r="U242" s="138" t="e">
        <f t="shared" si="67"/>
        <v>#NUM!</v>
      </c>
      <c r="V242" s="132" t="e">
        <f t="shared" si="68"/>
        <v>#NUM!</v>
      </c>
      <c r="W242" s="132">
        <f t="shared" si="69"/>
        <v>62.7221581159063</v>
      </c>
      <c r="X242" s="138">
        <f t="shared" si="70"/>
        <v>-82.23644119372877</v>
      </c>
      <c r="Y242" s="128" t="str">
        <f t="shared" si="71"/>
        <v>184.8061218604-1355.5289213359i</v>
      </c>
      <c r="Z242" s="128" t="e">
        <f t="shared" si="72"/>
        <v>#NUM!</v>
      </c>
      <c r="AA242" s="128" t="e">
        <f t="shared" si="76"/>
        <v>#NUM!</v>
      </c>
      <c r="AB242" s="128" t="e">
        <f t="shared" si="77"/>
        <v>#NUM!</v>
      </c>
      <c r="AC242" s="128" t="e">
        <f t="shared" si="78"/>
        <v>#NUM!</v>
      </c>
      <c r="AD242" s="128" t="e">
        <f t="shared" si="79"/>
        <v>#NUM!</v>
      </c>
      <c r="AE242" s="128" t="e">
        <f t="shared" si="80"/>
        <v>#NUM!</v>
      </c>
      <c r="AF242" s="130"/>
      <c r="AG242" s="130"/>
      <c r="AH242" s="130"/>
      <c r="AI242" s="130"/>
      <c r="AJ242" s="130"/>
      <c r="AK242" s="130"/>
      <c r="AL242" s="130"/>
      <c r="AM242" s="130"/>
      <c r="AN242" s="130"/>
      <c r="AO242" s="130"/>
      <c r="AP242" s="130"/>
      <c r="AQ242" s="130"/>
      <c r="AR242" s="130"/>
      <c r="AS242" s="130"/>
    </row>
    <row r="243" spans="1:45" s="166" customFormat="1" ht="12.75">
      <c r="A243" s="132" t="e">
        <f t="shared" si="73"/>
        <v>#DIV/0!</v>
      </c>
      <c r="B243" s="132">
        <f t="shared" si="74"/>
        <v>4.259999999999998</v>
      </c>
      <c r="C243" s="146">
        <f t="shared" si="54"/>
        <v>18197.00858609974</v>
      </c>
      <c r="D243" s="137" t="e">
        <f t="shared" si="55"/>
        <v>#DIV/0!</v>
      </c>
      <c r="E243" s="132" t="e">
        <f t="shared" si="56"/>
        <v>#DIV/0!</v>
      </c>
      <c r="G243" s="146"/>
      <c r="H243" s="184" t="str">
        <f t="shared" si="57"/>
        <v>1E+47-8.74621465054809E+50i</v>
      </c>
      <c r="I243" s="132" t="str">
        <f>IMSUM(IMDIV(1,COMPLEX(0,Q243*MLCC*10^-6)),MLCC_ESR*10^-3)</f>
        <v>1E+47-8.74621465054809E+50i</v>
      </c>
      <c r="J243" s="132" t="str">
        <f t="shared" si="58"/>
        <v>5.00000000000001E+46-4.37310732527404E+50i</v>
      </c>
      <c r="K243" s="132"/>
      <c r="L243" s="132" t="e">
        <f t="shared" si="59"/>
        <v>#DIV/0!</v>
      </c>
      <c r="M243" s="132" t="str">
        <f t="shared" si="60"/>
        <v>0</v>
      </c>
      <c r="N243" s="132" t="e">
        <f t="shared" si="61"/>
        <v>#DIV/0!</v>
      </c>
      <c r="O243" s="185" t="e">
        <f t="shared" si="62"/>
        <v>#DIV/0!</v>
      </c>
      <c r="P243" s="185" t="e">
        <f t="shared" si="63"/>
        <v>#DIV/0!</v>
      </c>
      <c r="Q243" s="132">
        <f t="shared" si="64"/>
        <v>114335.17698280266</v>
      </c>
      <c r="R243" s="132">
        <f t="shared" si="75"/>
        <v>4.259999999999997</v>
      </c>
      <c r="S243" s="164" t="e">
        <f t="shared" si="65"/>
        <v>#DIV/0!</v>
      </c>
      <c r="T243" s="132" t="e">
        <f t="shared" si="66"/>
        <v>#NUM!</v>
      </c>
      <c r="U243" s="138" t="e">
        <f t="shared" si="67"/>
        <v>#NUM!</v>
      </c>
      <c r="V243" s="132" t="e">
        <f t="shared" si="68"/>
        <v>#NUM!</v>
      </c>
      <c r="W243" s="132">
        <f t="shared" si="69"/>
        <v>62.32931479720711</v>
      </c>
      <c r="X243" s="138">
        <f t="shared" si="70"/>
        <v>-82.59089614381675</v>
      </c>
      <c r="Y243" s="128" t="str">
        <f t="shared" si="71"/>
        <v>168.615595920424-1296.65505112795i</v>
      </c>
      <c r="Z243" s="128" t="e">
        <f t="shared" si="72"/>
        <v>#NUM!</v>
      </c>
      <c r="AA243" s="128" t="e">
        <f t="shared" si="76"/>
        <v>#NUM!</v>
      </c>
      <c r="AB243" s="128" t="e">
        <f t="shared" si="77"/>
        <v>#NUM!</v>
      </c>
      <c r="AC243" s="128" t="e">
        <f t="shared" si="78"/>
        <v>#NUM!</v>
      </c>
      <c r="AD243" s="128" t="e">
        <f t="shared" si="79"/>
        <v>#NUM!</v>
      </c>
      <c r="AE243" s="128" t="e">
        <f t="shared" si="80"/>
        <v>#NUM!</v>
      </c>
      <c r="AF243" s="130"/>
      <c r="AG243" s="130"/>
      <c r="AH243" s="130"/>
      <c r="AI243" s="130"/>
      <c r="AJ243" s="130"/>
      <c r="AK243" s="130"/>
      <c r="AL243" s="130"/>
      <c r="AM243" s="130"/>
      <c r="AN243" s="130"/>
      <c r="AO243" s="130"/>
      <c r="AP243" s="130"/>
      <c r="AQ243" s="130"/>
      <c r="AR243" s="130"/>
      <c r="AS243" s="130"/>
    </row>
    <row r="244" spans="1:45" s="166" customFormat="1" ht="12.75">
      <c r="A244" s="132" t="e">
        <f t="shared" si="73"/>
        <v>#DIV/0!</v>
      </c>
      <c r="B244" s="132">
        <f t="shared" si="74"/>
        <v>4.279999999999997</v>
      </c>
      <c r="C244" s="146">
        <f t="shared" si="54"/>
        <v>19054.607179632338</v>
      </c>
      <c r="D244" s="137" t="e">
        <f t="shared" si="55"/>
        <v>#DIV/0!</v>
      </c>
      <c r="E244" s="132" t="e">
        <f t="shared" si="56"/>
        <v>#DIV/0!</v>
      </c>
      <c r="G244" s="146"/>
      <c r="H244" s="184" t="str">
        <f t="shared" si="57"/>
        <v>1E+47-8.3525701470255E+50i</v>
      </c>
      <c r="I244" s="132" t="str">
        <f>IMSUM(IMDIV(1,COMPLEX(0,Q244*MLCC*10^-6)),MLCC_ESR*10^-3)</f>
        <v>1E+47-8.3525701470255E+50i</v>
      </c>
      <c r="J244" s="132" t="str">
        <f t="shared" si="58"/>
        <v>5E+46-4.17628507351275E+50i</v>
      </c>
      <c r="K244" s="132"/>
      <c r="L244" s="132" t="e">
        <f t="shared" si="59"/>
        <v>#DIV/0!</v>
      </c>
      <c r="M244" s="132" t="str">
        <f t="shared" si="60"/>
        <v>0</v>
      </c>
      <c r="N244" s="132" t="e">
        <f t="shared" si="61"/>
        <v>#DIV/0!</v>
      </c>
      <c r="O244" s="185" t="e">
        <f t="shared" si="62"/>
        <v>#DIV/0!</v>
      </c>
      <c r="P244" s="185" t="e">
        <f t="shared" si="63"/>
        <v>#DIV/0!</v>
      </c>
      <c r="Q244" s="132">
        <f t="shared" si="64"/>
        <v>119723.62786514456</v>
      </c>
      <c r="R244" s="132">
        <f t="shared" si="75"/>
        <v>4.279999999999997</v>
      </c>
      <c r="S244" s="164" t="e">
        <f t="shared" si="65"/>
        <v>#DIV/0!</v>
      </c>
      <c r="T244" s="132" t="e">
        <f t="shared" si="66"/>
        <v>#NUM!</v>
      </c>
      <c r="U244" s="138" t="e">
        <f t="shared" si="67"/>
        <v>#NUM!</v>
      </c>
      <c r="V244" s="132" t="e">
        <f t="shared" si="68"/>
        <v>#NUM!</v>
      </c>
      <c r="W244" s="132">
        <f t="shared" si="69"/>
        <v>61.93585183684938</v>
      </c>
      <c r="X244" s="138">
        <f t="shared" si="70"/>
        <v>-82.93035728078891</v>
      </c>
      <c r="Y244" s="128" t="str">
        <f t="shared" si="71"/>
        <v>153.803019960932-1240.16125816208i</v>
      </c>
      <c r="Z244" s="128" t="e">
        <f t="shared" si="72"/>
        <v>#NUM!</v>
      </c>
      <c r="AA244" s="128" t="e">
        <f t="shared" si="76"/>
        <v>#NUM!</v>
      </c>
      <c r="AB244" s="128" t="e">
        <f t="shared" si="77"/>
        <v>#NUM!</v>
      </c>
      <c r="AC244" s="128" t="e">
        <f t="shared" si="78"/>
        <v>#NUM!</v>
      </c>
      <c r="AD244" s="128" t="e">
        <f t="shared" si="79"/>
        <v>#NUM!</v>
      </c>
      <c r="AE244" s="128" t="e">
        <f t="shared" si="80"/>
        <v>#NUM!</v>
      </c>
      <c r="AF244" s="130"/>
      <c r="AG244" s="130"/>
      <c r="AH244" s="130"/>
      <c r="AI244" s="130"/>
      <c r="AJ244" s="130"/>
      <c r="AK244" s="130"/>
      <c r="AL244" s="130"/>
      <c r="AM244" s="130"/>
      <c r="AN244" s="130"/>
      <c r="AO244" s="130"/>
      <c r="AP244" s="130"/>
      <c r="AQ244" s="130"/>
      <c r="AR244" s="130"/>
      <c r="AS244" s="130"/>
    </row>
    <row r="245" spans="1:45" s="166" customFormat="1" ht="12.75">
      <c r="A245" s="132" t="e">
        <f t="shared" si="73"/>
        <v>#DIV/0!</v>
      </c>
      <c r="B245" s="132">
        <f t="shared" si="74"/>
        <v>4.299999999999997</v>
      </c>
      <c r="C245" s="146">
        <f t="shared" si="54"/>
        <v>19952.62314968865</v>
      </c>
      <c r="D245" s="137" t="e">
        <f t="shared" si="55"/>
        <v>#DIV/0!</v>
      </c>
      <c r="E245" s="132" t="e">
        <f t="shared" si="56"/>
        <v>#DIV/0!</v>
      </c>
      <c r="G245" s="146"/>
      <c r="H245" s="184" t="str">
        <f t="shared" si="57"/>
        <v>1E+47-7.97664256463336E+50i</v>
      </c>
      <c r="I245" s="132" t="str">
        <f>IMSUM(IMDIV(1,COMPLEX(0,Q245*MLCC*10^-6)),MLCC_ESR*10^-3)</f>
        <v>1E+47-7.97664256463336E+50i</v>
      </c>
      <c r="J245" s="132" t="str">
        <f t="shared" si="58"/>
        <v>4.99999999999999E+46-3.98832128231669E+50i</v>
      </c>
      <c r="K245" s="132"/>
      <c r="L245" s="132" t="e">
        <f t="shared" si="59"/>
        <v>#DIV/0!</v>
      </c>
      <c r="M245" s="132" t="str">
        <f t="shared" si="60"/>
        <v>0</v>
      </c>
      <c r="N245" s="132" t="e">
        <f t="shared" si="61"/>
        <v>#DIV/0!</v>
      </c>
      <c r="O245" s="185" t="e">
        <f t="shared" si="62"/>
        <v>#DIV/0!</v>
      </c>
      <c r="P245" s="185" t="e">
        <f t="shared" si="63"/>
        <v>#DIV/0!</v>
      </c>
      <c r="Q245" s="132">
        <f t="shared" si="64"/>
        <v>125366.02861381501</v>
      </c>
      <c r="R245" s="132">
        <f t="shared" si="75"/>
        <v>4.299999999999996</v>
      </c>
      <c r="S245" s="164" t="e">
        <f t="shared" si="65"/>
        <v>#DIV/0!</v>
      </c>
      <c r="T245" s="132" t="e">
        <f t="shared" si="66"/>
        <v>#NUM!</v>
      </c>
      <c r="U245" s="138" t="e">
        <f t="shared" si="67"/>
        <v>#NUM!</v>
      </c>
      <c r="V245" s="132" t="e">
        <f t="shared" si="68"/>
        <v>#NUM!</v>
      </c>
      <c r="W245" s="132">
        <f t="shared" si="69"/>
        <v>61.541822026780764</v>
      </c>
      <c r="X245" s="138">
        <f t="shared" si="70"/>
        <v>-83.25545320584645</v>
      </c>
      <c r="Y245" s="128" t="str">
        <f t="shared" si="71"/>
        <v>140.254819939816-1185.97403004492i</v>
      </c>
      <c r="Z245" s="128" t="e">
        <f t="shared" si="72"/>
        <v>#NUM!</v>
      </c>
      <c r="AA245" s="128" t="e">
        <f t="shared" si="76"/>
        <v>#NUM!</v>
      </c>
      <c r="AB245" s="128" t="e">
        <f t="shared" si="77"/>
        <v>#NUM!</v>
      </c>
      <c r="AC245" s="128" t="e">
        <f t="shared" si="78"/>
        <v>#NUM!</v>
      </c>
      <c r="AD245" s="128" t="e">
        <f t="shared" si="79"/>
        <v>#NUM!</v>
      </c>
      <c r="AE245" s="128" t="e">
        <f t="shared" si="80"/>
        <v>#NUM!</v>
      </c>
      <c r="AF245" s="130"/>
      <c r="AG245" s="130"/>
      <c r="AH245" s="130"/>
      <c r="AI245" s="130"/>
      <c r="AJ245" s="130"/>
      <c r="AK245" s="130"/>
      <c r="AL245" s="130"/>
      <c r="AM245" s="130"/>
      <c r="AN245" s="130"/>
      <c r="AO245" s="130"/>
      <c r="AP245" s="130"/>
      <c r="AQ245" s="130"/>
      <c r="AR245" s="130"/>
      <c r="AS245" s="130"/>
    </row>
    <row r="246" spans="1:45" s="166" customFormat="1" ht="12.75">
      <c r="A246" s="132" t="e">
        <f t="shared" si="73"/>
        <v>#DIV/0!</v>
      </c>
      <c r="B246" s="132">
        <f t="shared" si="74"/>
        <v>4.319999999999996</v>
      </c>
      <c r="C246" s="146">
        <f t="shared" si="54"/>
        <v>20892.9613085402</v>
      </c>
      <c r="D246" s="137" t="e">
        <f t="shared" si="55"/>
        <v>#DIV/0!</v>
      </c>
      <c r="E246" s="132" t="e">
        <f t="shared" si="56"/>
        <v>#DIV/0!</v>
      </c>
      <c r="G246" s="146"/>
      <c r="H246" s="184" t="str">
        <f t="shared" si="57"/>
        <v>1E+47-7.6176345105679E+50i</v>
      </c>
      <c r="I246" s="132" t="str">
        <f>IMSUM(IMDIV(1,COMPLEX(0,Q246*MLCC*10^-6)),MLCC_ESR*10^-3)</f>
        <v>1E+47-7.6176345105679E+50i</v>
      </c>
      <c r="J246" s="132" t="str">
        <f t="shared" si="58"/>
        <v>5E+46-3.80881725528395E+50i</v>
      </c>
      <c r="K246" s="132"/>
      <c r="L246" s="132" t="e">
        <f t="shared" si="59"/>
        <v>#DIV/0!</v>
      </c>
      <c r="M246" s="132" t="str">
        <f t="shared" si="60"/>
        <v>0</v>
      </c>
      <c r="N246" s="132" t="e">
        <f t="shared" si="61"/>
        <v>#DIV/0!</v>
      </c>
      <c r="O246" s="185" t="e">
        <f t="shared" si="62"/>
        <v>#DIV/0!</v>
      </c>
      <c r="P246" s="185" t="e">
        <f t="shared" si="63"/>
        <v>#DIV/0!</v>
      </c>
      <c r="Q246" s="132">
        <f t="shared" si="64"/>
        <v>131274.34751729137</v>
      </c>
      <c r="R246" s="132">
        <f t="shared" si="75"/>
        <v>4.319999999999996</v>
      </c>
      <c r="S246" s="164" t="e">
        <f t="shared" si="65"/>
        <v>#DIV/0!</v>
      </c>
      <c r="T246" s="132" t="e">
        <f t="shared" si="66"/>
        <v>#NUM!</v>
      </c>
      <c r="U246" s="138" t="e">
        <f t="shared" si="67"/>
        <v>#NUM!</v>
      </c>
      <c r="V246" s="132" t="e">
        <f t="shared" si="68"/>
        <v>#NUM!</v>
      </c>
      <c r="W246" s="132">
        <f t="shared" si="69"/>
        <v>61.14727379271428</v>
      </c>
      <c r="X246" s="138">
        <f t="shared" si="70"/>
        <v>-83.56679350292366</v>
      </c>
      <c r="Y246" s="128" t="str">
        <f t="shared" si="71"/>
        <v>127.866166363302-1134.01906448278i</v>
      </c>
      <c r="Z246" s="128" t="e">
        <f t="shared" si="72"/>
        <v>#NUM!</v>
      </c>
      <c r="AA246" s="128" t="e">
        <f t="shared" si="76"/>
        <v>#NUM!</v>
      </c>
      <c r="AB246" s="128" t="e">
        <f t="shared" si="77"/>
        <v>#NUM!</v>
      </c>
      <c r="AC246" s="128" t="e">
        <f t="shared" si="78"/>
        <v>#NUM!</v>
      </c>
      <c r="AD246" s="128" t="e">
        <f t="shared" si="79"/>
        <v>#NUM!</v>
      </c>
      <c r="AE246" s="128" t="e">
        <f t="shared" si="80"/>
        <v>#NUM!</v>
      </c>
      <c r="AF246" s="130"/>
      <c r="AG246" s="130"/>
      <c r="AH246" s="130"/>
      <c r="AI246" s="130"/>
      <c r="AJ246" s="130"/>
      <c r="AK246" s="130"/>
      <c r="AL246" s="130"/>
      <c r="AM246" s="130"/>
      <c r="AN246" s="130"/>
      <c r="AO246" s="130"/>
      <c r="AP246" s="130"/>
      <c r="AQ246" s="130"/>
      <c r="AR246" s="130"/>
      <c r="AS246" s="130"/>
    </row>
    <row r="247" spans="1:45" s="166" customFormat="1" ht="12.75">
      <c r="A247" s="132" t="e">
        <f t="shared" si="73"/>
        <v>#DIV/0!</v>
      </c>
      <c r="B247" s="132">
        <f t="shared" si="74"/>
        <v>4.339999999999996</v>
      </c>
      <c r="C247" s="146">
        <f t="shared" si="54"/>
        <v>21877.616239495317</v>
      </c>
      <c r="D247" s="137" t="e">
        <f t="shared" si="55"/>
        <v>#DIV/0!</v>
      </c>
      <c r="E247" s="132" t="e">
        <f t="shared" si="56"/>
        <v>#DIV/0!</v>
      </c>
      <c r="G247" s="146"/>
      <c r="H247" s="184" t="str">
        <f t="shared" si="57"/>
        <v>1E+47-7.27478448061338E+50i</v>
      </c>
      <c r="I247" s="132" t="str">
        <f>IMSUM(IMDIV(1,COMPLEX(0,Q247*MLCC*10^-6)),MLCC_ESR*10^-3)</f>
        <v>1E+47-7.27478448061338E+50i</v>
      </c>
      <c r="J247" s="132" t="str">
        <f t="shared" si="58"/>
        <v>5.00000000000003E+46-3.63739224030668E+50i</v>
      </c>
      <c r="K247" s="132"/>
      <c r="L247" s="132" t="e">
        <f t="shared" si="59"/>
        <v>#DIV/0!</v>
      </c>
      <c r="M247" s="132" t="str">
        <f t="shared" si="60"/>
        <v>0</v>
      </c>
      <c r="N247" s="132" t="e">
        <f t="shared" si="61"/>
        <v>#DIV/0!</v>
      </c>
      <c r="O247" s="185" t="e">
        <f t="shared" si="62"/>
        <v>#DIV/0!</v>
      </c>
      <c r="P247" s="185" t="e">
        <f t="shared" si="63"/>
        <v>#DIV/0!</v>
      </c>
      <c r="Q247" s="132">
        <f t="shared" si="64"/>
        <v>137461.11691211048</v>
      </c>
      <c r="R247" s="132">
        <f t="shared" si="75"/>
        <v>4.339999999999995</v>
      </c>
      <c r="S247" s="164" t="e">
        <f t="shared" si="65"/>
        <v>#DIV/0!</v>
      </c>
      <c r="T247" s="132" t="e">
        <f t="shared" si="66"/>
        <v>#NUM!</v>
      </c>
      <c r="U247" s="138" t="e">
        <f t="shared" si="67"/>
        <v>#NUM!</v>
      </c>
      <c r="V247" s="132" t="e">
        <f t="shared" si="68"/>
        <v>#NUM!</v>
      </c>
      <c r="W247" s="132">
        <f t="shared" si="69"/>
        <v>60.75225153227891</v>
      </c>
      <c r="X247" s="138">
        <f t="shared" si="70"/>
        <v>-83.86496862341443</v>
      </c>
      <c r="Y247" s="128" t="str">
        <f t="shared" si="71"/>
        <v>116.5404051024-1084.22178620449i</v>
      </c>
      <c r="Z247" s="128" t="e">
        <f t="shared" si="72"/>
        <v>#NUM!</v>
      </c>
      <c r="AA247" s="128" t="e">
        <f t="shared" si="76"/>
        <v>#NUM!</v>
      </c>
      <c r="AB247" s="128" t="e">
        <f t="shared" si="77"/>
        <v>#NUM!</v>
      </c>
      <c r="AC247" s="128" t="e">
        <f t="shared" si="78"/>
        <v>#NUM!</v>
      </c>
      <c r="AD247" s="128" t="e">
        <f t="shared" si="79"/>
        <v>#NUM!</v>
      </c>
      <c r="AE247" s="128" t="e">
        <f t="shared" si="80"/>
        <v>#NUM!</v>
      </c>
      <c r="AF247" s="130"/>
      <c r="AG247" s="130"/>
      <c r="AH247" s="130"/>
      <c r="AI247" s="130"/>
      <c r="AJ247" s="130"/>
      <c r="AK247" s="130"/>
      <c r="AL247" s="130"/>
      <c r="AM247" s="130"/>
      <c r="AN247" s="130"/>
      <c r="AO247" s="130"/>
      <c r="AP247" s="130"/>
      <c r="AQ247" s="130"/>
      <c r="AR247" s="130"/>
      <c r="AS247" s="130"/>
    </row>
    <row r="248" spans="1:45" s="166" customFormat="1" ht="12.75">
      <c r="A248" s="132" t="e">
        <f t="shared" si="73"/>
        <v>#DIV/0!</v>
      </c>
      <c r="B248" s="132">
        <f t="shared" si="74"/>
        <v>4.359999999999995</v>
      </c>
      <c r="C248" s="146">
        <f t="shared" si="54"/>
        <v>22908.676527677468</v>
      </c>
      <c r="D248" s="137" t="e">
        <f t="shared" si="55"/>
        <v>#DIV/0!</v>
      </c>
      <c r="E248" s="132" t="e">
        <f t="shared" si="56"/>
        <v>#DIV/0!</v>
      </c>
      <c r="G248" s="146"/>
      <c r="H248" s="184" t="str">
        <f t="shared" si="57"/>
        <v>1E+47-6.94736524388957E+50i</v>
      </c>
      <c r="I248" s="132" t="str">
        <f>IMSUM(IMDIV(1,COMPLEX(0,Q248*MLCC*10^-6)),MLCC_ESR*10^-3)</f>
        <v>1E+47-6.94736524388957E+50i</v>
      </c>
      <c r="J248" s="132" t="str">
        <f t="shared" si="58"/>
        <v>4.99999999999997E+46-3.4736826219448E+50i</v>
      </c>
      <c r="K248" s="132"/>
      <c r="L248" s="132" t="e">
        <f t="shared" si="59"/>
        <v>#DIV/0!</v>
      </c>
      <c r="M248" s="132" t="str">
        <f t="shared" si="60"/>
        <v>0</v>
      </c>
      <c r="N248" s="132" t="e">
        <f t="shared" si="61"/>
        <v>#DIV/0!</v>
      </c>
      <c r="O248" s="185" t="e">
        <f t="shared" si="62"/>
        <v>#DIV/0!</v>
      </c>
      <c r="P248" s="185" t="e">
        <f t="shared" si="63"/>
        <v>#DIV/0!</v>
      </c>
      <c r="Q248" s="132">
        <f t="shared" si="64"/>
        <v>143939.45976563293</v>
      </c>
      <c r="R248" s="132">
        <f t="shared" si="75"/>
        <v>4.359999999999995</v>
      </c>
      <c r="S248" s="164" t="e">
        <f t="shared" si="65"/>
        <v>#DIV/0!</v>
      </c>
      <c r="T248" s="132" t="e">
        <f t="shared" si="66"/>
        <v>#NUM!</v>
      </c>
      <c r="U248" s="138" t="e">
        <f t="shared" si="67"/>
        <v>#NUM!</v>
      </c>
      <c r="V248" s="132" t="e">
        <f t="shared" si="68"/>
        <v>#NUM!</v>
      </c>
      <c r="W248" s="132">
        <f t="shared" si="69"/>
        <v>60.356795930760896</v>
      </c>
      <c r="X248" s="138">
        <f t="shared" si="70"/>
        <v>-84.15054989812849</v>
      </c>
      <c r="Y248" s="128" t="str">
        <f t="shared" si="71"/>
        <v>106.188506908212-1036.50778785073i</v>
      </c>
      <c r="Z248" s="128" t="e">
        <f t="shared" si="72"/>
        <v>#NUM!</v>
      </c>
      <c r="AA248" s="128" t="e">
        <f t="shared" si="76"/>
        <v>#NUM!</v>
      </c>
      <c r="AB248" s="128" t="e">
        <f t="shared" si="77"/>
        <v>#NUM!</v>
      </c>
      <c r="AC248" s="128" t="e">
        <f t="shared" si="78"/>
        <v>#NUM!</v>
      </c>
      <c r="AD248" s="128" t="e">
        <f t="shared" si="79"/>
        <v>#NUM!</v>
      </c>
      <c r="AE248" s="128" t="e">
        <f t="shared" si="80"/>
        <v>#NUM!</v>
      </c>
      <c r="AF248" s="130"/>
      <c r="AG248" s="130"/>
      <c r="AH248" s="130"/>
      <c r="AI248" s="130"/>
      <c r="AJ248" s="130"/>
      <c r="AK248" s="130"/>
      <c r="AL248" s="130"/>
      <c r="AM248" s="130"/>
      <c r="AN248" s="130"/>
      <c r="AO248" s="130"/>
      <c r="AP248" s="130"/>
      <c r="AQ248" s="130"/>
      <c r="AR248" s="130"/>
      <c r="AS248" s="130"/>
    </row>
    <row r="249" spans="1:45" s="166" customFormat="1" ht="12.75">
      <c r="A249" s="132" t="e">
        <f t="shared" si="73"/>
        <v>#DIV/0!</v>
      </c>
      <c r="B249" s="132">
        <f t="shared" si="74"/>
        <v>4.379999999999995</v>
      </c>
      <c r="C249" s="146">
        <f t="shared" si="54"/>
        <v>23988.329190194625</v>
      </c>
      <c r="D249" s="137" t="e">
        <f t="shared" si="55"/>
        <v>#DIV/0!</v>
      </c>
      <c r="E249" s="132" t="e">
        <f t="shared" si="56"/>
        <v>#DIV/0!</v>
      </c>
      <c r="G249" s="146"/>
      <c r="H249" s="184" t="str">
        <f t="shared" si="57"/>
        <v>1E+47-6.63468230029755E+50i</v>
      </c>
      <c r="I249" s="132" t="str">
        <f>IMSUM(IMDIV(1,COMPLEX(0,Q249*MLCC*10^-6)),MLCC_ESR*10^-3)</f>
        <v>1E+47-6.63468230029755E+50i</v>
      </c>
      <c r="J249" s="132" t="str">
        <f t="shared" si="58"/>
        <v>5E+46-3.31734115014878E+50i</v>
      </c>
      <c r="K249" s="132"/>
      <c r="L249" s="132" t="e">
        <f t="shared" si="59"/>
        <v>#DIV/0!</v>
      </c>
      <c r="M249" s="132" t="str">
        <f t="shared" si="60"/>
        <v>0</v>
      </c>
      <c r="N249" s="132" t="e">
        <f t="shared" si="61"/>
        <v>#DIV/0!</v>
      </c>
      <c r="O249" s="185" t="e">
        <f t="shared" si="62"/>
        <v>#DIV/0!</v>
      </c>
      <c r="P249" s="185" t="e">
        <f t="shared" si="63"/>
        <v>#DIV/0!</v>
      </c>
      <c r="Q249" s="132">
        <f t="shared" si="64"/>
        <v>150723.11751161804</v>
      </c>
      <c r="R249" s="132">
        <f t="shared" si="75"/>
        <v>4.379999999999995</v>
      </c>
      <c r="S249" s="164" t="e">
        <f t="shared" si="65"/>
        <v>#DIV/0!</v>
      </c>
      <c r="T249" s="132" t="e">
        <f t="shared" si="66"/>
        <v>#NUM!</v>
      </c>
      <c r="U249" s="138" t="e">
        <f t="shared" si="67"/>
        <v>#NUM!</v>
      </c>
      <c r="V249" s="132" t="e">
        <f t="shared" si="68"/>
        <v>#NUM!</v>
      </c>
      <c r="W249" s="132">
        <f t="shared" si="69"/>
        <v>59.96094425524568</v>
      </c>
      <c r="X249" s="138">
        <f t="shared" si="70"/>
        <v>-84.424089657598</v>
      </c>
      <c r="Y249" s="128" t="str">
        <f t="shared" si="71"/>
        <v>96.7285387255369-990.80320325034i</v>
      </c>
      <c r="Z249" s="128" t="e">
        <f t="shared" si="72"/>
        <v>#NUM!</v>
      </c>
      <c r="AA249" s="128" t="e">
        <f t="shared" si="76"/>
        <v>#NUM!</v>
      </c>
      <c r="AB249" s="128" t="e">
        <f t="shared" si="77"/>
        <v>#NUM!</v>
      </c>
      <c r="AC249" s="128" t="e">
        <f t="shared" si="78"/>
        <v>#NUM!</v>
      </c>
      <c r="AD249" s="128" t="e">
        <f t="shared" si="79"/>
        <v>#NUM!</v>
      </c>
      <c r="AE249" s="128" t="e">
        <f t="shared" si="80"/>
        <v>#NUM!</v>
      </c>
      <c r="AF249" s="130"/>
      <c r="AG249" s="130"/>
      <c r="AH249" s="130"/>
      <c r="AI249" s="130"/>
      <c r="AJ249" s="130"/>
      <c r="AK249" s="130"/>
      <c r="AL249" s="130"/>
      <c r="AM249" s="130"/>
      <c r="AN249" s="130"/>
      <c r="AO249" s="130"/>
      <c r="AP249" s="130"/>
      <c r="AQ249" s="130"/>
      <c r="AR249" s="130"/>
      <c r="AS249" s="130"/>
    </row>
    <row r="250" spans="1:45" s="166" customFormat="1" ht="12.75">
      <c r="A250" s="132" t="e">
        <f t="shared" si="73"/>
        <v>#DIV/0!</v>
      </c>
      <c r="B250" s="132">
        <f t="shared" si="74"/>
        <v>4.399999999999995</v>
      </c>
      <c r="C250" s="146">
        <f t="shared" si="54"/>
        <v>25118.864315095503</v>
      </c>
      <c r="D250" s="137" t="e">
        <f t="shared" si="55"/>
        <v>#DIV/0!</v>
      </c>
      <c r="E250" s="132" t="e">
        <f t="shared" si="56"/>
        <v>#DIV/0!</v>
      </c>
      <c r="G250" s="146"/>
      <c r="H250" s="184" t="str">
        <f t="shared" si="57"/>
        <v>1E+47-6.3360724073918E+50i</v>
      </c>
      <c r="I250" s="132" t="str">
        <f>IMSUM(IMDIV(1,COMPLEX(0,Q250*MLCC*10^-6)),MLCC_ESR*10^-3)</f>
        <v>1E+47-6.3360724073918E+50i</v>
      </c>
      <c r="J250" s="132" t="str">
        <f t="shared" si="58"/>
        <v>5E+46-3.1680362036959E+50i</v>
      </c>
      <c r="K250" s="132"/>
      <c r="L250" s="132" t="e">
        <f t="shared" si="59"/>
        <v>#DIV/0!</v>
      </c>
      <c r="M250" s="132" t="str">
        <f t="shared" si="60"/>
        <v>0</v>
      </c>
      <c r="N250" s="132" t="e">
        <f t="shared" si="61"/>
        <v>#DIV/0!</v>
      </c>
      <c r="O250" s="185" t="e">
        <f t="shared" si="62"/>
        <v>#DIV/0!</v>
      </c>
      <c r="P250" s="185" t="e">
        <f t="shared" si="63"/>
        <v>#DIV/0!</v>
      </c>
      <c r="Q250" s="132">
        <f t="shared" si="64"/>
        <v>157826.47919764568</v>
      </c>
      <c r="R250" s="132">
        <f t="shared" si="75"/>
        <v>4.399999999999994</v>
      </c>
      <c r="S250" s="164" t="e">
        <f t="shared" si="65"/>
        <v>#DIV/0!</v>
      </c>
      <c r="T250" s="132" t="e">
        <f t="shared" si="66"/>
        <v>#NUM!</v>
      </c>
      <c r="U250" s="138" t="e">
        <f t="shared" si="67"/>
        <v>#NUM!</v>
      </c>
      <c r="V250" s="132" t="e">
        <f t="shared" si="68"/>
        <v>#NUM!</v>
      </c>
      <c r="W250" s="132">
        <f t="shared" si="69"/>
        <v>59.564730628078344</v>
      </c>
      <c r="X250" s="138">
        <f t="shared" si="70"/>
        <v>-84.68612144398658</v>
      </c>
      <c r="Y250" s="128" t="str">
        <f t="shared" si="71"/>
        <v>88.0851589560686-947.035020823068i</v>
      </c>
      <c r="Z250" s="128" t="e">
        <f t="shared" si="72"/>
        <v>#NUM!</v>
      </c>
      <c r="AA250" s="128" t="e">
        <f t="shared" si="76"/>
        <v>#NUM!</v>
      </c>
      <c r="AB250" s="128" t="e">
        <f t="shared" si="77"/>
        <v>#NUM!</v>
      </c>
      <c r="AC250" s="128" t="e">
        <f t="shared" si="78"/>
        <v>#NUM!</v>
      </c>
      <c r="AD250" s="128" t="e">
        <f t="shared" si="79"/>
        <v>#NUM!</v>
      </c>
      <c r="AE250" s="128" t="e">
        <f t="shared" si="80"/>
        <v>#NUM!</v>
      </c>
      <c r="AF250" s="130"/>
      <c r="AG250" s="130"/>
      <c r="AH250" s="130"/>
      <c r="AI250" s="130"/>
      <c r="AJ250" s="130"/>
      <c r="AK250" s="130"/>
      <c r="AL250" s="130"/>
      <c r="AM250" s="130"/>
      <c r="AN250" s="130"/>
      <c r="AO250" s="130"/>
      <c r="AP250" s="130"/>
      <c r="AQ250" s="130"/>
      <c r="AR250" s="130"/>
      <c r="AS250" s="130"/>
    </row>
    <row r="251" spans="1:45" s="166" customFormat="1" ht="12.75">
      <c r="A251" s="132" t="e">
        <f t="shared" si="73"/>
        <v>#DIV/0!</v>
      </c>
      <c r="B251" s="132">
        <f t="shared" si="74"/>
        <v>4.419999999999994</v>
      </c>
      <c r="C251" s="146">
        <f t="shared" si="54"/>
        <v>26302.679918953458</v>
      </c>
      <c r="D251" s="137" t="e">
        <f t="shared" si="55"/>
        <v>#DIV/0!</v>
      </c>
      <c r="E251" s="132" t="e">
        <f t="shared" si="56"/>
        <v>#DIV/0!</v>
      </c>
      <c r="G251" s="146"/>
      <c r="H251" s="184" t="str">
        <f t="shared" si="57"/>
        <v>1E+47-6.05090217355418E+50i</v>
      </c>
      <c r="I251" s="132" t="str">
        <f>IMSUM(IMDIV(1,COMPLEX(0,Q251*MLCC*10^-6)),MLCC_ESR*10^-3)</f>
        <v>1E+47-6.05090217355418E+50i</v>
      </c>
      <c r="J251" s="132" t="str">
        <f t="shared" si="58"/>
        <v>5.00000000000003E+46-3.02545108677708E+50i</v>
      </c>
      <c r="K251" s="132"/>
      <c r="L251" s="132" t="e">
        <f t="shared" si="59"/>
        <v>#DIV/0!</v>
      </c>
      <c r="M251" s="132" t="str">
        <f t="shared" si="60"/>
        <v>0</v>
      </c>
      <c r="N251" s="132" t="e">
        <f t="shared" si="61"/>
        <v>#DIV/0!</v>
      </c>
      <c r="O251" s="185" t="e">
        <f t="shared" si="62"/>
        <v>#DIV/0!</v>
      </c>
      <c r="P251" s="185" t="e">
        <f t="shared" si="63"/>
        <v>#DIV/0!</v>
      </c>
      <c r="Q251" s="132">
        <f t="shared" si="64"/>
        <v>165264.6120062159</v>
      </c>
      <c r="R251" s="132">
        <f t="shared" si="75"/>
        <v>4.419999999999994</v>
      </c>
      <c r="S251" s="164" t="e">
        <f t="shared" si="65"/>
        <v>#DIV/0!</v>
      </c>
      <c r="T251" s="132" t="e">
        <f t="shared" si="66"/>
        <v>#NUM!</v>
      </c>
      <c r="U251" s="138" t="e">
        <f t="shared" si="67"/>
        <v>#NUM!</v>
      </c>
      <c r="V251" s="132" t="e">
        <f t="shared" si="68"/>
        <v>#NUM!</v>
      </c>
      <c r="W251" s="132">
        <f t="shared" si="69"/>
        <v>59.16818628062789</v>
      </c>
      <c r="X251" s="138">
        <f t="shared" si="70"/>
        <v>-84.93716029981049</v>
      </c>
      <c r="Y251" s="128" t="str">
        <f t="shared" si="71"/>
        <v>80.1891380435555-905.131344173633i</v>
      </c>
      <c r="Z251" s="128" t="e">
        <f t="shared" si="72"/>
        <v>#NUM!</v>
      </c>
      <c r="AA251" s="128" t="e">
        <f t="shared" si="76"/>
        <v>#NUM!</v>
      </c>
      <c r="AB251" s="128" t="e">
        <f t="shared" si="77"/>
        <v>#NUM!</v>
      </c>
      <c r="AC251" s="128" t="e">
        <f t="shared" si="78"/>
        <v>#NUM!</v>
      </c>
      <c r="AD251" s="128" t="e">
        <f t="shared" si="79"/>
        <v>#NUM!</v>
      </c>
      <c r="AE251" s="128" t="e">
        <f t="shared" si="80"/>
        <v>#NUM!</v>
      </c>
      <c r="AF251" s="130"/>
      <c r="AG251" s="130"/>
      <c r="AH251" s="130"/>
      <c r="AI251" s="130"/>
      <c r="AJ251" s="130"/>
      <c r="AK251" s="130"/>
      <c r="AL251" s="130"/>
      <c r="AM251" s="130"/>
      <c r="AN251" s="130"/>
      <c r="AO251" s="130"/>
      <c r="AP251" s="130"/>
      <c r="AQ251" s="130"/>
      <c r="AR251" s="130"/>
      <c r="AS251" s="130"/>
    </row>
    <row r="252" spans="1:45" s="166" customFormat="1" ht="12.75">
      <c r="A252" s="132" t="e">
        <f t="shared" si="73"/>
        <v>#DIV/0!</v>
      </c>
      <c r="B252" s="132">
        <f t="shared" si="74"/>
        <v>4.439999999999994</v>
      </c>
      <c r="C252" s="146">
        <f t="shared" si="54"/>
        <v>27542.28703338128</v>
      </c>
      <c r="D252" s="137" t="e">
        <f t="shared" si="55"/>
        <v>#DIV/0!</v>
      </c>
      <c r="E252" s="132" t="e">
        <f t="shared" si="56"/>
        <v>#DIV/0!</v>
      </c>
      <c r="G252" s="146"/>
      <c r="H252" s="184" t="str">
        <f t="shared" si="57"/>
        <v>1E+47-5.77856671448524E+50i</v>
      </c>
      <c r="I252" s="132" t="str">
        <f>IMSUM(IMDIV(1,COMPLEX(0,Q252*MLCC*10^-6)),MLCC_ESR*10^-3)</f>
        <v>1E+47-5.77856671448524E+50i</v>
      </c>
      <c r="J252" s="132" t="str">
        <f t="shared" si="58"/>
        <v>5.00000000000002E+46-2.88928335724261E+50i</v>
      </c>
      <c r="K252" s="132"/>
      <c r="L252" s="132" t="e">
        <f t="shared" si="59"/>
        <v>#DIV/0!</v>
      </c>
      <c r="M252" s="132" t="str">
        <f t="shared" si="60"/>
        <v>0</v>
      </c>
      <c r="N252" s="132" t="e">
        <f t="shared" si="61"/>
        <v>#DIV/0!</v>
      </c>
      <c r="O252" s="185" t="e">
        <f t="shared" si="62"/>
        <v>#DIV/0!</v>
      </c>
      <c r="P252" s="185" t="e">
        <f t="shared" si="63"/>
        <v>#DIV/0!</v>
      </c>
      <c r="Q252" s="132">
        <f t="shared" si="64"/>
        <v>173053.2932142641</v>
      </c>
      <c r="R252" s="132">
        <f t="shared" si="75"/>
        <v>4.439999999999993</v>
      </c>
      <c r="S252" s="164" t="e">
        <f t="shared" si="65"/>
        <v>#DIV/0!</v>
      </c>
      <c r="T252" s="132" t="e">
        <f t="shared" si="66"/>
        <v>#NUM!</v>
      </c>
      <c r="U252" s="138" t="e">
        <f t="shared" si="67"/>
        <v>#NUM!</v>
      </c>
      <c r="V252" s="132" t="e">
        <f t="shared" si="68"/>
        <v>#NUM!</v>
      </c>
      <c r="W252" s="132">
        <f t="shared" si="69"/>
        <v>58.7713397883844</v>
      </c>
      <c r="X252" s="138">
        <f t="shared" si="70"/>
        <v>-85.177703120459</v>
      </c>
      <c r="Y252" s="128" t="str">
        <f t="shared" si="71"/>
        <v>72.976905120604-865.021606288476i</v>
      </c>
      <c r="Z252" s="128" t="e">
        <f t="shared" si="72"/>
        <v>#NUM!</v>
      </c>
      <c r="AA252" s="128" t="e">
        <f t="shared" si="76"/>
        <v>#NUM!</v>
      </c>
      <c r="AB252" s="128" t="e">
        <f t="shared" si="77"/>
        <v>#NUM!</v>
      </c>
      <c r="AC252" s="128" t="e">
        <f t="shared" si="78"/>
        <v>#NUM!</v>
      </c>
      <c r="AD252" s="128" t="e">
        <f t="shared" si="79"/>
        <v>#NUM!</v>
      </c>
      <c r="AE252" s="128" t="e">
        <f t="shared" si="80"/>
        <v>#NUM!</v>
      </c>
      <c r="AF252" s="130"/>
      <c r="AG252" s="130"/>
      <c r="AH252" s="130"/>
      <c r="AI252" s="130"/>
      <c r="AJ252" s="130"/>
      <c r="AK252" s="130"/>
      <c r="AL252" s="130"/>
      <c r="AM252" s="130"/>
      <c r="AN252" s="130"/>
      <c r="AO252" s="130"/>
      <c r="AP252" s="130"/>
      <c r="AQ252" s="130"/>
      <c r="AR252" s="130"/>
      <c r="AS252" s="130"/>
    </row>
    <row r="253" spans="1:45" s="166" customFormat="1" ht="12.75">
      <c r="A253" s="132" t="e">
        <f t="shared" si="73"/>
        <v>#DIV/0!</v>
      </c>
      <c r="B253" s="132">
        <f t="shared" si="74"/>
        <v>4.459999999999993</v>
      </c>
      <c r="C253" s="146">
        <f t="shared" si="54"/>
        <v>28840.3150312656</v>
      </c>
      <c r="D253" s="137" t="e">
        <f t="shared" si="55"/>
        <v>#DIV/0!</v>
      </c>
      <c r="E253" s="132" t="e">
        <f t="shared" si="56"/>
        <v>#DIV/0!</v>
      </c>
      <c r="G253" s="146"/>
      <c r="H253" s="184" t="str">
        <f t="shared" si="57"/>
        <v>1E+47-5.51848837016365E+50i</v>
      </c>
      <c r="I253" s="132" t="str">
        <f>IMSUM(IMDIV(1,COMPLEX(0,Q253*MLCC*10^-6)),MLCC_ESR*10^-3)</f>
        <v>1E+47-5.51848837016365E+50i</v>
      </c>
      <c r="J253" s="132" t="str">
        <f t="shared" si="58"/>
        <v>4.99999999999999E+46-2.75924418508183E+50i</v>
      </c>
      <c r="K253" s="132"/>
      <c r="L253" s="132" t="e">
        <f t="shared" si="59"/>
        <v>#DIV/0!</v>
      </c>
      <c r="M253" s="132" t="str">
        <f t="shared" si="60"/>
        <v>0</v>
      </c>
      <c r="N253" s="132" t="e">
        <f t="shared" si="61"/>
        <v>#DIV/0!</v>
      </c>
      <c r="O253" s="185" t="e">
        <f t="shared" si="62"/>
        <v>#DIV/0!</v>
      </c>
      <c r="P253" s="185" t="e">
        <f t="shared" si="63"/>
        <v>#DIV/0!</v>
      </c>
      <c r="Q253" s="132">
        <f t="shared" si="64"/>
        <v>181209.0436588786</v>
      </c>
      <c r="R253" s="132">
        <f t="shared" si="75"/>
        <v>4.459999999999993</v>
      </c>
      <c r="S253" s="164" t="e">
        <f t="shared" si="65"/>
        <v>#DIV/0!</v>
      </c>
      <c r="T253" s="132" t="e">
        <f t="shared" si="66"/>
        <v>#NUM!</v>
      </c>
      <c r="U253" s="138" t="e">
        <f t="shared" si="67"/>
        <v>#NUM!</v>
      </c>
      <c r="V253" s="132" t="e">
        <f t="shared" si="68"/>
        <v>#NUM!</v>
      </c>
      <c r="W253" s="132">
        <f t="shared" si="69"/>
        <v>58.37421728843463</v>
      </c>
      <c r="X253" s="138">
        <f t="shared" si="70"/>
        <v>-85.40822905911385</v>
      </c>
      <c r="Y253" s="128" t="str">
        <f t="shared" si="71"/>
        <v>66.3901209490534-826.636743122686i</v>
      </c>
      <c r="Z253" s="128" t="e">
        <f t="shared" si="72"/>
        <v>#NUM!</v>
      </c>
      <c r="AA253" s="128" t="e">
        <f t="shared" si="76"/>
        <v>#NUM!</v>
      </c>
      <c r="AB253" s="128" t="e">
        <f t="shared" si="77"/>
        <v>#NUM!</v>
      </c>
      <c r="AC253" s="128" t="e">
        <f t="shared" si="78"/>
        <v>#NUM!</v>
      </c>
      <c r="AD253" s="128" t="e">
        <f t="shared" si="79"/>
        <v>#NUM!</v>
      </c>
      <c r="AE253" s="128" t="e">
        <f t="shared" si="80"/>
        <v>#NUM!</v>
      </c>
      <c r="AF253" s="130"/>
      <c r="AG253" s="130"/>
      <c r="AH253" s="130"/>
      <c r="AI253" s="130"/>
      <c r="AJ253" s="130"/>
      <c r="AK253" s="130"/>
      <c r="AL253" s="130"/>
      <c r="AM253" s="130"/>
      <c r="AN253" s="130"/>
      <c r="AO253" s="130"/>
      <c r="AP253" s="130"/>
      <c r="AQ253" s="130"/>
      <c r="AR253" s="130"/>
      <c r="AS253" s="130"/>
    </row>
    <row r="254" spans="1:45" s="166" customFormat="1" ht="12.75">
      <c r="A254" s="132" t="e">
        <f t="shared" si="73"/>
        <v>#DIV/0!</v>
      </c>
      <c r="B254" s="132">
        <f t="shared" si="74"/>
        <v>4.479999999999993</v>
      </c>
      <c r="C254" s="146">
        <f t="shared" si="54"/>
        <v>30199.517204019674</v>
      </c>
      <c r="D254" s="137" t="e">
        <f t="shared" si="55"/>
        <v>#DIV/0!</v>
      </c>
      <c r="E254" s="132" t="e">
        <f t="shared" si="56"/>
        <v>#DIV/0!</v>
      </c>
      <c r="G254" s="146"/>
      <c r="H254" s="184" t="str">
        <f t="shared" si="57"/>
        <v>1E+47-5.2701154795518E+50i</v>
      </c>
      <c r="I254" s="132" t="str">
        <f>IMSUM(IMDIV(1,COMPLEX(0,Q254*MLCC*10^-6)),MLCC_ESR*10^-3)</f>
        <v>1E+47-5.2701154795518E+50i</v>
      </c>
      <c r="J254" s="132" t="str">
        <f t="shared" si="58"/>
        <v>5E+46-2.6350577397759E+50i</v>
      </c>
      <c r="K254" s="132"/>
      <c r="L254" s="132" t="e">
        <f t="shared" si="59"/>
        <v>#DIV/0!</v>
      </c>
      <c r="M254" s="132" t="str">
        <f t="shared" si="60"/>
        <v>0</v>
      </c>
      <c r="N254" s="132" t="e">
        <f t="shared" si="61"/>
        <v>#DIV/0!</v>
      </c>
      <c r="O254" s="185" t="e">
        <f t="shared" si="62"/>
        <v>#DIV/0!</v>
      </c>
      <c r="P254" s="185" t="e">
        <f t="shared" si="63"/>
        <v>#DIV/0!</v>
      </c>
      <c r="Q254" s="132">
        <f t="shared" si="64"/>
        <v>189749.16278021355</v>
      </c>
      <c r="R254" s="132">
        <f t="shared" si="75"/>
        <v>4.479999999999992</v>
      </c>
      <c r="S254" s="164" t="e">
        <f t="shared" si="65"/>
        <v>#DIV/0!</v>
      </c>
      <c r="T254" s="132" t="e">
        <f t="shared" si="66"/>
        <v>#NUM!</v>
      </c>
      <c r="U254" s="138" t="e">
        <f t="shared" si="67"/>
        <v>#NUM!</v>
      </c>
      <c r="V254" s="132" t="e">
        <f t="shared" si="68"/>
        <v>#NUM!</v>
      </c>
      <c r="W254" s="132">
        <f t="shared" si="69"/>
        <v>57.97684268036525</v>
      </c>
      <c r="X254" s="138">
        <f t="shared" si="70"/>
        <v>-85.62919997411662</v>
      </c>
      <c r="Y254" s="128" t="str">
        <f t="shared" si="71"/>
        <v>60.3752769843189-789.909331777572i</v>
      </c>
      <c r="Z254" s="128" t="e">
        <f t="shared" si="72"/>
        <v>#NUM!</v>
      </c>
      <c r="AA254" s="128" t="e">
        <f t="shared" si="76"/>
        <v>#NUM!</v>
      </c>
      <c r="AB254" s="128" t="e">
        <f t="shared" si="77"/>
        <v>#NUM!</v>
      </c>
      <c r="AC254" s="128" t="e">
        <f t="shared" si="78"/>
        <v>#NUM!</v>
      </c>
      <c r="AD254" s="128" t="e">
        <f t="shared" si="79"/>
        <v>#NUM!</v>
      </c>
      <c r="AE254" s="128" t="e">
        <f t="shared" si="80"/>
        <v>#NUM!</v>
      </c>
      <c r="AF254" s="130"/>
      <c r="AG254" s="130"/>
      <c r="AH254" s="130"/>
      <c r="AI254" s="130"/>
      <c r="AJ254" s="130"/>
      <c r="AK254" s="130"/>
      <c r="AL254" s="130"/>
      <c r="AM254" s="130"/>
      <c r="AN254" s="130"/>
      <c r="AO254" s="130"/>
      <c r="AP254" s="130"/>
      <c r="AQ254" s="130"/>
      <c r="AR254" s="130"/>
      <c r="AS254" s="130"/>
    </row>
    <row r="255" spans="1:45" s="166" customFormat="1" ht="12.75">
      <c r="A255" s="132" t="e">
        <f t="shared" si="73"/>
        <v>#DIV/0!</v>
      </c>
      <c r="B255" s="132">
        <f t="shared" si="74"/>
        <v>4.499999999999992</v>
      </c>
      <c r="C255" s="146">
        <f t="shared" si="54"/>
        <v>31622.77660168322</v>
      </c>
      <c r="D255" s="137" t="e">
        <f t="shared" si="55"/>
        <v>#DIV/0!</v>
      </c>
      <c r="E255" s="132" t="e">
        <f t="shared" si="56"/>
        <v>#DIV/0!</v>
      </c>
      <c r="G255" s="146"/>
      <c r="H255" s="184" t="str">
        <f t="shared" si="57"/>
        <v>1E+47-5.03292121044881E+50i</v>
      </c>
      <c r="I255" s="132" t="str">
        <f>IMSUM(IMDIV(1,COMPLEX(0,Q255*MLCC*10^-6)),MLCC_ESR*10^-3)</f>
        <v>1E+47-5.03292121044881E+50i</v>
      </c>
      <c r="J255" s="132" t="str">
        <f t="shared" si="58"/>
        <v>4.99999999999998E+46-2.51646060522441E+50i</v>
      </c>
      <c r="K255" s="132"/>
      <c r="L255" s="132" t="e">
        <f t="shared" si="59"/>
        <v>#DIV/0!</v>
      </c>
      <c r="M255" s="132" t="str">
        <f t="shared" si="60"/>
        <v>0</v>
      </c>
      <c r="N255" s="132" t="e">
        <f t="shared" si="61"/>
        <v>#DIV/0!</v>
      </c>
      <c r="O255" s="185" t="e">
        <f t="shared" si="62"/>
        <v>#DIV/0!</v>
      </c>
      <c r="P255" s="185" t="e">
        <f t="shared" si="63"/>
        <v>#DIV/0!</v>
      </c>
      <c r="Q255" s="132">
        <f t="shared" si="64"/>
        <v>198691.76531591843</v>
      </c>
      <c r="R255" s="132">
        <f t="shared" si="75"/>
        <v>4.499999999999992</v>
      </c>
      <c r="S255" s="164" t="e">
        <f t="shared" si="65"/>
        <v>#DIV/0!</v>
      </c>
      <c r="T255" s="132" t="e">
        <f t="shared" si="66"/>
        <v>#NUM!</v>
      </c>
      <c r="U255" s="138" t="e">
        <f t="shared" si="67"/>
        <v>#NUM!</v>
      </c>
      <c r="V255" s="132" t="e">
        <f t="shared" si="68"/>
        <v>#NUM!</v>
      </c>
      <c r="W255" s="132">
        <f t="shared" si="69"/>
        <v>57.579237811626356</v>
      </c>
      <c r="X255" s="138">
        <f t="shared" si="70"/>
        <v>-85.84106091013744</v>
      </c>
      <c r="Y255" s="128" t="str">
        <f t="shared" si="71"/>
        <v>54.8833200818504-754.773697921676i</v>
      </c>
      <c r="Z255" s="128" t="e">
        <f t="shared" si="72"/>
        <v>#NUM!</v>
      </c>
      <c r="AA255" s="128" t="e">
        <f t="shared" si="76"/>
        <v>#NUM!</v>
      </c>
      <c r="AB255" s="128" t="e">
        <f t="shared" si="77"/>
        <v>#NUM!</v>
      </c>
      <c r="AC255" s="128" t="e">
        <f t="shared" si="78"/>
        <v>#NUM!</v>
      </c>
      <c r="AD255" s="128" t="e">
        <f t="shared" si="79"/>
        <v>#NUM!</v>
      </c>
      <c r="AE255" s="128" t="e">
        <f t="shared" si="80"/>
        <v>#NUM!</v>
      </c>
      <c r="AF255" s="130"/>
      <c r="AG255" s="130"/>
      <c r="AH255" s="130"/>
      <c r="AI255" s="130"/>
      <c r="AJ255" s="130"/>
      <c r="AK255" s="130"/>
      <c r="AL255" s="130"/>
      <c r="AM255" s="130"/>
      <c r="AN255" s="130"/>
      <c r="AO255" s="130"/>
      <c r="AP255" s="130"/>
      <c r="AQ255" s="130"/>
      <c r="AR255" s="130"/>
      <c r="AS255" s="130"/>
    </row>
    <row r="256" spans="1:45" s="166" customFormat="1" ht="12.75">
      <c r="A256" s="132" t="e">
        <f t="shared" si="73"/>
        <v>#DIV/0!</v>
      </c>
      <c r="B256" s="132">
        <f t="shared" si="74"/>
        <v>4.519999999999992</v>
      </c>
      <c r="C256" s="146">
        <f t="shared" si="54"/>
        <v>33113.1121482585</v>
      </c>
      <c r="D256" s="137" t="e">
        <f t="shared" si="55"/>
        <v>#DIV/0!</v>
      </c>
      <c r="E256" s="132" t="e">
        <f t="shared" si="56"/>
        <v>#DIV/0!</v>
      </c>
      <c r="G256" s="146"/>
      <c r="H256" s="184" t="str">
        <f t="shared" si="57"/>
        <v>1E+47-4.80640244200862E+50i</v>
      </c>
      <c r="I256" s="132" t="str">
        <f>IMSUM(IMDIV(1,COMPLEX(0,Q256*MLCC*10^-6)),MLCC_ESR*10^-3)</f>
        <v>1E+47-4.80640244200862E+50i</v>
      </c>
      <c r="J256" s="132" t="str">
        <f t="shared" si="58"/>
        <v>5.00000000000001E+46-2.40320122100431E+50i</v>
      </c>
      <c r="K256" s="132"/>
      <c r="L256" s="132" t="e">
        <f t="shared" si="59"/>
        <v>#DIV/0!</v>
      </c>
      <c r="M256" s="132" t="str">
        <f t="shared" si="60"/>
        <v>0</v>
      </c>
      <c r="N256" s="132" t="e">
        <f t="shared" si="61"/>
        <v>#DIV/0!</v>
      </c>
      <c r="O256" s="185" t="e">
        <f t="shared" si="62"/>
        <v>#DIV/0!</v>
      </c>
      <c r="P256" s="185" t="e">
        <f t="shared" si="63"/>
        <v>#DIV/0!</v>
      </c>
      <c r="Q256" s="132">
        <f t="shared" si="64"/>
        <v>208055.8197249277</v>
      </c>
      <c r="R256" s="132">
        <f t="shared" si="75"/>
        <v>4.519999999999992</v>
      </c>
      <c r="S256" s="164" t="e">
        <f t="shared" si="65"/>
        <v>#DIV/0!</v>
      </c>
      <c r="T256" s="132" t="e">
        <f t="shared" si="66"/>
        <v>#NUM!</v>
      </c>
      <c r="U256" s="138" t="e">
        <f t="shared" si="67"/>
        <v>#NUM!</v>
      </c>
      <c r="V256" s="132" t="e">
        <f t="shared" si="68"/>
        <v>#NUM!</v>
      </c>
      <c r="W256" s="132">
        <f t="shared" si="69"/>
        <v>57.18142264836638</v>
      </c>
      <c r="X256" s="138">
        <f t="shared" si="70"/>
        <v>-86.04424060565904</v>
      </c>
      <c r="Y256" s="128" t="str">
        <f t="shared" si="71"/>
        <v>49.8693021264453-721.165996602671i</v>
      </c>
      <c r="Z256" s="128" t="e">
        <f t="shared" si="72"/>
        <v>#NUM!</v>
      </c>
      <c r="AA256" s="128" t="e">
        <f t="shared" si="76"/>
        <v>#NUM!</v>
      </c>
      <c r="AB256" s="128" t="e">
        <f t="shared" si="77"/>
        <v>#NUM!</v>
      </c>
      <c r="AC256" s="128" t="e">
        <f t="shared" si="78"/>
        <v>#NUM!</v>
      </c>
      <c r="AD256" s="128" t="e">
        <f t="shared" si="79"/>
        <v>#NUM!</v>
      </c>
      <c r="AE256" s="128" t="e">
        <f t="shared" si="80"/>
        <v>#NUM!</v>
      </c>
      <c r="AF256" s="130"/>
      <c r="AG256" s="130"/>
      <c r="AH256" s="130"/>
      <c r="AI256" s="130"/>
      <c r="AJ256" s="130"/>
      <c r="AK256" s="130"/>
      <c r="AL256" s="130"/>
      <c r="AM256" s="130"/>
      <c r="AN256" s="130"/>
      <c r="AO256" s="130"/>
      <c r="AP256" s="130"/>
      <c r="AQ256" s="130"/>
      <c r="AR256" s="130"/>
      <c r="AS256" s="130"/>
    </row>
    <row r="257" spans="1:45" s="166" customFormat="1" ht="12.75">
      <c r="A257" s="132" t="e">
        <f t="shared" si="73"/>
        <v>#DIV/0!</v>
      </c>
      <c r="B257" s="132">
        <f t="shared" si="74"/>
        <v>4.539999999999992</v>
      </c>
      <c r="C257" s="146">
        <f t="shared" si="54"/>
        <v>34673.685045252525</v>
      </c>
      <c r="D257" s="137" t="e">
        <f t="shared" si="55"/>
        <v>#DIV/0!</v>
      </c>
      <c r="E257" s="132" t="e">
        <f t="shared" si="56"/>
        <v>#DIV/0!</v>
      </c>
      <c r="G257" s="146"/>
      <c r="H257" s="184" t="str">
        <f t="shared" si="57"/>
        <v>1E+47-4.59007869755357E+50i</v>
      </c>
      <c r="I257" s="132" t="str">
        <f>IMSUM(IMDIV(1,COMPLEX(0,Q257*MLCC*10^-6)),MLCC_ESR*10^-3)</f>
        <v>1E+47-4.59007869755357E+50i</v>
      </c>
      <c r="J257" s="132" t="str">
        <f t="shared" si="58"/>
        <v>5E+46-2.29503934877679E+50i</v>
      </c>
      <c r="K257" s="132"/>
      <c r="L257" s="132" t="e">
        <f t="shared" si="59"/>
        <v>#DIV/0!</v>
      </c>
      <c r="M257" s="132" t="str">
        <f t="shared" si="60"/>
        <v>0</v>
      </c>
      <c r="N257" s="132" t="e">
        <f t="shared" si="61"/>
        <v>#DIV/0!</v>
      </c>
      <c r="O257" s="185" t="e">
        <f t="shared" si="62"/>
        <v>#DIV/0!</v>
      </c>
      <c r="P257" s="185" t="e">
        <f t="shared" si="63"/>
        <v>#DIV/0!</v>
      </c>
      <c r="Q257" s="132">
        <f t="shared" si="64"/>
        <v>217861.1884221032</v>
      </c>
      <c r="R257" s="132">
        <f t="shared" si="75"/>
        <v>4.539999999999991</v>
      </c>
      <c r="S257" s="164" t="e">
        <f t="shared" si="65"/>
        <v>#DIV/0!</v>
      </c>
      <c r="T257" s="132" t="e">
        <f t="shared" si="66"/>
        <v>#NUM!</v>
      </c>
      <c r="U257" s="138" t="e">
        <f t="shared" si="67"/>
        <v>#NUM!</v>
      </c>
      <c r="V257" s="132" t="e">
        <f t="shared" si="68"/>
        <v>#NUM!</v>
      </c>
      <c r="W257" s="132">
        <f t="shared" si="69"/>
        <v>56.78341543271451</v>
      </c>
      <c r="X257" s="138">
        <f t="shared" si="70"/>
        <v>-86.23915202032634</v>
      </c>
      <c r="Y257" s="128" t="str">
        <f t="shared" si="71"/>
        <v>45.2920536896239-689.024270133665i</v>
      </c>
      <c r="Z257" s="128" t="e">
        <f t="shared" si="72"/>
        <v>#NUM!</v>
      </c>
      <c r="AA257" s="128" t="e">
        <f t="shared" si="76"/>
        <v>#NUM!</v>
      </c>
      <c r="AB257" s="128" t="e">
        <f t="shared" si="77"/>
        <v>#NUM!</v>
      </c>
      <c r="AC257" s="128" t="e">
        <f t="shared" si="78"/>
        <v>#NUM!</v>
      </c>
      <c r="AD257" s="128" t="e">
        <f t="shared" si="79"/>
        <v>#NUM!</v>
      </c>
      <c r="AE257" s="128" t="e">
        <f t="shared" si="80"/>
        <v>#NUM!</v>
      </c>
      <c r="AF257" s="130"/>
      <c r="AG257" s="130"/>
      <c r="AH257" s="130"/>
      <c r="AI257" s="130"/>
      <c r="AJ257" s="130"/>
      <c r="AK257" s="130"/>
      <c r="AL257" s="130"/>
      <c r="AM257" s="130"/>
      <c r="AN257" s="130"/>
      <c r="AO257" s="130"/>
      <c r="AP257" s="130"/>
      <c r="AQ257" s="130"/>
      <c r="AR257" s="130"/>
      <c r="AS257" s="130"/>
    </row>
    <row r="258" spans="1:45" s="166" customFormat="1" ht="12.75">
      <c r="A258" s="132" t="e">
        <f t="shared" si="73"/>
        <v>#DIV/0!</v>
      </c>
      <c r="B258" s="132">
        <f t="shared" si="74"/>
        <v>4.559999999999991</v>
      </c>
      <c r="C258" s="146">
        <f t="shared" si="54"/>
        <v>36307.80547700939</v>
      </c>
      <c r="D258" s="137" t="e">
        <f t="shared" si="55"/>
        <v>#DIV/0!</v>
      </c>
      <c r="E258" s="132" t="e">
        <f t="shared" si="56"/>
        <v>#DIV/0!</v>
      </c>
      <c r="G258" s="146"/>
      <c r="H258" s="184" t="str">
        <f t="shared" si="57"/>
        <v>1E+47-4.38349112541859E+50i</v>
      </c>
      <c r="I258" s="132" t="str">
        <f>IMSUM(IMDIV(1,COMPLEX(0,Q258*MLCC*10^-6)),MLCC_ESR*10^-3)</f>
        <v>1E+47-4.38349112541859E+50i</v>
      </c>
      <c r="J258" s="132" t="str">
        <f t="shared" si="58"/>
        <v>5.00000000000001E+46-2.19174556270929E+50i</v>
      </c>
      <c r="K258" s="132"/>
      <c r="L258" s="132" t="e">
        <f t="shared" si="59"/>
        <v>#DIV/0!</v>
      </c>
      <c r="M258" s="132" t="str">
        <f t="shared" si="60"/>
        <v>0</v>
      </c>
      <c r="N258" s="132" t="e">
        <f t="shared" si="61"/>
        <v>#DIV/0!</v>
      </c>
      <c r="O258" s="185" t="e">
        <f t="shared" si="62"/>
        <v>#DIV/0!</v>
      </c>
      <c r="P258" s="185" t="e">
        <f t="shared" si="63"/>
        <v>#DIV/0!</v>
      </c>
      <c r="Q258" s="132">
        <f t="shared" si="64"/>
        <v>228128.66990907988</v>
      </c>
      <c r="R258" s="132">
        <f t="shared" si="75"/>
        <v>4.559999999999991</v>
      </c>
      <c r="S258" s="164" t="e">
        <f t="shared" si="65"/>
        <v>#DIV/0!</v>
      </c>
      <c r="T258" s="132" t="e">
        <f t="shared" si="66"/>
        <v>#NUM!</v>
      </c>
      <c r="U258" s="138" t="e">
        <f t="shared" si="67"/>
        <v>#NUM!</v>
      </c>
      <c r="V258" s="132" t="e">
        <f t="shared" si="68"/>
        <v>#NUM!</v>
      </c>
      <c r="W258" s="132">
        <f t="shared" si="69"/>
        <v>56.385232827449926</v>
      </c>
      <c r="X258" s="138">
        <f t="shared" si="70"/>
        <v>-86.42619287663078</v>
      </c>
      <c r="Y258" s="128" t="str">
        <f t="shared" si="71"/>
        <v>41.1138806958115-658.288486315098i</v>
      </c>
      <c r="Z258" s="128" t="e">
        <f t="shared" si="72"/>
        <v>#NUM!</v>
      </c>
      <c r="AA258" s="128" t="e">
        <f t="shared" si="76"/>
        <v>#NUM!</v>
      </c>
      <c r="AB258" s="128" t="e">
        <f t="shared" si="77"/>
        <v>#NUM!</v>
      </c>
      <c r="AC258" s="128" t="e">
        <f t="shared" si="78"/>
        <v>#NUM!</v>
      </c>
      <c r="AD258" s="128" t="e">
        <f t="shared" si="79"/>
        <v>#NUM!</v>
      </c>
      <c r="AE258" s="128" t="e">
        <f t="shared" si="80"/>
        <v>#NUM!</v>
      </c>
      <c r="AF258" s="130"/>
      <c r="AG258" s="130"/>
      <c r="AH258" s="130"/>
      <c r="AI258" s="130"/>
      <c r="AJ258" s="130"/>
      <c r="AK258" s="130"/>
      <c r="AL258" s="130"/>
      <c r="AM258" s="130"/>
      <c r="AN258" s="130"/>
      <c r="AO258" s="130"/>
      <c r="AP258" s="130"/>
      <c r="AQ258" s="130"/>
      <c r="AR258" s="130"/>
      <c r="AS258" s="130"/>
    </row>
    <row r="259" spans="1:45" s="166" customFormat="1" ht="12.75">
      <c r="A259" s="132" t="e">
        <f t="shared" si="73"/>
        <v>#DIV/0!</v>
      </c>
      <c r="B259" s="132">
        <f t="shared" si="74"/>
        <v>4.579999999999991</v>
      </c>
      <c r="C259" s="146">
        <f t="shared" si="54"/>
        <v>38018.939632055335</v>
      </c>
      <c r="D259" s="137" t="e">
        <f t="shared" si="55"/>
        <v>#DIV/0!</v>
      </c>
      <c r="E259" s="132" t="e">
        <f t="shared" si="56"/>
        <v>#DIV/0!</v>
      </c>
      <c r="G259" s="146"/>
      <c r="H259" s="184" t="str">
        <f t="shared" si="57"/>
        <v>1E+47-4.18620152566552E+50i</v>
      </c>
      <c r="I259" s="132" t="str">
        <f>IMSUM(IMDIV(1,COMPLEX(0,Q259*MLCC*10^-6)),MLCC_ESR*10^-3)</f>
        <v>1E+47-4.18620152566552E+50i</v>
      </c>
      <c r="J259" s="132" t="str">
        <f t="shared" si="58"/>
        <v>5.00000000000001E+46-2.09310076283276E+50i</v>
      </c>
      <c r="K259" s="132"/>
      <c r="L259" s="132" t="e">
        <f t="shared" si="59"/>
        <v>#DIV/0!</v>
      </c>
      <c r="M259" s="132" t="str">
        <f t="shared" si="60"/>
        <v>0</v>
      </c>
      <c r="N259" s="132" t="e">
        <f t="shared" si="61"/>
        <v>#DIV/0!</v>
      </c>
      <c r="O259" s="185" t="e">
        <f t="shared" si="62"/>
        <v>#DIV/0!</v>
      </c>
      <c r="P259" s="185" t="e">
        <f t="shared" si="63"/>
        <v>#DIV/0!</v>
      </c>
      <c r="Q259" s="132">
        <f t="shared" si="64"/>
        <v>238880.04289067775</v>
      </c>
      <c r="R259" s="132">
        <f t="shared" si="75"/>
        <v>4.57999999999999</v>
      </c>
      <c r="S259" s="164" t="e">
        <f t="shared" si="65"/>
        <v>#DIV/0!</v>
      </c>
      <c r="T259" s="132" t="e">
        <f t="shared" si="66"/>
        <v>#NUM!</v>
      </c>
      <c r="U259" s="138" t="e">
        <f t="shared" si="67"/>
        <v>#NUM!</v>
      </c>
      <c r="V259" s="132" t="e">
        <f t="shared" si="68"/>
        <v>#NUM!</v>
      </c>
      <c r="W259" s="132">
        <f t="shared" si="69"/>
        <v>55.98689004895317</v>
      </c>
      <c r="X259" s="138">
        <f t="shared" si="70"/>
        <v>-86.60574621120969</v>
      </c>
      <c r="Y259" s="128" t="str">
        <f t="shared" si="71"/>
        <v>37.3002829951507-628.900559870463i</v>
      </c>
      <c r="Z259" s="128" t="e">
        <f t="shared" si="72"/>
        <v>#NUM!</v>
      </c>
      <c r="AA259" s="128" t="e">
        <f t="shared" si="76"/>
        <v>#NUM!</v>
      </c>
      <c r="AB259" s="128" t="e">
        <f t="shared" si="77"/>
        <v>#NUM!</v>
      </c>
      <c r="AC259" s="128" t="e">
        <f t="shared" si="78"/>
        <v>#NUM!</v>
      </c>
      <c r="AD259" s="128" t="e">
        <f t="shared" si="79"/>
        <v>#NUM!</v>
      </c>
      <c r="AE259" s="128" t="e">
        <f t="shared" si="80"/>
        <v>#NUM!</v>
      </c>
      <c r="AF259" s="130"/>
      <c r="AG259" s="130"/>
      <c r="AH259" s="130"/>
      <c r="AI259" s="130"/>
      <c r="AJ259" s="130"/>
      <c r="AK259" s="130"/>
      <c r="AL259" s="130"/>
      <c r="AM259" s="130"/>
      <c r="AN259" s="130"/>
      <c r="AO259" s="130"/>
      <c r="AP259" s="130"/>
      <c r="AQ259" s="130"/>
      <c r="AR259" s="130"/>
      <c r="AS259" s="130"/>
    </row>
    <row r="260" spans="1:45" s="166" customFormat="1" ht="12.75">
      <c r="A260" s="132" t="e">
        <f t="shared" si="73"/>
        <v>#DIV/0!</v>
      </c>
      <c r="B260" s="132">
        <f t="shared" si="74"/>
        <v>4.59999999999999</v>
      </c>
      <c r="C260" s="146">
        <f t="shared" si="54"/>
        <v>39810.717055348825</v>
      </c>
      <c r="D260" s="137" t="e">
        <f t="shared" si="55"/>
        <v>#DIV/0!</v>
      </c>
      <c r="E260" s="132" t="e">
        <f t="shared" si="56"/>
        <v>#DIV/0!</v>
      </c>
      <c r="G260" s="146"/>
      <c r="H260" s="184" t="str">
        <f t="shared" si="57"/>
        <v>1E+47-3.99779142060221E+50i</v>
      </c>
      <c r="I260" s="132" t="str">
        <f>IMSUM(IMDIV(1,COMPLEX(0,Q260*MLCC*10^-6)),MLCC_ESR*10^-3)</f>
        <v>1E+47-3.99779142060221E+50i</v>
      </c>
      <c r="J260" s="132" t="str">
        <f t="shared" si="58"/>
        <v>5.00000000000001E+46-1.9988957103011E+50i</v>
      </c>
      <c r="K260" s="132"/>
      <c r="L260" s="132" t="e">
        <f t="shared" si="59"/>
        <v>#DIV/0!</v>
      </c>
      <c r="M260" s="132" t="str">
        <f t="shared" si="60"/>
        <v>0</v>
      </c>
      <c r="N260" s="132" t="e">
        <f t="shared" si="61"/>
        <v>#DIV/0!</v>
      </c>
      <c r="O260" s="185" t="e">
        <f t="shared" si="62"/>
        <v>#DIV/0!</v>
      </c>
      <c r="P260" s="185" t="e">
        <f t="shared" si="63"/>
        <v>#DIV/0!</v>
      </c>
      <c r="Q260" s="132">
        <f t="shared" si="64"/>
        <v>250138.1124704515</v>
      </c>
      <c r="R260" s="132">
        <f t="shared" si="75"/>
        <v>4.59999999999999</v>
      </c>
      <c r="S260" s="164" t="e">
        <f t="shared" si="65"/>
        <v>#DIV/0!</v>
      </c>
      <c r="T260" s="132" t="e">
        <f t="shared" si="66"/>
        <v>#NUM!</v>
      </c>
      <c r="U260" s="138" t="e">
        <f t="shared" si="67"/>
        <v>#NUM!</v>
      </c>
      <c r="V260" s="132" t="e">
        <f t="shared" si="68"/>
        <v>#NUM!</v>
      </c>
      <c r="W260" s="132">
        <f t="shared" si="69"/>
        <v>55.5884009892901</v>
      </c>
      <c r="X260" s="138">
        <f t="shared" si="70"/>
        <v>-86.77818093175937</v>
      </c>
      <c r="Y260" s="128" t="str">
        <f t="shared" si="71"/>
        <v>33.8196936914768-600.804359628814i</v>
      </c>
      <c r="Z260" s="128" t="e">
        <f t="shared" si="72"/>
        <v>#NUM!</v>
      </c>
      <c r="AA260" s="128" t="e">
        <f t="shared" si="76"/>
        <v>#NUM!</v>
      </c>
      <c r="AB260" s="128" t="e">
        <f t="shared" si="77"/>
        <v>#NUM!</v>
      </c>
      <c r="AC260" s="128" t="e">
        <f t="shared" si="78"/>
        <v>#NUM!</v>
      </c>
      <c r="AD260" s="128" t="e">
        <f t="shared" si="79"/>
        <v>#NUM!</v>
      </c>
      <c r="AE260" s="128" t="e">
        <f t="shared" si="80"/>
        <v>#NUM!</v>
      </c>
      <c r="AF260" s="130"/>
      <c r="AG260" s="130"/>
      <c r="AH260" s="130"/>
      <c r="AI260" s="130"/>
      <c r="AJ260" s="130"/>
      <c r="AK260" s="130"/>
      <c r="AL260" s="130"/>
      <c r="AM260" s="130"/>
      <c r="AN260" s="130"/>
      <c r="AO260" s="130"/>
      <c r="AP260" s="130"/>
      <c r="AQ260" s="130"/>
      <c r="AR260" s="130"/>
      <c r="AS260" s="130"/>
    </row>
    <row r="261" spans="1:45" s="166" customFormat="1" ht="12.75">
      <c r="A261" s="132" t="e">
        <f t="shared" si="73"/>
        <v>#DIV/0!</v>
      </c>
      <c r="B261" s="132">
        <f t="shared" si="74"/>
        <v>4.61999999999999</v>
      </c>
      <c r="C261" s="146">
        <f t="shared" si="54"/>
        <v>41686.93834703259</v>
      </c>
      <c r="D261" s="137" t="e">
        <f t="shared" si="55"/>
        <v>#DIV/0!</v>
      </c>
      <c r="E261" s="132" t="e">
        <f t="shared" si="56"/>
        <v>#DIV/0!</v>
      </c>
      <c r="G261" s="146"/>
      <c r="H261" s="184" t="str">
        <f t="shared" si="57"/>
        <v>1E+47-3.81786116713522E+50i</v>
      </c>
      <c r="I261" s="132" t="str">
        <f>IMSUM(IMDIV(1,COMPLEX(0,Q261*MLCC*10^-6)),MLCC_ESR*10^-3)</f>
        <v>1E+47-3.81786116713522E+50i</v>
      </c>
      <c r="J261" s="132" t="str">
        <f t="shared" si="58"/>
        <v>5E+46-1.90893058356761E+50i</v>
      </c>
      <c r="K261" s="132"/>
      <c r="L261" s="132" t="e">
        <f t="shared" si="59"/>
        <v>#DIV/0!</v>
      </c>
      <c r="M261" s="132" t="str">
        <f t="shared" si="60"/>
        <v>0</v>
      </c>
      <c r="N261" s="132" t="e">
        <f t="shared" si="61"/>
        <v>#DIV/0!</v>
      </c>
      <c r="O261" s="185" t="e">
        <f t="shared" si="62"/>
        <v>#DIV/0!</v>
      </c>
      <c r="P261" s="185" t="e">
        <f t="shared" si="63"/>
        <v>#DIV/0!</v>
      </c>
      <c r="Q261" s="132">
        <f t="shared" si="64"/>
        <v>261926.75852337645</v>
      </c>
      <c r="R261" s="132">
        <f t="shared" si="75"/>
        <v>4.6199999999999894</v>
      </c>
      <c r="S261" s="164" t="e">
        <f t="shared" si="65"/>
        <v>#DIV/0!</v>
      </c>
      <c r="T261" s="132" t="e">
        <f t="shared" si="66"/>
        <v>#NUM!</v>
      </c>
      <c r="U261" s="138" t="e">
        <f t="shared" si="67"/>
        <v>#NUM!</v>
      </c>
      <c r="V261" s="132" t="e">
        <f t="shared" si="68"/>
        <v>#NUM!</v>
      </c>
      <c r="W261" s="132">
        <f t="shared" si="69"/>
        <v>55.189778328231725</v>
      </c>
      <c r="X261" s="138">
        <f t="shared" si="70"/>
        <v>-86.9438523761898</v>
      </c>
      <c r="Y261" s="128" t="str">
        <f t="shared" si="71"/>
        <v>30.6432380515376-573.945703676949i</v>
      </c>
      <c r="Z261" s="128" t="e">
        <f t="shared" si="72"/>
        <v>#NUM!</v>
      </c>
      <c r="AA261" s="128" t="e">
        <f t="shared" si="76"/>
        <v>#NUM!</v>
      </c>
      <c r="AB261" s="128" t="e">
        <f t="shared" si="77"/>
        <v>#NUM!</v>
      </c>
      <c r="AC261" s="128" t="e">
        <f t="shared" si="78"/>
        <v>#NUM!</v>
      </c>
      <c r="AD261" s="128" t="e">
        <f t="shared" si="79"/>
        <v>#NUM!</v>
      </c>
      <c r="AE261" s="128" t="e">
        <f t="shared" si="80"/>
        <v>#NUM!</v>
      </c>
      <c r="AF261" s="130"/>
      <c r="AG261" s="130"/>
      <c r="AH261" s="130"/>
      <c r="AI261" s="130"/>
      <c r="AJ261" s="130"/>
      <c r="AK261" s="130"/>
      <c r="AL261" s="130"/>
      <c r="AM261" s="130"/>
      <c r="AN261" s="130"/>
      <c r="AO261" s="130"/>
      <c r="AP261" s="130"/>
      <c r="AQ261" s="130"/>
      <c r="AR261" s="130"/>
      <c r="AS261" s="130"/>
    </row>
    <row r="262" spans="1:45" s="166" customFormat="1" ht="12.75">
      <c r="A262" s="132" t="e">
        <f t="shared" si="73"/>
        <v>#DIV/0!</v>
      </c>
      <c r="B262" s="132">
        <f t="shared" si="74"/>
        <v>4.639999999999989</v>
      </c>
      <c r="C262" s="146">
        <f t="shared" si="54"/>
        <v>43651.583224015514</v>
      </c>
      <c r="D262" s="137" t="e">
        <f t="shared" si="55"/>
        <v>#DIV/0!</v>
      </c>
      <c r="E262" s="132" t="e">
        <f t="shared" si="56"/>
        <v>#DIV/0!</v>
      </c>
      <c r="G262" s="146"/>
      <c r="H262" s="184" t="str">
        <f t="shared" si="57"/>
        <v>1E+47-3.64602910907328E+50i</v>
      </c>
      <c r="I262" s="132" t="str">
        <f>IMSUM(IMDIV(1,COMPLEX(0,Q262*MLCC*10^-6)),MLCC_ESR*10^-3)</f>
        <v>1E+47-3.64602910907328E+50i</v>
      </c>
      <c r="J262" s="132" t="str">
        <f t="shared" si="58"/>
        <v>5E+46-1.82301455453664E+50i</v>
      </c>
      <c r="K262" s="132"/>
      <c r="L262" s="132" t="e">
        <f t="shared" si="59"/>
        <v>#DIV/0!</v>
      </c>
      <c r="M262" s="132" t="str">
        <f t="shared" si="60"/>
        <v>0</v>
      </c>
      <c r="N262" s="132" t="e">
        <f t="shared" si="61"/>
        <v>#DIV/0!</v>
      </c>
      <c r="O262" s="185" t="e">
        <f t="shared" si="62"/>
        <v>#DIV/0!</v>
      </c>
      <c r="P262" s="185" t="e">
        <f t="shared" si="63"/>
        <v>#DIV/0!</v>
      </c>
      <c r="Q262" s="132">
        <f t="shared" si="64"/>
        <v>274270.9863482612</v>
      </c>
      <c r="R262" s="132">
        <f t="shared" si="75"/>
        <v>4.639999999999989</v>
      </c>
      <c r="S262" s="164" t="e">
        <f t="shared" si="65"/>
        <v>#DIV/0!</v>
      </c>
      <c r="T262" s="132" t="e">
        <f t="shared" si="66"/>
        <v>#NUM!</v>
      </c>
      <c r="U262" s="138" t="e">
        <f t="shared" si="67"/>
        <v>#NUM!</v>
      </c>
      <c r="V262" s="132" t="e">
        <f t="shared" si="68"/>
        <v>#NUM!</v>
      </c>
      <c r="W262" s="132">
        <f t="shared" si="69"/>
        <v>54.79103363596663</v>
      </c>
      <c r="X262" s="138">
        <f t="shared" si="70"/>
        <v>-87.10310287120222</v>
      </c>
      <c r="Y262" s="128" t="str">
        <f t="shared" si="71"/>
        <v>27.744510820295-548.272344426804i</v>
      </c>
      <c r="Z262" s="128" t="e">
        <f t="shared" si="72"/>
        <v>#NUM!</v>
      </c>
      <c r="AA262" s="128" t="e">
        <f t="shared" si="76"/>
        <v>#NUM!</v>
      </c>
      <c r="AB262" s="128" t="e">
        <f t="shared" si="77"/>
        <v>#NUM!</v>
      </c>
      <c r="AC262" s="128" t="e">
        <f t="shared" si="78"/>
        <v>#NUM!</v>
      </c>
      <c r="AD262" s="128" t="e">
        <f t="shared" si="79"/>
        <v>#NUM!</v>
      </c>
      <c r="AE262" s="128" t="e">
        <f t="shared" si="80"/>
        <v>#NUM!</v>
      </c>
      <c r="AF262" s="130"/>
      <c r="AG262" s="130"/>
      <c r="AH262" s="130"/>
      <c r="AI262" s="130"/>
      <c r="AJ262" s="130"/>
      <c r="AK262" s="130"/>
      <c r="AL262" s="130"/>
      <c r="AM262" s="130"/>
      <c r="AN262" s="130"/>
      <c r="AO262" s="130"/>
      <c r="AP262" s="130"/>
      <c r="AQ262" s="130"/>
      <c r="AR262" s="130"/>
      <c r="AS262" s="130"/>
    </row>
    <row r="263" spans="1:45" s="166" customFormat="1" ht="12.75">
      <c r="A263" s="132" t="e">
        <f t="shared" si="73"/>
        <v>#DIV/0!</v>
      </c>
      <c r="B263" s="132">
        <f t="shared" si="74"/>
        <v>4.6599999999999895</v>
      </c>
      <c r="C263" s="146">
        <f t="shared" si="54"/>
        <v>45708.81896148636</v>
      </c>
      <c r="D263" s="137" t="e">
        <f t="shared" si="55"/>
        <v>#DIV/0!</v>
      </c>
      <c r="E263" s="132" t="e">
        <f t="shared" si="56"/>
        <v>#DIV/0!</v>
      </c>
      <c r="G263" s="146"/>
      <c r="H263" s="184" t="str">
        <f t="shared" si="57"/>
        <v>1E+47-3.48193076758332E+50i</v>
      </c>
      <c r="I263" s="132" t="str">
        <f>IMSUM(IMDIV(1,COMPLEX(0,Q263*MLCC*10^-6)),MLCC_ESR*10^-3)</f>
        <v>1E+47-3.48193076758332E+50i</v>
      </c>
      <c r="J263" s="132" t="str">
        <f t="shared" si="58"/>
        <v>4.99999999999999E+46-1.74096538379166E+50i</v>
      </c>
      <c r="K263" s="132"/>
      <c r="L263" s="132" t="e">
        <f t="shared" si="59"/>
        <v>#DIV/0!</v>
      </c>
      <c r="M263" s="132" t="str">
        <f t="shared" si="60"/>
        <v>0</v>
      </c>
      <c r="N263" s="132" t="e">
        <f t="shared" si="61"/>
        <v>#DIV/0!</v>
      </c>
      <c r="O263" s="185" t="e">
        <f t="shared" si="62"/>
        <v>#DIV/0!</v>
      </c>
      <c r="P263" s="185" t="e">
        <f t="shared" si="63"/>
        <v>#DIV/0!</v>
      </c>
      <c r="Q263" s="132">
        <f t="shared" si="64"/>
        <v>287196.97970734275</v>
      </c>
      <c r="R263" s="132">
        <f t="shared" si="75"/>
        <v>4.659999999999989</v>
      </c>
      <c r="S263" s="164" t="e">
        <f t="shared" si="65"/>
        <v>#DIV/0!</v>
      </c>
      <c r="T263" s="132" t="e">
        <f t="shared" si="66"/>
        <v>#NUM!</v>
      </c>
      <c r="U263" s="138" t="e">
        <f t="shared" si="67"/>
        <v>#NUM!</v>
      </c>
      <c r="V263" s="132" t="e">
        <f t="shared" si="68"/>
        <v>#NUM!</v>
      </c>
      <c r="W263" s="132">
        <f t="shared" si="69"/>
        <v>54.39217746721432</v>
      </c>
      <c r="X263" s="138">
        <f t="shared" si="70"/>
        <v>-87.2562622879558</v>
      </c>
      <c r="Y263" s="128" t="str">
        <f t="shared" si="71"/>
        <v>25.0993707823476-523.733945296162i</v>
      </c>
      <c r="Z263" s="128" t="e">
        <f t="shared" si="72"/>
        <v>#NUM!</v>
      </c>
      <c r="AA263" s="128" t="e">
        <f t="shared" si="76"/>
        <v>#NUM!</v>
      </c>
      <c r="AB263" s="128" t="e">
        <f t="shared" si="77"/>
        <v>#NUM!</v>
      </c>
      <c r="AC263" s="128" t="e">
        <f t="shared" si="78"/>
        <v>#NUM!</v>
      </c>
      <c r="AD263" s="128" t="e">
        <f t="shared" si="79"/>
        <v>#NUM!</v>
      </c>
      <c r="AE263" s="128" t="e">
        <f t="shared" si="80"/>
        <v>#NUM!</v>
      </c>
      <c r="AF263" s="130"/>
      <c r="AG263" s="130"/>
      <c r="AH263" s="130"/>
      <c r="AI263" s="130"/>
      <c r="AJ263" s="130"/>
      <c r="AK263" s="130"/>
      <c r="AL263" s="130"/>
      <c r="AM263" s="130"/>
      <c r="AN263" s="130"/>
      <c r="AO263" s="130"/>
      <c r="AP263" s="130"/>
      <c r="AQ263" s="130"/>
      <c r="AR263" s="130"/>
      <c r="AS263" s="130"/>
    </row>
    <row r="264" spans="1:45" s="166" customFormat="1" ht="12.75">
      <c r="A264" s="132" t="e">
        <f t="shared" si="73"/>
        <v>#DIV/0!</v>
      </c>
      <c r="B264" s="132">
        <f t="shared" si="74"/>
        <v>4.679999999999988</v>
      </c>
      <c r="C264" s="146">
        <f t="shared" si="54"/>
        <v>47863.00923226254</v>
      </c>
      <c r="D264" s="137" t="e">
        <f t="shared" si="55"/>
        <v>#DIV/0!</v>
      </c>
      <c r="E264" s="132" t="e">
        <f t="shared" si="56"/>
        <v>#DIV/0!</v>
      </c>
      <c r="G264" s="146"/>
      <c r="H264" s="184" t="str">
        <f t="shared" si="57"/>
        <v>1E+47-3.32521806808201E+50i</v>
      </c>
      <c r="I264" s="132" t="str">
        <f>IMSUM(IMDIV(1,COMPLEX(0,Q264*MLCC*10^-6)),MLCC_ESR*10^-3)</f>
        <v>1E+47-3.32521806808201E+50i</v>
      </c>
      <c r="J264" s="132" t="str">
        <f t="shared" si="58"/>
        <v>4.99999999999998E+46-1.66260903404101E+50i</v>
      </c>
      <c r="K264" s="132"/>
      <c r="L264" s="132" t="e">
        <f t="shared" si="59"/>
        <v>#DIV/0!</v>
      </c>
      <c r="M264" s="132" t="str">
        <f t="shared" si="60"/>
        <v>0</v>
      </c>
      <c r="N264" s="132" t="e">
        <f t="shared" si="61"/>
        <v>#DIV/0!</v>
      </c>
      <c r="O264" s="185" t="e">
        <f t="shared" si="62"/>
        <v>#DIV/0!</v>
      </c>
      <c r="P264" s="185" t="e">
        <f t="shared" si="63"/>
        <v>#DIV/0!</v>
      </c>
      <c r="Q264" s="132">
        <f t="shared" si="64"/>
        <v>300732.1563655529</v>
      </c>
      <c r="R264" s="132">
        <f t="shared" si="75"/>
        <v>4.679999999999988</v>
      </c>
      <c r="S264" s="164" t="e">
        <f t="shared" si="65"/>
        <v>#DIV/0!</v>
      </c>
      <c r="T264" s="132" t="e">
        <f t="shared" si="66"/>
        <v>#NUM!</v>
      </c>
      <c r="U264" s="138" t="e">
        <f t="shared" si="67"/>
        <v>#NUM!</v>
      </c>
      <c r="V264" s="132" t="e">
        <f t="shared" si="68"/>
        <v>#NUM!</v>
      </c>
      <c r="W264" s="132">
        <f t="shared" si="69"/>
        <v>53.99321944740297</v>
      </c>
      <c r="X264" s="138">
        <f t="shared" si="70"/>
        <v>-87.40364859291164</v>
      </c>
      <c r="Y264" s="128" t="str">
        <f t="shared" si="71"/>
        <v>22.6857514373029-500.282050481034i</v>
      </c>
      <c r="Z264" s="128" t="e">
        <f t="shared" si="72"/>
        <v>#NUM!</v>
      </c>
      <c r="AA264" s="128" t="e">
        <f t="shared" si="76"/>
        <v>#NUM!</v>
      </c>
      <c r="AB264" s="128" t="e">
        <f t="shared" si="77"/>
        <v>#NUM!</v>
      </c>
      <c r="AC264" s="128" t="e">
        <f t="shared" si="78"/>
        <v>#NUM!</v>
      </c>
      <c r="AD264" s="128" t="e">
        <f t="shared" si="79"/>
        <v>#NUM!</v>
      </c>
      <c r="AE264" s="128" t="e">
        <f t="shared" si="80"/>
        <v>#NUM!</v>
      </c>
      <c r="AF264" s="130"/>
      <c r="AG264" s="130"/>
      <c r="AH264" s="130"/>
      <c r="AI264" s="130"/>
      <c r="AJ264" s="130"/>
      <c r="AK264" s="130"/>
      <c r="AL264" s="130"/>
      <c r="AM264" s="130"/>
      <c r="AN264" s="130"/>
      <c r="AO264" s="130"/>
      <c r="AP264" s="130"/>
      <c r="AQ264" s="130"/>
      <c r="AR264" s="130"/>
      <c r="AS264" s="130"/>
    </row>
    <row r="265" spans="1:45" s="166" customFormat="1" ht="12.75">
      <c r="A265" s="132" t="e">
        <f t="shared" si="73"/>
        <v>#DIV/0!</v>
      </c>
      <c r="B265" s="132">
        <f t="shared" si="74"/>
        <v>4.699999999999989</v>
      </c>
      <c r="C265" s="146">
        <f t="shared" si="54"/>
        <v>50118.72336272587</v>
      </c>
      <c r="D265" s="137" t="e">
        <f t="shared" si="55"/>
        <v>#DIV/0!</v>
      </c>
      <c r="E265" s="132" t="e">
        <f t="shared" si="56"/>
        <v>#DIV/0!</v>
      </c>
      <c r="G265" s="146"/>
      <c r="H265" s="184" t="str">
        <f t="shared" si="57"/>
        <v>1E+47-3.17555860192284E+50i</v>
      </c>
      <c r="I265" s="132" t="str">
        <f>IMSUM(IMDIV(1,COMPLEX(0,Q265*MLCC*10^-6)),MLCC_ESR*10^-3)</f>
        <v>1E+47-3.17555860192284E+50i</v>
      </c>
      <c r="J265" s="132" t="str">
        <f t="shared" si="58"/>
        <v>5.00000000000002E+46-1.58777930096141E+50i</v>
      </c>
      <c r="K265" s="132"/>
      <c r="L265" s="132" t="e">
        <f t="shared" si="59"/>
        <v>#DIV/0!</v>
      </c>
      <c r="M265" s="132" t="str">
        <f t="shared" si="60"/>
        <v>0</v>
      </c>
      <c r="N265" s="132" t="e">
        <f t="shared" si="61"/>
        <v>#DIV/0!</v>
      </c>
      <c r="O265" s="185" t="e">
        <f t="shared" si="62"/>
        <v>#DIV/0!</v>
      </c>
      <c r="P265" s="185" t="e">
        <f t="shared" si="63"/>
        <v>#DIV/0!</v>
      </c>
      <c r="Q265" s="132">
        <f t="shared" si="64"/>
        <v>314905.22624727746</v>
      </c>
      <c r="R265" s="132">
        <f t="shared" si="75"/>
        <v>4.699999999999988</v>
      </c>
      <c r="S265" s="164" t="e">
        <f t="shared" si="65"/>
        <v>#DIV/0!</v>
      </c>
      <c r="T265" s="132" t="e">
        <f t="shared" si="66"/>
        <v>#NUM!</v>
      </c>
      <c r="U265" s="138" t="e">
        <f t="shared" si="67"/>
        <v>#NUM!</v>
      </c>
      <c r="V265" s="132" t="e">
        <f t="shared" si="68"/>
        <v>#NUM!</v>
      </c>
      <c r="W265" s="132">
        <f t="shared" si="69"/>
        <v>53.594168351529405</v>
      </c>
      <c r="X265" s="138">
        <f t="shared" si="70"/>
        <v>-87.54556839231103</v>
      </c>
      <c r="Y265" s="128" t="str">
        <f t="shared" si="71"/>
        <v>20.4834866940292-477.870049103156i</v>
      </c>
      <c r="Z265" s="128" t="e">
        <f t="shared" si="72"/>
        <v>#NUM!</v>
      </c>
      <c r="AA265" s="128" t="e">
        <f t="shared" si="76"/>
        <v>#NUM!</v>
      </c>
      <c r="AB265" s="128" t="e">
        <f t="shared" si="77"/>
        <v>#NUM!</v>
      </c>
      <c r="AC265" s="128" t="e">
        <f t="shared" si="78"/>
        <v>#NUM!</v>
      </c>
      <c r="AD265" s="128" t="e">
        <f t="shared" si="79"/>
        <v>#NUM!</v>
      </c>
      <c r="AE265" s="128" t="e">
        <f t="shared" si="80"/>
        <v>#NUM!</v>
      </c>
      <c r="AF265" s="130"/>
      <c r="AG265" s="130"/>
      <c r="AH265" s="130"/>
      <c r="AI265" s="130"/>
      <c r="AJ265" s="130"/>
      <c r="AK265" s="130"/>
      <c r="AL265" s="130"/>
      <c r="AM265" s="130"/>
      <c r="AN265" s="130"/>
      <c r="AO265" s="130"/>
      <c r="AP265" s="130"/>
      <c r="AQ265" s="130"/>
      <c r="AR265" s="130"/>
      <c r="AS265" s="130"/>
    </row>
    <row r="266" spans="1:45" s="166" customFormat="1" ht="12.75">
      <c r="A266" s="132" t="e">
        <f t="shared" si="73"/>
        <v>#DIV/0!</v>
      </c>
      <c r="B266" s="132">
        <f t="shared" si="74"/>
        <v>4.719999999999988</v>
      </c>
      <c r="C266" s="146">
        <f t="shared" si="54"/>
        <v>52480.74602497582</v>
      </c>
      <c r="D266" s="137" t="e">
        <f t="shared" si="55"/>
        <v>#DIV/0!</v>
      </c>
      <c r="E266" s="132" t="e">
        <f t="shared" si="56"/>
        <v>#DIV/0!</v>
      </c>
      <c r="G266" s="146"/>
      <c r="H266" s="184" t="str">
        <f t="shared" si="57"/>
        <v>1E+47-3.03263492131291E+50i</v>
      </c>
      <c r="I266" s="132" t="str">
        <f>IMSUM(IMDIV(1,COMPLEX(0,Q266*MLCC*10^-6)),MLCC_ESR*10^-3)</f>
        <v>1E+47-3.03263492131291E+50i</v>
      </c>
      <c r="J266" s="132" t="str">
        <f t="shared" si="58"/>
        <v>5E+46-1.51631746065645E+50i</v>
      </c>
      <c r="K266" s="132"/>
      <c r="L266" s="132" t="e">
        <f t="shared" si="59"/>
        <v>#DIV/0!</v>
      </c>
      <c r="M266" s="132" t="str">
        <f t="shared" si="60"/>
        <v>0</v>
      </c>
      <c r="N266" s="132" t="e">
        <f t="shared" si="61"/>
        <v>#DIV/0!</v>
      </c>
      <c r="O266" s="185" t="e">
        <f t="shared" si="62"/>
        <v>#DIV/0!</v>
      </c>
      <c r="P266" s="185" t="e">
        <f t="shared" si="63"/>
        <v>#DIV/0!</v>
      </c>
      <c r="Q266" s="132">
        <f t="shared" si="64"/>
        <v>329746.2523339516</v>
      </c>
      <c r="R266" s="132">
        <f t="shared" si="75"/>
        <v>4.719999999999987</v>
      </c>
      <c r="S266" s="164" t="e">
        <f t="shared" si="65"/>
        <v>#DIV/0!</v>
      </c>
      <c r="T266" s="132" t="e">
        <f t="shared" si="66"/>
        <v>#NUM!</v>
      </c>
      <c r="U266" s="138" t="e">
        <f t="shared" si="67"/>
        <v>#NUM!</v>
      </c>
      <c r="V266" s="132" t="e">
        <f t="shared" si="68"/>
        <v>#NUM!</v>
      </c>
      <c r="W266" s="132">
        <f t="shared" si="69"/>
        <v>53.19503217627553</v>
      </c>
      <c r="X266" s="138">
        <f t="shared" si="70"/>
        <v>-87.68231746906525</v>
      </c>
      <c r="Y266" s="128" t="str">
        <f t="shared" si="71"/>
        <v>18.4741505325313-456.453134843742i</v>
      </c>
      <c r="Z266" s="128" t="e">
        <f t="shared" si="72"/>
        <v>#NUM!</v>
      </c>
      <c r="AA266" s="128" t="e">
        <f t="shared" si="76"/>
        <v>#NUM!</v>
      </c>
      <c r="AB266" s="128" t="e">
        <f t="shared" si="77"/>
        <v>#NUM!</v>
      </c>
      <c r="AC266" s="128" t="e">
        <f t="shared" si="78"/>
        <v>#NUM!</v>
      </c>
      <c r="AD266" s="128" t="e">
        <f t="shared" si="79"/>
        <v>#NUM!</v>
      </c>
      <c r="AE266" s="128" t="e">
        <f t="shared" si="80"/>
        <v>#NUM!</v>
      </c>
      <c r="AF266" s="130"/>
      <c r="AG266" s="130"/>
      <c r="AH266" s="130"/>
      <c r="AI266" s="130"/>
      <c r="AJ266" s="130"/>
      <c r="AK266" s="130"/>
      <c r="AL266" s="130"/>
      <c r="AM266" s="130"/>
      <c r="AN266" s="130"/>
      <c r="AO266" s="130"/>
      <c r="AP266" s="130"/>
      <c r="AQ266" s="130"/>
      <c r="AR266" s="130"/>
      <c r="AS266" s="130"/>
    </row>
    <row r="267" spans="1:45" s="166" customFormat="1" ht="12.75">
      <c r="A267" s="132" t="e">
        <f t="shared" si="73"/>
        <v>#DIV/0!</v>
      </c>
      <c r="B267" s="132">
        <f t="shared" si="74"/>
        <v>4.739999999999987</v>
      </c>
      <c r="C267" s="146">
        <f t="shared" si="54"/>
        <v>54954.087385760846</v>
      </c>
      <c r="D267" s="137" t="e">
        <f t="shared" si="55"/>
        <v>#DIV/0!</v>
      </c>
      <c r="E267" s="132" t="e">
        <f t="shared" si="56"/>
        <v>#DIV/0!</v>
      </c>
      <c r="G267" s="146"/>
      <c r="H267" s="184" t="str">
        <f t="shared" si="57"/>
        <v>1E+47-2.89614386596353E+50i</v>
      </c>
      <c r="I267" s="132" t="str">
        <f>IMSUM(IMDIV(1,COMPLEX(0,Q267*MLCC*10^-6)),MLCC_ESR*10^-3)</f>
        <v>1E+47-2.89614386596353E+50i</v>
      </c>
      <c r="J267" s="132" t="str">
        <f t="shared" si="58"/>
        <v>5E+46-1.44807193298176E+50i</v>
      </c>
      <c r="K267" s="132"/>
      <c r="L267" s="132" t="e">
        <f t="shared" si="59"/>
        <v>#DIV/0!</v>
      </c>
      <c r="M267" s="132" t="str">
        <f t="shared" si="60"/>
        <v>0</v>
      </c>
      <c r="N267" s="132" t="e">
        <f t="shared" si="61"/>
        <v>#DIV/0!</v>
      </c>
      <c r="O267" s="185" t="e">
        <f t="shared" si="62"/>
        <v>#DIV/0!</v>
      </c>
      <c r="P267" s="185" t="e">
        <f t="shared" si="63"/>
        <v>#DIV/0!</v>
      </c>
      <c r="Q267" s="132">
        <f t="shared" si="64"/>
        <v>345286.71443167556</v>
      </c>
      <c r="R267" s="132">
        <f t="shared" si="75"/>
        <v>4.739999999999987</v>
      </c>
      <c r="S267" s="164" t="e">
        <f t="shared" si="65"/>
        <v>#DIV/0!</v>
      </c>
      <c r="T267" s="132" t="e">
        <f t="shared" si="66"/>
        <v>#NUM!</v>
      </c>
      <c r="U267" s="138" t="e">
        <f t="shared" si="67"/>
        <v>#NUM!</v>
      </c>
      <c r="V267" s="132" t="e">
        <f t="shared" si="68"/>
        <v>#NUM!</v>
      </c>
      <c r="W267" s="132">
        <f t="shared" si="69"/>
        <v>52.79581820591435</v>
      </c>
      <c r="X267" s="138">
        <f t="shared" si="70"/>
        <v>-87.81418131111198</v>
      </c>
      <c r="Y267" s="128" t="str">
        <f t="shared" si="71"/>
        <v>16.6409096305709-435.988262022697i</v>
      </c>
      <c r="Z267" s="128" t="e">
        <f t="shared" si="72"/>
        <v>#NUM!</v>
      </c>
      <c r="AA267" s="128" t="e">
        <f t="shared" si="76"/>
        <v>#NUM!</v>
      </c>
      <c r="AB267" s="128" t="e">
        <f t="shared" si="77"/>
        <v>#NUM!</v>
      </c>
      <c r="AC267" s="128" t="e">
        <f t="shared" si="78"/>
        <v>#NUM!</v>
      </c>
      <c r="AD267" s="128" t="e">
        <f t="shared" si="79"/>
        <v>#NUM!</v>
      </c>
      <c r="AE267" s="128" t="e">
        <f t="shared" si="80"/>
        <v>#NUM!</v>
      </c>
      <c r="AF267" s="130"/>
      <c r="AG267" s="130"/>
      <c r="AH267" s="130"/>
      <c r="AI267" s="130"/>
      <c r="AJ267" s="130"/>
      <c r="AK267" s="130"/>
      <c r="AL267" s="130"/>
      <c r="AM267" s="130"/>
      <c r="AN267" s="130"/>
      <c r="AO267" s="130"/>
      <c r="AP267" s="130"/>
      <c r="AQ267" s="130"/>
      <c r="AR267" s="130"/>
      <c r="AS267" s="130"/>
    </row>
    <row r="268" spans="1:45" s="166" customFormat="1" ht="12.75">
      <c r="A268" s="132" t="e">
        <f t="shared" si="73"/>
        <v>#DIV/0!</v>
      </c>
      <c r="B268" s="132">
        <f t="shared" si="74"/>
        <v>4.759999999999987</v>
      </c>
      <c r="C268" s="146">
        <f t="shared" si="54"/>
        <v>57543.993733714</v>
      </c>
      <c r="D268" s="137" t="e">
        <f t="shared" si="55"/>
        <v>#DIV/0!</v>
      </c>
      <c r="E268" s="132" t="e">
        <f t="shared" si="56"/>
        <v>#DIV/0!</v>
      </c>
      <c r="G268" s="146"/>
      <c r="H268" s="184" t="str">
        <f t="shared" si="57"/>
        <v>1E+47-2.76579592004664E+50i</v>
      </c>
      <c r="I268" s="132" t="str">
        <f>IMSUM(IMDIV(1,COMPLEX(0,Q268*MLCC*10^-6)),MLCC_ESR*10^-3)</f>
        <v>1E+47-2.76579592004664E+50i</v>
      </c>
      <c r="J268" s="132" t="str">
        <f t="shared" si="58"/>
        <v>5E+46-1.38289796002332E+50i</v>
      </c>
      <c r="K268" s="132"/>
      <c r="L268" s="132" t="e">
        <f t="shared" si="59"/>
        <v>#DIV/0!</v>
      </c>
      <c r="M268" s="132" t="str">
        <f t="shared" si="60"/>
        <v>0</v>
      </c>
      <c r="N268" s="132" t="e">
        <f t="shared" si="61"/>
        <v>#DIV/0!</v>
      </c>
      <c r="O268" s="185" t="e">
        <f t="shared" si="62"/>
        <v>#DIV/0!</v>
      </c>
      <c r="P268" s="185" t="e">
        <f t="shared" si="63"/>
        <v>#DIV/0!</v>
      </c>
      <c r="Q268" s="132">
        <f t="shared" si="64"/>
        <v>361559.575944106</v>
      </c>
      <c r="R268" s="132">
        <f t="shared" si="75"/>
        <v>4.7599999999999865</v>
      </c>
      <c r="S268" s="164" t="e">
        <f t="shared" si="65"/>
        <v>#DIV/0!</v>
      </c>
      <c r="T268" s="132" t="e">
        <f t="shared" si="66"/>
        <v>#NUM!</v>
      </c>
      <c r="U268" s="138" t="e">
        <f t="shared" si="67"/>
        <v>#NUM!</v>
      </c>
      <c r="V268" s="132" t="e">
        <f t="shared" si="68"/>
        <v>#NUM!</v>
      </c>
      <c r="W268" s="132">
        <f t="shared" si="69"/>
        <v>52.396533072499395</v>
      </c>
      <c r="X268" s="138">
        <f t="shared" si="70"/>
        <v>-87.94143563053295</v>
      </c>
      <c r="Y268" s="128" t="str">
        <f t="shared" si="71"/>
        <v>14.9683880033838-416.434098948805i</v>
      </c>
      <c r="Z268" s="128" t="e">
        <f t="shared" si="72"/>
        <v>#NUM!</v>
      </c>
      <c r="AA268" s="128" t="e">
        <f t="shared" si="76"/>
        <v>#NUM!</v>
      </c>
      <c r="AB268" s="128" t="e">
        <f t="shared" si="77"/>
        <v>#NUM!</v>
      </c>
      <c r="AC268" s="128" t="e">
        <f t="shared" si="78"/>
        <v>#NUM!</v>
      </c>
      <c r="AD268" s="128" t="e">
        <f t="shared" si="79"/>
        <v>#NUM!</v>
      </c>
      <c r="AE268" s="128" t="e">
        <f t="shared" si="80"/>
        <v>#NUM!</v>
      </c>
      <c r="AF268" s="130"/>
      <c r="AG268" s="130"/>
      <c r="AH268" s="130"/>
      <c r="AI268" s="130"/>
      <c r="AJ268" s="130"/>
      <c r="AK268" s="130"/>
      <c r="AL268" s="130"/>
      <c r="AM268" s="130"/>
      <c r="AN268" s="130"/>
      <c r="AO268" s="130"/>
      <c r="AP268" s="130"/>
      <c r="AQ268" s="130"/>
      <c r="AR268" s="130"/>
      <c r="AS268" s="130"/>
    </row>
    <row r="269" spans="1:45" s="166" customFormat="1" ht="12.75">
      <c r="A269" s="132" t="e">
        <f t="shared" si="73"/>
        <v>#DIV/0!</v>
      </c>
      <c r="B269" s="132">
        <f t="shared" si="74"/>
        <v>4.779999999999986</v>
      </c>
      <c r="C269" s="146">
        <f t="shared" si="54"/>
        <v>60255.95860743388</v>
      </c>
      <c r="D269" s="137" t="e">
        <f t="shared" si="55"/>
        <v>#DIV/0!</v>
      </c>
      <c r="E269" s="132" t="e">
        <f t="shared" si="56"/>
        <v>#DIV/0!</v>
      </c>
      <c r="G269" s="146"/>
      <c r="H269" s="184" t="str">
        <f t="shared" si="57"/>
        <v>1E+47-2.64131459809288E+50i</v>
      </c>
      <c r="I269" s="132" t="str">
        <f>IMSUM(IMDIV(1,COMPLEX(0,Q269*MLCC*10^-6)),MLCC_ESR*10^-3)</f>
        <v>1E+47-2.64131459809288E+50i</v>
      </c>
      <c r="J269" s="132" t="str">
        <f t="shared" si="58"/>
        <v>5E+46-1.32065729904644E+50i</v>
      </c>
      <c r="K269" s="132"/>
      <c r="L269" s="132" t="e">
        <f t="shared" si="59"/>
        <v>#DIV/0!</v>
      </c>
      <c r="M269" s="132" t="str">
        <f t="shared" si="60"/>
        <v>0</v>
      </c>
      <c r="N269" s="132" t="e">
        <f t="shared" si="61"/>
        <v>#DIV/0!</v>
      </c>
      <c r="O269" s="185" t="e">
        <f t="shared" si="62"/>
        <v>#DIV/0!</v>
      </c>
      <c r="P269" s="185" t="e">
        <f t="shared" si="63"/>
        <v>#DIV/0!</v>
      </c>
      <c r="Q269" s="132">
        <f t="shared" si="64"/>
        <v>378599.35379224987</v>
      </c>
      <c r="R269" s="132">
        <f t="shared" si="75"/>
        <v>4.779999999999986</v>
      </c>
      <c r="S269" s="164" t="e">
        <f t="shared" si="65"/>
        <v>#DIV/0!</v>
      </c>
      <c r="T269" s="132" t="e">
        <f t="shared" si="66"/>
        <v>#NUM!</v>
      </c>
      <c r="U269" s="138" t="e">
        <f t="shared" si="67"/>
        <v>#NUM!</v>
      </c>
      <c r="V269" s="132" t="e">
        <f t="shared" si="68"/>
        <v>#NUM!</v>
      </c>
      <c r="W269" s="132">
        <f t="shared" si="69"/>
        <v>51.997182810792864</v>
      </c>
      <c r="X269" s="138">
        <f t="shared" si="70"/>
        <v>-88.06434687293608</v>
      </c>
      <c r="Y269" s="128" t="str">
        <f t="shared" si="71"/>
        <v>13.4425427575363-397.750979248892i</v>
      </c>
      <c r="Z269" s="128" t="e">
        <f t="shared" si="72"/>
        <v>#NUM!</v>
      </c>
      <c r="AA269" s="128" t="e">
        <f t="shared" si="76"/>
        <v>#NUM!</v>
      </c>
      <c r="AB269" s="128" t="e">
        <f t="shared" si="77"/>
        <v>#NUM!</v>
      </c>
      <c r="AC269" s="128" t="e">
        <f t="shared" si="78"/>
        <v>#NUM!</v>
      </c>
      <c r="AD269" s="128" t="e">
        <f t="shared" si="79"/>
        <v>#NUM!</v>
      </c>
      <c r="AE269" s="128" t="e">
        <f t="shared" si="80"/>
        <v>#NUM!</v>
      </c>
      <c r="AF269" s="130"/>
      <c r="AG269" s="130"/>
      <c r="AH269" s="130"/>
      <c r="AI269" s="130"/>
      <c r="AJ269" s="130"/>
      <c r="AK269" s="130"/>
      <c r="AL269" s="130"/>
      <c r="AM269" s="130"/>
      <c r="AN269" s="130"/>
      <c r="AO269" s="130"/>
      <c r="AP269" s="130"/>
      <c r="AQ269" s="130"/>
      <c r="AR269" s="130"/>
      <c r="AS269" s="130"/>
    </row>
    <row r="270" spans="1:45" s="166" customFormat="1" ht="12.75">
      <c r="A270" s="132" t="e">
        <f t="shared" si="73"/>
        <v>#DIV/0!</v>
      </c>
      <c r="B270" s="132">
        <f t="shared" si="74"/>
        <v>4.7999999999999865</v>
      </c>
      <c r="C270" s="146">
        <f t="shared" si="54"/>
        <v>63095.73444801733</v>
      </c>
      <c r="D270" s="137" t="e">
        <f t="shared" si="55"/>
        <v>#DIV/0!</v>
      </c>
      <c r="E270" s="132" t="e">
        <f t="shared" si="56"/>
        <v>#DIV/0!</v>
      </c>
      <c r="G270" s="146"/>
      <c r="H270" s="184" t="str">
        <f t="shared" si="57"/>
        <v>1E+47-2.52243585852889E+50i</v>
      </c>
      <c r="I270" s="132" t="str">
        <f>IMSUM(IMDIV(1,COMPLEX(0,Q270*MLCC*10^-6)),MLCC_ESR*10^-3)</f>
        <v>1E+47-2.52243585852889E+50i</v>
      </c>
      <c r="J270" s="132" t="str">
        <f t="shared" si="58"/>
        <v>5E+46-1.26121792926445E+50i</v>
      </c>
      <c r="K270" s="132"/>
      <c r="L270" s="132" t="e">
        <f t="shared" si="59"/>
        <v>#DIV/0!</v>
      </c>
      <c r="M270" s="132" t="str">
        <f t="shared" si="60"/>
        <v>0</v>
      </c>
      <c r="N270" s="132" t="e">
        <f t="shared" si="61"/>
        <v>#DIV/0!</v>
      </c>
      <c r="O270" s="185" t="e">
        <f t="shared" si="62"/>
        <v>#DIV/0!</v>
      </c>
      <c r="P270" s="185" t="e">
        <f t="shared" si="63"/>
        <v>#DIV/0!</v>
      </c>
      <c r="Q270" s="132">
        <f t="shared" si="64"/>
        <v>396442.1916294873</v>
      </c>
      <c r="R270" s="132">
        <f t="shared" si="75"/>
        <v>4.799999999999986</v>
      </c>
      <c r="S270" s="164" t="e">
        <f t="shared" si="65"/>
        <v>#DIV/0!</v>
      </c>
      <c r="T270" s="132" t="e">
        <f t="shared" si="66"/>
        <v>#NUM!</v>
      </c>
      <c r="U270" s="138" t="e">
        <f t="shared" si="67"/>
        <v>#NUM!</v>
      </c>
      <c r="V270" s="132" t="e">
        <f t="shared" si="68"/>
        <v>#NUM!</v>
      </c>
      <c r="W270" s="132">
        <f t="shared" si="69"/>
        <v>51.59777290835273</v>
      </c>
      <c r="X270" s="138">
        <f t="shared" si="70"/>
        <v>-88.18317271678283</v>
      </c>
      <c r="Y270" s="128" t="str">
        <f t="shared" si="71"/>
        <v>12.0505501130704-379.900851781089i</v>
      </c>
      <c r="Z270" s="128" t="e">
        <f t="shared" si="72"/>
        <v>#NUM!</v>
      </c>
      <c r="AA270" s="128" t="e">
        <f t="shared" si="76"/>
        <v>#NUM!</v>
      </c>
      <c r="AB270" s="128" t="e">
        <f t="shared" si="77"/>
        <v>#NUM!</v>
      </c>
      <c r="AC270" s="128" t="e">
        <f t="shared" si="78"/>
        <v>#NUM!</v>
      </c>
      <c r="AD270" s="128" t="e">
        <f t="shared" si="79"/>
        <v>#NUM!</v>
      </c>
      <c r="AE270" s="128" t="e">
        <f t="shared" si="80"/>
        <v>#NUM!</v>
      </c>
      <c r="AF270" s="130"/>
      <c r="AG270" s="130"/>
      <c r="AH270" s="130"/>
      <c r="AI270" s="130"/>
      <c r="AJ270" s="130"/>
      <c r="AK270" s="130"/>
      <c r="AL270" s="130"/>
      <c r="AM270" s="130"/>
      <c r="AN270" s="130"/>
      <c r="AO270" s="130"/>
      <c r="AP270" s="130"/>
      <c r="AQ270" s="130"/>
      <c r="AR270" s="130"/>
      <c r="AS270" s="130"/>
    </row>
    <row r="271" spans="1:45" s="166" customFormat="1" ht="12.75">
      <c r="A271" s="132" t="e">
        <f t="shared" si="73"/>
        <v>#DIV/0!</v>
      </c>
      <c r="B271" s="132">
        <f t="shared" si="74"/>
        <v>4.819999999999985</v>
      </c>
      <c r="C271" s="146">
        <f t="shared" si="54"/>
        <v>66069.34480075738</v>
      </c>
      <c r="D271" s="137" t="e">
        <f t="shared" si="55"/>
        <v>#DIV/0!</v>
      </c>
      <c r="E271" s="132" t="e">
        <f t="shared" si="56"/>
        <v>#DIV/0!</v>
      </c>
      <c r="G271" s="146"/>
      <c r="H271" s="184" t="str">
        <f t="shared" si="57"/>
        <v>1E+47-2.40890754360971E+50i</v>
      </c>
      <c r="I271" s="132" t="str">
        <f>IMSUM(IMDIV(1,COMPLEX(0,Q271*MLCC*10^-6)),MLCC_ESR*10^-3)</f>
        <v>1E+47-2.40890754360971E+50i</v>
      </c>
      <c r="J271" s="132" t="str">
        <f t="shared" si="58"/>
        <v>5E+46-1.20445377180486E+50i</v>
      </c>
      <c r="K271" s="132"/>
      <c r="L271" s="132" t="e">
        <f t="shared" si="59"/>
        <v>#DIV/0!</v>
      </c>
      <c r="M271" s="132" t="str">
        <f t="shared" si="60"/>
        <v>0</v>
      </c>
      <c r="N271" s="132" t="e">
        <f t="shared" si="61"/>
        <v>#DIV/0!</v>
      </c>
      <c r="O271" s="185" t="e">
        <f t="shared" si="62"/>
        <v>#DIV/0!</v>
      </c>
      <c r="P271" s="185" t="e">
        <f t="shared" si="63"/>
        <v>#DIV/0!</v>
      </c>
      <c r="Q271" s="132">
        <f t="shared" si="64"/>
        <v>415125.9365071007</v>
      </c>
      <c r="R271" s="132">
        <f t="shared" si="75"/>
        <v>4.819999999999985</v>
      </c>
      <c r="S271" s="164" t="e">
        <f t="shared" si="65"/>
        <v>#DIV/0!</v>
      </c>
      <c r="T271" s="132" t="e">
        <f t="shared" si="66"/>
        <v>#NUM!</v>
      </c>
      <c r="U271" s="138" t="e">
        <f t="shared" si="67"/>
        <v>#NUM!</v>
      </c>
      <c r="V271" s="132" t="e">
        <f t="shared" si="68"/>
        <v>#NUM!</v>
      </c>
      <c r="W271" s="132">
        <f t="shared" si="69"/>
        <v>51.198308351166666</v>
      </c>
      <c r="X271" s="138">
        <f t="shared" si="70"/>
        <v>-88.29816256249562</v>
      </c>
      <c r="Y271" s="128" t="str">
        <f t="shared" si="71"/>
        <v>10.7807009007469-362.847229647343i</v>
      </c>
      <c r="Z271" s="128" t="e">
        <f t="shared" si="72"/>
        <v>#NUM!</v>
      </c>
      <c r="AA271" s="128" t="e">
        <f t="shared" si="76"/>
        <v>#NUM!</v>
      </c>
      <c r="AB271" s="128" t="e">
        <f t="shared" si="77"/>
        <v>#NUM!</v>
      </c>
      <c r="AC271" s="128" t="e">
        <f t="shared" si="78"/>
        <v>#NUM!</v>
      </c>
      <c r="AD271" s="128" t="e">
        <f t="shared" si="79"/>
        <v>#NUM!</v>
      </c>
      <c r="AE271" s="128" t="e">
        <f t="shared" si="80"/>
        <v>#NUM!</v>
      </c>
      <c r="AF271" s="130"/>
      <c r="AG271" s="130"/>
      <c r="AH271" s="130"/>
      <c r="AI271" s="130"/>
      <c r="AJ271" s="130"/>
      <c r="AK271" s="130"/>
      <c r="AL271" s="130"/>
      <c r="AM271" s="130"/>
      <c r="AN271" s="130"/>
      <c r="AO271" s="130"/>
      <c r="AP271" s="130"/>
      <c r="AQ271" s="130"/>
      <c r="AR271" s="130"/>
      <c r="AS271" s="130"/>
    </row>
    <row r="272" spans="1:45" s="166" customFormat="1" ht="12.75">
      <c r="A272" s="132" t="e">
        <f t="shared" si="73"/>
        <v>#DIV/0!</v>
      </c>
      <c r="B272" s="132">
        <f t="shared" si="74"/>
        <v>4.839999999999986</v>
      </c>
      <c r="C272" s="146">
        <f aca="true" t="shared" si="81" ref="C272:C330">10^R272</f>
        <v>69183.09709189131</v>
      </c>
      <c r="D272" s="137" t="e">
        <f aca="true" t="shared" si="82" ref="D272:D330">S272+U272</f>
        <v>#DIV/0!</v>
      </c>
      <c r="E272" s="132" t="e">
        <f aca="true" t="shared" si="83" ref="E272:E330">P272+V272</f>
        <v>#DIV/0!</v>
      </c>
      <c r="G272" s="146"/>
      <c r="H272" s="184" t="str">
        <f aca="true" t="shared" si="84" ref="H272:H330">IMSUM(IMDIV(1,COMPLEX(0,Q272*COUT*10^-6)),ESR*10^-3)</f>
        <v>1E+47-2.30048884455838E+50i</v>
      </c>
      <c r="I272" s="132" t="str">
        <f>IMSUM(IMDIV(1,COMPLEX(0,Q272*MLCC*10^-6)),MLCC_ESR*10^-3)</f>
        <v>1E+47-2.30048884455838E+50i</v>
      </c>
      <c r="J272" s="132" t="str">
        <f aca="true" t="shared" si="85" ref="J272:J330">IMDIV(IMPRODUCT(H272,I272),IMSUM(H272,I272))</f>
        <v>5E+46-1.15024442227919E+50i</v>
      </c>
      <c r="K272" s="132"/>
      <c r="L272" s="132" t="e">
        <f aca="true" t="shared" si="86" ref="L272:L330">IMDIV(IMPRODUCT(J272,VOUT/IOUT_max),IMSUM(J272,VOUT/IOUT_max))</f>
        <v>#DIV/0!</v>
      </c>
      <c r="M272" s="132" t="str">
        <f aca="true" t="shared" si="87" ref="M272:M330">COMPLEX(DCR*10^-3,Q272*LOUT*10^-6)</f>
        <v>0</v>
      </c>
      <c r="N272" s="132" t="e">
        <f aca="true" t="shared" si="88" ref="N272:N330">IMDIV(L272,IMSUM(M272,L272))</f>
        <v>#DIV/0!</v>
      </c>
      <c r="O272" s="185" t="e">
        <f aca="true" t="shared" si="89" ref="O272:O330">20*LOG(IMABS(N272))</f>
        <v>#DIV/0!</v>
      </c>
      <c r="P272" s="185" t="e">
        <f aca="true" t="shared" si="90" ref="P272:P330">180/PI()*IMARGUMENT(N272)</f>
        <v>#DIV/0!</v>
      </c>
      <c r="Q272" s="132">
        <f aca="true" t="shared" si="91" ref="Q272:Q330">2*PI()*C272</f>
        <v>434690.2191529502</v>
      </c>
      <c r="R272" s="132">
        <f t="shared" si="75"/>
        <v>4.839999999999985</v>
      </c>
      <c r="S272" s="164" t="e">
        <f aca="true" t="shared" si="92" ref="S272:S330">20*LOG(IMABS(N272)*$F$62)</f>
        <v>#DIV/0!</v>
      </c>
      <c r="T272" s="132" t="e">
        <f aca="true" t="shared" si="93" ref="T272:T330">COMPLEX(1,Q272*(R_1+R_2)*C_1*10^-12)</f>
        <v>#NUM!</v>
      </c>
      <c r="U272" s="138" t="e">
        <f aca="true" t="shared" si="94" ref="U272:U330">20*LOG(IMABS(AE281))</f>
        <v>#NUM!</v>
      </c>
      <c r="V272" s="132" t="e">
        <f aca="true" t="shared" si="95" ref="V272:V330">IF(180/PI()*IMARGUMENT(AE281)&lt;0,180/PI()*IMARGUMENT(AE281)+360,180/PI()*IMARGUMENT(AE281))</f>
        <v>#NUM!</v>
      </c>
      <c r="W272" s="132">
        <f aca="true" t="shared" si="96" ref="W272:W330">20*LOG(IMABS(Y272))</f>
        <v>50.79879366518653</v>
      </c>
      <c r="X272" s="138">
        <f aca="true" t="shared" si="97" ref="X272:X330">180/PI()*IMARGUMENT(Y272)</f>
        <v>-88.40955801131152</v>
      </c>
      <c r="Y272" s="128" t="str">
        <f aca="true" t="shared" si="98" ref="Y272:Y330">IMDIV(10^(DCGAIN/20),IMPRODUCT(COMPLEX(1,2*PI()*C272/(2*PI()*(GBWP*10^6/10^(DCGAIN/20)))),COMPLEX(1,2*PI()*C272/(2*PI()*EAP*10^6))))</f>
        <v>9.6223047927683-346.5551387416i</v>
      </c>
      <c r="Z272" s="128" t="e">
        <f aca="true" t="shared" si="99" ref="Z272:Z330">IMDIV(1,COMPLEX(0,2*PI()*C272*C_3*10^-12))</f>
        <v>#NUM!</v>
      </c>
      <c r="AA272" s="128" t="e">
        <f t="shared" si="76"/>
        <v>#NUM!</v>
      </c>
      <c r="AB272" s="128" t="e">
        <f t="shared" si="77"/>
        <v>#NUM!</v>
      </c>
      <c r="AC272" s="128" t="e">
        <f t="shared" si="78"/>
        <v>#NUM!</v>
      </c>
      <c r="AD272" s="128" t="e">
        <f t="shared" si="79"/>
        <v>#NUM!</v>
      </c>
      <c r="AE272" s="128" t="e">
        <f t="shared" si="80"/>
        <v>#NUM!</v>
      </c>
      <c r="AF272" s="130"/>
      <c r="AG272" s="130"/>
      <c r="AH272" s="130"/>
      <c r="AI272" s="130"/>
      <c r="AJ272" s="130"/>
      <c r="AK272" s="130"/>
      <c r="AL272" s="130"/>
      <c r="AM272" s="130"/>
      <c r="AN272" s="130"/>
      <c r="AO272" s="130"/>
      <c r="AP272" s="130"/>
      <c r="AQ272" s="130"/>
      <c r="AR272" s="130"/>
      <c r="AS272" s="130"/>
    </row>
    <row r="273" spans="1:45" s="166" customFormat="1" ht="12.75">
      <c r="A273" s="132" t="e">
        <f aca="true" t="shared" si="100" ref="A273:A330">ROUND(ABS(D273),3)</f>
        <v>#DIV/0!</v>
      </c>
      <c r="B273" s="132">
        <f aca="true" t="shared" si="101" ref="B273:B330">LOG(C273)</f>
        <v>4.859999999999984</v>
      </c>
      <c r="C273" s="146">
        <f t="shared" si="81"/>
        <v>72443.59600749641</v>
      </c>
      <c r="D273" s="137" t="e">
        <f t="shared" si="82"/>
        <v>#DIV/0!</v>
      </c>
      <c r="E273" s="132" t="e">
        <f t="shared" si="83"/>
        <v>#DIV/0!</v>
      </c>
      <c r="G273" s="146"/>
      <c r="H273" s="184" t="str">
        <f t="shared" si="84"/>
        <v>1E+47-2.19694979077828E+50i</v>
      </c>
      <c r="I273" s="132" t="str">
        <f>IMSUM(IMDIV(1,COMPLEX(0,Q273*MLCC*10^-6)),MLCC_ESR*10^-3)</f>
        <v>1E+47-2.19694979077828E+50i</v>
      </c>
      <c r="J273" s="132" t="str">
        <f t="shared" si="85"/>
        <v>5E+46-1.09847489538914E+50i</v>
      </c>
      <c r="K273" s="132"/>
      <c r="L273" s="132" t="e">
        <f t="shared" si="86"/>
        <v>#DIV/0!</v>
      </c>
      <c r="M273" s="132" t="str">
        <f t="shared" si="87"/>
        <v>0</v>
      </c>
      <c r="N273" s="132" t="e">
        <f t="shared" si="88"/>
        <v>#DIV/0!</v>
      </c>
      <c r="O273" s="185" t="e">
        <f t="shared" si="89"/>
        <v>#DIV/0!</v>
      </c>
      <c r="P273" s="185" t="e">
        <f t="shared" si="90"/>
        <v>#DIV/0!</v>
      </c>
      <c r="Q273" s="132">
        <f t="shared" si="91"/>
        <v>455176.5380335552</v>
      </c>
      <c r="R273" s="132">
        <f aca="true" t="shared" si="102" ref="R273:R330">R272+0.02</f>
        <v>4.859999999999984</v>
      </c>
      <c r="S273" s="164" t="e">
        <f t="shared" si="92"/>
        <v>#DIV/0!</v>
      </c>
      <c r="T273" s="132" t="e">
        <f t="shared" si="93"/>
        <v>#NUM!</v>
      </c>
      <c r="U273" s="138" t="e">
        <f t="shared" si="94"/>
        <v>#NUM!</v>
      </c>
      <c r="V273" s="132" t="e">
        <f t="shared" si="95"/>
        <v>#NUM!</v>
      </c>
      <c r="W273" s="132">
        <f t="shared" si="96"/>
        <v>50.39923295409117</v>
      </c>
      <c r="X273" s="138">
        <f t="shared" si="97"/>
        <v>-88.51759333396048</v>
      </c>
      <c r="Y273" s="128" t="str">
        <f t="shared" si="98"/>
        <v>8.56560257539876-330.991066201782i</v>
      </c>
      <c r="Z273" s="128" t="e">
        <f t="shared" si="99"/>
        <v>#NUM!</v>
      </c>
      <c r="AA273" s="128" t="e">
        <f t="shared" si="76"/>
        <v>#NUM!</v>
      </c>
      <c r="AB273" s="128" t="e">
        <f t="shared" si="77"/>
        <v>#NUM!</v>
      </c>
      <c r="AC273" s="128" t="e">
        <f t="shared" si="78"/>
        <v>#NUM!</v>
      </c>
      <c r="AD273" s="128" t="e">
        <f t="shared" si="79"/>
        <v>#NUM!</v>
      </c>
      <c r="AE273" s="128" t="e">
        <f t="shared" si="80"/>
        <v>#NUM!</v>
      </c>
      <c r="AF273" s="130"/>
      <c r="AG273" s="130"/>
      <c r="AH273" s="130"/>
      <c r="AI273" s="130"/>
      <c r="AJ273" s="130"/>
      <c r="AK273" s="130"/>
      <c r="AL273" s="130"/>
      <c r="AM273" s="130"/>
      <c r="AN273" s="130"/>
      <c r="AO273" s="130"/>
      <c r="AP273" s="130"/>
      <c r="AQ273" s="130"/>
      <c r="AR273" s="130"/>
      <c r="AS273" s="130"/>
    </row>
    <row r="274" spans="1:45" s="166" customFormat="1" ht="12.75">
      <c r="A274" s="132" t="e">
        <f t="shared" si="100"/>
        <v>#DIV/0!</v>
      </c>
      <c r="B274" s="132">
        <f t="shared" si="101"/>
        <v>4.879999999999984</v>
      </c>
      <c r="C274" s="146">
        <f t="shared" si="81"/>
        <v>75857.75750291564</v>
      </c>
      <c r="D274" s="137" t="e">
        <f t="shared" si="82"/>
        <v>#DIV/0!</v>
      </c>
      <c r="E274" s="132" t="e">
        <f t="shared" si="83"/>
        <v>#DIV/0!</v>
      </c>
      <c r="G274" s="146"/>
      <c r="H274" s="184" t="str">
        <f t="shared" si="84"/>
        <v>1E+47-2.0980707620546E+50i</v>
      </c>
      <c r="I274" s="132" t="str">
        <f>IMSUM(IMDIV(1,COMPLEX(0,Q274*MLCC*10^-6)),MLCC_ESR*10^-3)</f>
        <v>1E+47-2.0980707620546E+50i</v>
      </c>
      <c r="J274" s="132" t="str">
        <f t="shared" si="85"/>
        <v>5E+46-1.0490353810273E+50i</v>
      </c>
      <c r="K274" s="132"/>
      <c r="L274" s="132" t="e">
        <f t="shared" si="86"/>
        <v>#DIV/0!</v>
      </c>
      <c r="M274" s="132" t="str">
        <f t="shared" si="87"/>
        <v>0</v>
      </c>
      <c r="N274" s="132" t="e">
        <f t="shared" si="88"/>
        <v>#DIV/0!</v>
      </c>
      <c r="O274" s="185" t="e">
        <f t="shared" si="89"/>
        <v>#DIV/0!</v>
      </c>
      <c r="P274" s="185" t="e">
        <f t="shared" si="90"/>
        <v>#DIV/0!</v>
      </c>
      <c r="Q274" s="132">
        <f t="shared" si="91"/>
        <v>476628.34737791156</v>
      </c>
      <c r="R274" s="132">
        <f t="shared" si="102"/>
        <v>4.879999999999984</v>
      </c>
      <c r="S274" s="164" t="e">
        <f t="shared" si="92"/>
        <v>#DIV/0!</v>
      </c>
      <c r="T274" s="132" t="e">
        <f t="shared" si="93"/>
        <v>#NUM!</v>
      </c>
      <c r="U274" s="138" t="e">
        <f t="shared" si="94"/>
        <v>#NUM!</v>
      </c>
      <c r="V274" s="132" t="e">
        <f t="shared" si="95"/>
        <v>#NUM!</v>
      </c>
      <c r="W274" s="132">
        <f t="shared" si="96"/>
        <v>49.99962993357479</v>
      </c>
      <c r="X274" s="138">
        <f t="shared" si="97"/>
        <v>-88.62249592934243</v>
      </c>
      <c r="Y274" s="128" t="str">
        <f t="shared" si="98"/>
        <v>7.60168582001011-316.122909073967i</v>
      </c>
      <c r="Z274" s="128" t="e">
        <f t="shared" si="99"/>
        <v>#NUM!</v>
      </c>
      <c r="AA274" s="128" t="e">
        <f t="shared" si="76"/>
        <v>#NUM!</v>
      </c>
      <c r="AB274" s="128" t="e">
        <f t="shared" si="77"/>
        <v>#NUM!</v>
      </c>
      <c r="AC274" s="128" t="e">
        <f t="shared" si="78"/>
        <v>#NUM!</v>
      </c>
      <c r="AD274" s="128" t="e">
        <f t="shared" si="79"/>
        <v>#NUM!</v>
      </c>
      <c r="AE274" s="128" t="e">
        <f t="shared" si="80"/>
        <v>#NUM!</v>
      </c>
      <c r="AF274" s="130"/>
      <c r="AG274" s="130"/>
      <c r="AH274" s="130"/>
      <c r="AI274" s="130"/>
      <c r="AJ274" s="130"/>
      <c r="AK274" s="130"/>
      <c r="AL274" s="130"/>
      <c r="AM274" s="130"/>
      <c r="AN274" s="130"/>
      <c r="AO274" s="130"/>
      <c r="AP274" s="130"/>
      <c r="AQ274" s="130"/>
      <c r="AR274" s="130"/>
      <c r="AS274" s="130"/>
    </row>
    <row r="275" spans="1:45" s="166" customFormat="1" ht="12.75">
      <c r="A275" s="132" t="e">
        <f t="shared" si="100"/>
        <v>#DIV/0!</v>
      </c>
      <c r="B275" s="132">
        <f t="shared" si="101"/>
        <v>4.899999999999984</v>
      </c>
      <c r="C275" s="146">
        <f t="shared" si="81"/>
        <v>79432.82347242528</v>
      </c>
      <c r="D275" s="137" t="e">
        <f t="shared" si="82"/>
        <v>#DIV/0!</v>
      </c>
      <c r="E275" s="132" t="e">
        <f t="shared" si="83"/>
        <v>#DIV/0!</v>
      </c>
      <c r="G275" s="146"/>
      <c r="H275" s="184" t="str">
        <f t="shared" si="84"/>
        <v>1E+47-2.00364202271049E+50i</v>
      </c>
      <c r="I275" s="132" t="str">
        <f>IMSUM(IMDIV(1,COMPLEX(0,Q275*MLCC*10^-6)),MLCC_ESR*10^-3)</f>
        <v>1E+47-2.00364202271049E+50i</v>
      </c>
      <c r="J275" s="132" t="str">
        <f t="shared" si="85"/>
        <v>5E+46-1.00182101135524E+50i</v>
      </c>
      <c r="K275" s="132"/>
      <c r="L275" s="132" t="e">
        <f t="shared" si="86"/>
        <v>#DIV/0!</v>
      </c>
      <c r="M275" s="132" t="str">
        <f t="shared" si="87"/>
        <v>0</v>
      </c>
      <c r="N275" s="132" t="e">
        <f t="shared" si="88"/>
        <v>#DIV/0!</v>
      </c>
      <c r="O275" s="185" t="e">
        <f t="shared" si="89"/>
        <v>#DIV/0!</v>
      </c>
      <c r="P275" s="185" t="e">
        <f t="shared" si="90"/>
        <v>#DIV/0!</v>
      </c>
      <c r="Q275" s="132">
        <f t="shared" si="91"/>
        <v>499091.1493497323</v>
      </c>
      <c r="R275" s="132">
        <f t="shared" si="102"/>
        <v>4.8999999999999835</v>
      </c>
      <c r="S275" s="164" t="e">
        <f t="shared" si="92"/>
        <v>#DIV/0!</v>
      </c>
      <c r="T275" s="132" t="e">
        <f t="shared" si="93"/>
        <v>#NUM!</v>
      </c>
      <c r="U275" s="138" t="e">
        <f t="shared" si="94"/>
        <v>#NUM!</v>
      </c>
      <c r="V275" s="132" t="e">
        <f t="shared" si="95"/>
        <v>#NUM!</v>
      </c>
      <c r="W275" s="132">
        <f t="shared" si="96"/>
        <v>49.59998796243376</v>
      </c>
      <c r="X275" s="138">
        <f t="shared" si="97"/>
        <v>-88.7244867734587</v>
      </c>
      <c r="Y275" s="128" t="str">
        <f t="shared" si="98"/>
        <v>6.72242335507116-301.919923445579i</v>
      </c>
      <c r="Z275" s="128" t="e">
        <f t="shared" si="99"/>
        <v>#NUM!</v>
      </c>
      <c r="AA275" s="128" t="e">
        <f t="shared" si="76"/>
        <v>#NUM!</v>
      </c>
      <c r="AB275" s="128" t="e">
        <f t="shared" si="77"/>
        <v>#NUM!</v>
      </c>
      <c r="AC275" s="128" t="e">
        <f t="shared" si="78"/>
        <v>#NUM!</v>
      </c>
      <c r="AD275" s="128" t="e">
        <f t="shared" si="79"/>
        <v>#NUM!</v>
      </c>
      <c r="AE275" s="128" t="e">
        <f t="shared" si="80"/>
        <v>#NUM!</v>
      </c>
      <c r="AF275" s="130"/>
      <c r="AG275" s="130"/>
      <c r="AH275" s="130"/>
      <c r="AI275" s="130"/>
      <c r="AJ275" s="130"/>
      <c r="AK275" s="130"/>
      <c r="AL275" s="130"/>
      <c r="AM275" s="130"/>
      <c r="AN275" s="130"/>
      <c r="AO275" s="130"/>
      <c r="AP275" s="130"/>
      <c r="AQ275" s="130"/>
      <c r="AR275" s="130"/>
      <c r="AS275" s="130"/>
    </row>
    <row r="276" spans="1:45" s="166" customFormat="1" ht="12.75">
      <c r="A276" s="132" t="e">
        <f t="shared" si="100"/>
        <v>#DIV/0!</v>
      </c>
      <c r="B276" s="132">
        <f t="shared" si="101"/>
        <v>4.919999999999983</v>
      </c>
      <c r="C276" s="146">
        <f t="shared" si="81"/>
        <v>83176.37711026393</v>
      </c>
      <c r="D276" s="137" t="e">
        <f t="shared" si="82"/>
        <v>#DIV/0!</v>
      </c>
      <c r="E276" s="132" t="e">
        <f t="shared" si="83"/>
        <v>#DIV/0!</v>
      </c>
      <c r="G276" s="146"/>
      <c r="H276" s="184" t="str">
        <f t="shared" si="84"/>
        <v>1E+47-1.91346327672951E+50i</v>
      </c>
      <c r="I276" s="132" t="str">
        <f>IMSUM(IMDIV(1,COMPLEX(0,Q276*MLCC*10^-6)),MLCC_ESR*10^-3)</f>
        <v>1E+47-1.91346327672951E+50i</v>
      </c>
      <c r="J276" s="132" t="str">
        <f t="shared" si="85"/>
        <v>5E+46-9.56731638364754E+49i</v>
      </c>
      <c r="K276" s="132"/>
      <c r="L276" s="132" t="e">
        <f t="shared" si="86"/>
        <v>#DIV/0!</v>
      </c>
      <c r="M276" s="132" t="str">
        <f t="shared" si="87"/>
        <v>0</v>
      </c>
      <c r="N276" s="132" t="e">
        <f t="shared" si="88"/>
        <v>#DIV/0!</v>
      </c>
      <c r="O276" s="185" t="e">
        <f t="shared" si="89"/>
        <v>#DIV/0!</v>
      </c>
      <c r="P276" s="185" t="e">
        <f t="shared" si="90"/>
        <v>#DIV/0!</v>
      </c>
      <c r="Q276" s="132">
        <f t="shared" si="91"/>
        <v>522612.5905636388</v>
      </c>
      <c r="R276" s="132">
        <f t="shared" si="102"/>
        <v>4.919999999999983</v>
      </c>
      <c r="S276" s="164" t="e">
        <f t="shared" si="92"/>
        <v>#DIV/0!</v>
      </c>
      <c r="T276" s="132" t="e">
        <f t="shared" si="93"/>
        <v>#NUM!</v>
      </c>
      <c r="U276" s="138" t="e">
        <f t="shared" si="94"/>
        <v>#NUM!</v>
      </c>
      <c r="V276" s="132" t="e">
        <f t="shared" si="95"/>
        <v>#NUM!</v>
      </c>
      <c r="W276" s="132">
        <f t="shared" si="96"/>
        <v>49.20031007070064</v>
      </c>
      <c r="X276" s="138">
        <f t="shared" si="97"/>
        <v>-88.82378085892213</v>
      </c>
      <c r="Y276" s="128" t="str">
        <f t="shared" si="98"/>
        <v>5.92039398528589-288.352674259586i</v>
      </c>
      <c r="Z276" s="128" t="e">
        <f t="shared" si="99"/>
        <v>#NUM!</v>
      </c>
      <c r="AA276" s="128" t="e">
        <f t="shared" si="76"/>
        <v>#NUM!</v>
      </c>
      <c r="AB276" s="128" t="e">
        <f t="shared" si="77"/>
        <v>#NUM!</v>
      </c>
      <c r="AC276" s="128" t="e">
        <f t="shared" si="78"/>
        <v>#NUM!</v>
      </c>
      <c r="AD276" s="128" t="e">
        <f t="shared" si="79"/>
        <v>#NUM!</v>
      </c>
      <c r="AE276" s="128" t="e">
        <f t="shared" si="80"/>
        <v>#NUM!</v>
      </c>
      <c r="AF276" s="130"/>
      <c r="AG276" s="130"/>
      <c r="AH276" s="130"/>
      <c r="AI276" s="130"/>
      <c r="AJ276" s="130"/>
      <c r="AK276" s="130"/>
      <c r="AL276" s="130"/>
      <c r="AM276" s="130"/>
      <c r="AN276" s="130"/>
      <c r="AO276" s="130"/>
      <c r="AP276" s="130"/>
      <c r="AQ276" s="130"/>
      <c r="AR276" s="130"/>
      <c r="AS276" s="130"/>
    </row>
    <row r="277" spans="1:45" s="166" customFormat="1" ht="12.75">
      <c r="A277" s="132" t="e">
        <f t="shared" si="100"/>
        <v>#DIV/0!</v>
      </c>
      <c r="B277" s="132">
        <f t="shared" si="101"/>
        <v>4.9399999999999835</v>
      </c>
      <c r="C277" s="146">
        <f t="shared" si="81"/>
        <v>87096.35899560472</v>
      </c>
      <c r="D277" s="137" t="e">
        <f t="shared" si="82"/>
        <v>#DIV/0!</v>
      </c>
      <c r="E277" s="132" t="e">
        <f t="shared" si="83"/>
        <v>#DIV/0!</v>
      </c>
      <c r="G277" s="146"/>
      <c r="H277" s="184" t="str">
        <f t="shared" si="84"/>
        <v>1E+47-1.82734324290097E+50i</v>
      </c>
      <c r="I277" s="132" t="str">
        <f>IMSUM(IMDIV(1,COMPLEX(0,Q277*MLCC*10^-6)),MLCC_ESR*10^-3)</f>
        <v>1E+47-1.82734324290097E+50i</v>
      </c>
      <c r="J277" s="132" t="str">
        <f t="shared" si="85"/>
        <v>5E+46-9.13671621450484E+49i</v>
      </c>
      <c r="K277" s="132"/>
      <c r="L277" s="132" t="e">
        <f t="shared" si="86"/>
        <v>#DIV/0!</v>
      </c>
      <c r="M277" s="132" t="str">
        <f t="shared" si="87"/>
        <v>0</v>
      </c>
      <c r="N277" s="132" t="e">
        <f t="shared" si="88"/>
        <v>#DIV/0!</v>
      </c>
      <c r="O277" s="185" t="e">
        <f t="shared" si="89"/>
        <v>#DIV/0!</v>
      </c>
      <c r="P277" s="185" t="e">
        <f t="shared" si="90"/>
        <v>#DIV/0!</v>
      </c>
      <c r="Q277" s="132">
        <f t="shared" si="91"/>
        <v>547242.5631500222</v>
      </c>
      <c r="R277" s="132">
        <f t="shared" si="102"/>
        <v>4.939999999999983</v>
      </c>
      <c r="S277" s="164" t="e">
        <f t="shared" si="92"/>
        <v>#DIV/0!</v>
      </c>
      <c r="T277" s="132" t="e">
        <f t="shared" si="93"/>
        <v>#NUM!</v>
      </c>
      <c r="U277" s="138" t="e">
        <f t="shared" si="94"/>
        <v>#NUM!</v>
      </c>
      <c r="V277" s="132" t="e">
        <f t="shared" si="95"/>
        <v>#NUM!</v>
      </c>
      <c r="W277" s="132">
        <f t="shared" si="96"/>
        <v>48.800598985051266</v>
      </c>
      <c r="X277" s="138">
        <f t="shared" si="97"/>
        <v>-88.9205876254286</v>
      </c>
      <c r="Y277" s="128" t="str">
        <f t="shared" si="98"/>
        <v>5.18882494539783-275.39298598299i</v>
      </c>
      <c r="Z277" s="128" t="e">
        <f t="shared" si="99"/>
        <v>#NUM!</v>
      </c>
      <c r="AA277" s="128" t="e">
        <f t="shared" si="76"/>
        <v>#NUM!</v>
      </c>
      <c r="AB277" s="128" t="e">
        <f t="shared" si="77"/>
        <v>#NUM!</v>
      </c>
      <c r="AC277" s="128" t="e">
        <f t="shared" si="78"/>
        <v>#NUM!</v>
      </c>
      <c r="AD277" s="128" t="e">
        <f t="shared" si="79"/>
        <v>#NUM!</v>
      </c>
      <c r="AE277" s="128" t="e">
        <f t="shared" si="80"/>
        <v>#NUM!</v>
      </c>
      <c r="AF277" s="130"/>
      <c r="AG277" s="130"/>
      <c r="AH277" s="130"/>
      <c r="AI277" s="130"/>
      <c r="AJ277" s="130"/>
      <c r="AK277" s="130"/>
      <c r="AL277" s="130"/>
      <c r="AM277" s="130"/>
      <c r="AN277" s="130"/>
      <c r="AO277" s="130"/>
      <c r="AP277" s="130"/>
      <c r="AQ277" s="130"/>
      <c r="AR277" s="130"/>
      <c r="AS277" s="130"/>
    </row>
    <row r="278" spans="1:45" s="166" customFormat="1" ht="12.75">
      <c r="A278" s="132" t="e">
        <f t="shared" si="100"/>
        <v>#DIV/0!</v>
      </c>
      <c r="B278" s="132">
        <f t="shared" si="101"/>
        <v>4.959999999999982</v>
      </c>
      <c r="C278" s="146">
        <f t="shared" si="81"/>
        <v>91201.0839355873</v>
      </c>
      <c r="D278" s="137" t="e">
        <f t="shared" si="82"/>
        <v>#DIV/0!</v>
      </c>
      <c r="E278" s="132" t="e">
        <f t="shared" si="83"/>
        <v>#DIV/0!</v>
      </c>
      <c r="G278" s="146"/>
      <c r="H278" s="184" t="str">
        <f t="shared" si="84"/>
        <v>1E+47-1.7450992490868E+50i</v>
      </c>
      <c r="I278" s="132" t="str">
        <f>IMSUM(IMDIV(1,COMPLEX(0,Q278*MLCC*10^-6)),MLCC_ESR*10^-3)</f>
        <v>1E+47-1.7450992490868E+50i</v>
      </c>
      <c r="J278" s="132" t="str">
        <f t="shared" si="85"/>
        <v>5E+46-8.72549624543399E+49i</v>
      </c>
      <c r="K278" s="132"/>
      <c r="L278" s="132" t="e">
        <f t="shared" si="86"/>
        <v>#DIV/0!</v>
      </c>
      <c r="M278" s="132" t="str">
        <f t="shared" si="87"/>
        <v>0</v>
      </c>
      <c r="N278" s="132" t="e">
        <f t="shared" si="88"/>
        <v>#DIV/0!</v>
      </c>
      <c r="O278" s="185" t="e">
        <f t="shared" si="89"/>
        <v>#DIV/0!</v>
      </c>
      <c r="P278" s="185" t="e">
        <f t="shared" si="90"/>
        <v>#DIV/0!</v>
      </c>
      <c r="Q278" s="132">
        <f t="shared" si="91"/>
        <v>573033.3105829343</v>
      </c>
      <c r="R278" s="132">
        <f t="shared" si="102"/>
        <v>4.959999999999982</v>
      </c>
      <c r="S278" s="164" t="e">
        <f t="shared" si="92"/>
        <v>#DIV/0!</v>
      </c>
      <c r="T278" s="132" t="e">
        <f t="shared" si="93"/>
        <v>#NUM!</v>
      </c>
      <c r="U278" s="138" t="e">
        <f t="shared" si="94"/>
        <v>#NUM!</v>
      </c>
      <c r="V278" s="132" t="e">
        <f t="shared" si="95"/>
        <v>#NUM!</v>
      </c>
      <c r="W278" s="132">
        <f t="shared" si="96"/>
        <v>48.40085715169004</v>
      </c>
      <c r="X278" s="138">
        <f t="shared" si="97"/>
        <v>-89.01511138162081</v>
      </c>
      <c r="Y278" s="128" t="str">
        <f t="shared" si="98"/>
        <v>4.52153561508408-263.013894269505i</v>
      </c>
      <c r="Z278" s="128" t="e">
        <f t="shared" si="99"/>
        <v>#NUM!</v>
      </c>
      <c r="AA278" s="128" t="e">
        <f t="shared" si="76"/>
        <v>#NUM!</v>
      </c>
      <c r="AB278" s="128" t="e">
        <f t="shared" si="77"/>
        <v>#NUM!</v>
      </c>
      <c r="AC278" s="128" t="e">
        <f t="shared" si="78"/>
        <v>#NUM!</v>
      </c>
      <c r="AD278" s="128" t="e">
        <f t="shared" si="79"/>
        <v>#NUM!</v>
      </c>
      <c r="AE278" s="128" t="e">
        <f t="shared" si="80"/>
        <v>#NUM!</v>
      </c>
      <c r="AF278" s="130"/>
      <c r="AG278" s="130"/>
      <c r="AH278" s="130"/>
      <c r="AI278" s="130"/>
      <c r="AJ278" s="130"/>
      <c r="AK278" s="130"/>
      <c r="AL278" s="130"/>
      <c r="AM278" s="130"/>
      <c r="AN278" s="130"/>
      <c r="AO278" s="130"/>
      <c r="AP278" s="130"/>
      <c r="AQ278" s="130"/>
      <c r="AR278" s="130"/>
      <c r="AS278" s="130"/>
    </row>
    <row r="279" spans="1:45" s="166" customFormat="1" ht="12.75">
      <c r="A279" s="132" t="e">
        <f t="shared" si="100"/>
        <v>#DIV/0!</v>
      </c>
      <c r="B279" s="132">
        <f t="shared" si="101"/>
        <v>4.979999999999983</v>
      </c>
      <c r="C279" s="146">
        <f t="shared" si="81"/>
        <v>95499.25860213973</v>
      </c>
      <c r="D279" s="137" t="e">
        <f t="shared" si="82"/>
        <v>#DIV/0!</v>
      </c>
      <c r="E279" s="132" t="e">
        <f t="shared" si="83"/>
        <v>#DIV/0!</v>
      </c>
      <c r="G279" s="146"/>
      <c r="H279" s="184" t="str">
        <f t="shared" si="84"/>
        <v>1E+47-1.66655684474947E+50i</v>
      </c>
      <c r="I279" s="132" t="str">
        <f>IMSUM(IMDIV(1,COMPLEX(0,Q279*MLCC*10^-6)),MLCC_ESR*10^-3)</f>
        <v>1E+47-1.66655684474947E+50i</v>
      </c>
      <c r="J279" s="132" t="str">
        <f t="shared" si="85"/>
        <v>5E+46-8.33278422374735E+49i</v>
      </c>
      <c r="K279" s="132"/>
      <c r="L279" s="132" t="e">
        <f t="shared" si="86"/>
        <v>#DIV/0!</v>
      </c>
      <c r="M279" s="132" t="str">
        <f t="shared" si="87"/>
        <v>0</v>
      </c>
      <c r="N279" s="132" t="e">
        <f t="shared" si="88"/>
        <v>#DIV/0!</v>
      </c>
      <c r="O279" s="185" t="e">
        <f t="shared" si="89"/>
        <v>#DIV/0!</v>
      </c>
      <c r="P279" s="185" t="e">
        <f t="shared" si="90"/>
        <v>#DIV/0!</v>
      </c>
      <c r="Q279" s="132">
        <f t="shared" si="91"/>
        <v>600039.538495508</v>
      </c>
      <c r="R279" s="132">
        <f t="shared" si="102"/>
        <v>4.979999999999982</v>
      </c>
      <c r="S279" s="164" t="e">
        <f t="shared" si="92"/>
        <v>#DIV/0!</v>
      </c>
      <c r="T279" s="132" t="e">
        <f t="shared" si="93"/>
        <v>#NUM!</v>
      </c>
      <c r="U279" s="138" t="e">
        <f t="shared" si="94"/>
        <v>#NUM!</v>
      </c>
      <c r="V279" s="132" t="e">
        <f t="shared" si="95"/>
        <v>#NUM!</v>
      </c>
      <c r="W279" s="132">
        <f t="shared" si="96"/>
        <v>48.00108675689828</v>
      </c>
      <c r="X279" s="138">
        <f t="shared" si="97"/>
        <v>-89.10755171881756</v>
      </c>
      <c r="Y279" s="128" t="str">
        <f t="shared" si="98"/>
        <v>3.91288605786729-251.189598727569i</v>
      </c>
      <c r="Z279" s="128" t="e">
        <f t="shared" si="99"/>
        <v>#NUM!</v>
      </c>
      <c r="AA279" s="128" t="e">
        <f t="shared" si="76"/>
        <v>#NUM!</v>
      </c>
      <c r="AB279" s="128" t="e">
        <f t="shared" si="77"/>
        <v>#NUM!</v>
      </c>
      <c r="AC279" s="128" t="e">
        <f t="shared" si="78"/>
        <v>#NUM!</v>
      </c>
      <c r="AD279" s="128" t="e">
        <f t="shared" si="79"/>
        <v>#NUM!</v>
      </c>
      <c r="AE279" s="128" t="e">
        <f t="shared" si="80"/>
        <v>#NUM!</v>
      </c>
      <c r="AF279" s="130"/>
      <c r="AG279" s="130"/>
      <c r="AH279" s="130"/>
      <c r="AI279" s="130"/>
      <c r="AJ279" s="130"/>
      <c r="AK279" s="130"/>
      <c r="AL279" s="130"/>
      <c r="AM279" s="130"/>
      <c r="AN279" s="130"/>
      <c r="AO279" s="130"/>
      <c r="AP279" s="130"/>
      <c r="AQ279" s="130"/>
      <c r="AR279" s="130"/>
      <c r="AS279" s="130"/>
    </row>
    <row r="280" spans="1:45" s="166" customFormat="1" ht="12.75">
      <c r="A280" s="132" t="e">
        <f t="shared" si="100"/>
        <v>#DIV/0!</v>
      </c>
      <c r="B280" s="132">
        <f t="shared" si="101"/>
        <v>4.999999999999981</v>
      </c>
      <c r="C280" s="132">
        <f t="shared" si="81"/>
        <v>99999.99999999575</v>
      </c>
      <c r="D280" s="137" t="e">
        <f t="shared" si="82"/>
        <v>#DIV/0!</v>
      </c>
      <c r="E280" s="132" t="e">
        <f t="shared" si="83"/>
        <v>#DIV/0!</v>
      </c>
      <c r="G280" s="132"/>
      <c r="H280" s="184" t="str">
        <f t="shared" si="84"/>
        <v>1E+47-1.59154943091902E+50i</v>
      </c>
      <c r="I280" s="132" t="str">
        <f>IMSUM(IMDIV(1,COMPLEX(0,Q280*MLCC*10^-6)),MLCC_ESR*10^-3)</f>
        <v>1E+47-1.59154943091902E+50i</v>
      </c>
      <c r="J280" s="132" t="str">
        <f t="shared" si="85"/>
        <v>4.99999999999999E+46-7.95774715459511E+49i</v>
      </c>
      <c r="K280" s="132"/>
      <c r="L280" s="132" t="e">
        <f t="shared" si="86"/>
        <v>#DIV/0!</v>
      </c>
      <c r="M280" s="132" t="str">
        <f t="shared" si="87"/>
        <v>0</v>
      </c>
      <c r="N280" s="132" t="e">
        <f t="shared" si="88"/>
        <v>#DIV/0!</v>
      </c>
      <c r="O280" s="185" t="e">
        <f t="shared" si="89"/>
        <v>#DIV/0!</v>
      </c>
      <c r="P280" s="185" t="e">
        <f t="shared" si="90"/>
        <v>#DIV/0!</v>
      </c>
      <c r="Q280" s="132">
        <f t="shared" si="91"/>
        <v>628318.5307179319</v>
      </c>
      <c r="R280" s="132">
        <f t="shared" si="102"/>
        <v>4.999999999999981</v>
      </c>
      <c r="S280" s="164" t="e">
        <f t="shared" si="92"/>
        <v>#DIV/0!</v>
      </c>
      <c r="T280" s="132" t="e">
        <f t="shared" si="93"/>
        <v>#NUM!</v>
      </c>
      <c r="U280" s="138" t="e">
        <f t="shared" si="94"/>
        <v>#NUM!</v>
      </c>
      <c r="V280" s="132" t="e">
        <f t="shared" si="95"/>
        <v>#NUM!</v>
      </c>
      <c r="W280" s="132">
        <f t="shared" si="96"/>
        <v>47.60128974541399</v>
      </c>
      <c r="X280" s="138">
        <f t="shared" si="97"/>
        <v>-89.198103917114</v>
      </c>
      <c r="Y280" s="128" t="str">
        <f t="shared" si="98"/>
        <v>3.35772998112799-239.895416880223i</v>
      </c>
      <c r="Z280" s="128" t="e">
        <f t="shared" si="99"/>
        <v>#NUM!</v>
      </c>
      <c r="AA280" s="128" t="e">
        <f t="shared" si="76"/>
        <v>#NUM!</v>
      </c>
      <c r="AB280" s="128" t="e">
        <f t="shared" si="77"/>
        <v>#NUM!</v>
      </c>
      <c r="AC280" s="128" t="e">
        <f t="shared" si="78"/>
        <v>#NUM!</v>
      </c>
      <c r="AD280" s="128" t="e">
        <f t="shared" si="79"/>
        <v>#NUM!</v>
      </c>
      <c r="AE280" s="128" t="e">
        <f t="shared" si="80"/>
        <v>#NUM!</v>
      </c>
      <c r="AF280" s="130"/>
      <c r="AG280" s="130"/>
      <c r="AH280" s="130"/>
      <c r="AI280" s="130"/>
      <c r="AJ280" s="130"/>
      <c r="AK280" s="130"/>
      <c r="AL280" s="130"/>
      <c r="AM280" s="130"/>
      <c r="AN280" s="130"/>
      <c r="AO280" s="130"/>
      <c r="AP280" s="130"/>
      <c r="AQ280" s="130"/>
      <c r="AR280" s="130"/>
      <c r="AS280" s="130"/>
    </row>
    <row r="281" spans="1:45" s="166" customFormat="1" ht="12.75">
      <c r="A281" s="132" t="e">
        <f t="shared" si="100"/>
        <v>#DIV/0!</v>
      </c>
      <c r="B281" s="132">
        <f t="shared" si="101"/>
        <v>5.019999999999982</v>
      </c>
      <c r="C281" s="146">
        <f t="shared" si="81"/>
        <v>104712.85480508549</v>
      </c>
      <c r="D281" s="137" t="e">
        <f t="shared" si="82"/>
        <v>#DIV/0!</v>
      </c>
      <c r="E281" s="132" t="e">
        <f t="shared" si="83"/>
        <v>#DIV/0!</v>
      </c>
      <c r="G281" s="146"/>
      <c r="H281" s="184" t="str">
        <f t="shared" si="84"/>
        <v>1E+47-1.5199179068143E+50i</v>
      </c>
      <c r="I281" s="132" t="str">
        <f>IMSUM(IMDIV(1,COMPLEX(0,Q281*MLCC*10^-6)),MLCC_ESR*10^-3)</f>
        <v>1E+47-1.5199179068143E+50i</v>
      </c>
      <c r="J281" s="132" t="str">
        <f t="shared" si="85"/>
        <v>5.00000000000001E+46-7.59958953407149E+49i</v>
      </c>
      <c r="K281" s="132"/>
      <c r="L281" s="132" t="e">
        <f t="shared" si="86"/>
        <v>#DIV/0!</v>
      </c>
      <c r="M281" s="132" t="str">
        <f t="shared" si="87"/>
        <v>0</v>
      </c>
      <c r="N281" s="132" t="e">
        <f t="shared" si="88"/>
        <v>#DIV/0!</v>
      </c>
      <c r="O281" s="185" t="e">
        <f t="shared" si="89"/>
        <v>#DIV/0!</v>
      </c>
      <c r="P281" s="185" t="e">
        <f t="shared" si="90"/>
        <v>#DIV/0!</v>
      </c>
      <c r="Q281" s="132">
        <f t="shared" si="91"/>
        <v>657930.2707841424</v>
      </c>
      <c r="R281" s="132">
        <f t="shared" si="102"/>
        <v>5.019999999999981</v>
      </c>
      <c r="S281" s="164" t="e">
        <f t="shared" si="92"/>
        <v>#DIV/0!</v>
      </c>
      <c r="T281" s="132" t="e">
        <f t="shared" si="93"/>
        <v>#NUM!</v>
      </c>
      <c r="U281" s="138" t="e">
        <f t="shared" si="94"/>
        <v>#NUM!</v>
      </c>
      <c r="V281" s="132" t="e">
        <f t="shared" si="95"/>
        <v>#NUM!</v>
      </c>
      <c r="W281" s="132">
        <f t="shared" si="96"/>
        <v>47.20146783679163</v>
      </c>
      <c r="X281" s="138">
        <f t="shared" si="97"/>
        <v>-89.28695934438879</v>
      </c>
      <c r="Y281" s="128" t="str">
        <f t="shared" si="98"/>
        <v>2.85137174615945-229.107739382206i</v>
      </c>
      <c r="Z281" s="128" t="e">
        <f t="shared" si="99"/>
        <v>#NUM!</v>
      </c>
      <c r="AA281" s="128" t="e">
        <f aca="true" t="shared" si="103" ref="AA281:AA339">IMSUM(R_3,IMDIV(1,COMPLEX(0,2*PI()*C272*C_2*10^-12)))</f>
        <v>#NUM!</v>
      </c>
      <c r="AB281" s="128" t="e">
        <f aca="true" t="shared" si="104" ref="AB281:AB339">IMSUM(R_2,IMDIV(1,COMPLEX(0,2*PI()*C272*C_1*10^-12)))</f>
        <v>#NUM!</v>
      </c>
      <c r="AC281" s="128" t="e">
        <f aca="true" t="shared" si="105" ref="AC281:AC339">IMDIV(IMPRODUCT(Z272,AA281),IMSUM(Z272,AA281))</f>
        <v>#NUM!</v>
      </c>
      <c r="AD281" s="128" t="e">
        <f aca="true" t="shared" si="106" ref="AD281:AD339">IMDIV(IMPRODUCT(AB281,R_1),IMSUM(AB281,R_1))</f>
        <v>#NUM!</v>
      </c>
      <c r="AE281" s="128" t="e">
        <f aca="true" t="shared" si="107" ref="AE281:AE339">IMDIV(IMPRODUCT(-1,Y272),IMSUM(1,IMDIV(AD281,R_4),IMPRODUCT(IMDIV(AD281,AC281),IMSUM(1,Y272))))</f>
        <v>#NUM!</v>
      </c>
      <c r="AF281" s="130"/>
      <c r="AG281" s="130"/>
      <c r="AH281" s="130"/>
      <c r="AI281" s="130"/>
      <c r="AJ281" s="130"/>
      <c r="AK281" s="130"/>
      <c r="AL281" s="130"/>
      <c r="AM281" s="130"/>
      <c r="AN281" s="130"/>
      <c r="AO281" s="130"/>
      <c r="AP281" s="130"/>
      <c r="AQ281" s="130"/>
      <c r="AR281" s="130"/>
      <c r="AS281" s="130"/>
    </row>
    <row r="282" spans="1:45" s="166" customFormat="1" ht="12.75">
      <c r="A282" s="132" t="e">
        <f t="shared" si="100"/>
        <v>#DIV/0!</v>
      </c>
      <c r="B282" s="132">
        <f t="shared" si="101"/>
        <v>5.0399999999999805</v>
      </c>
      <c r="C282" s="146">
        <f t="shared" si="81"/>
        <v>109647.81961431362</v>
      </c>
      <c r="D282" s="137" t="e">
        <f t="shared" si="82"/>
        <v>#DIV/0!</v>
      </c>
      <c r="E282" s="132" t="e">
        <f t="shared" si="83"/>
        <v>#DIV/0!</v>
      </c>
      <c r="G282" s="146"/>
      <c r="H282" s="184" t="str">
        <f t="shared" si="84"/>
        <v>1E+47-1.45151033236888E+50i</v>
      </c>
      <c r="I282" s="132" t="str">
        <f>IMSUM(IMDIV(1,COMPLEX(0,Q282*MLCC*10^-6)),MLCC_ESR*10^-3)</f>
        <v>1E+47-1.45151033236888E+50i</v>
      </c>
      <c r="J282" s="132" t="str">
        <f t="shared" si="85"/>
        <v>4.99999999999999E+46-7.25755166184441E+49i</v>
      </c>
      <c r="K282" s="132"/>
      <c r="L282" s="132" t="e">
        <f t="shared" si="86"/>
        <v>#DIV/0!</v>
      </c>
      <c r="M282" s="132" t="str">
        <f t="shared" si="87"/>
        <v>0</v>
      </c>
      <c r="N282" s="132" t="e">
        <f t="shared" si="88"/>
        <v>#DIV/0!</v>
      </c>
      <c r="O282" s="185" t="e">
        <f t="shared" si="89"/>
        <v>#DIV/0!</v>
      </c>
      <c r="P282" s="185" t="e">
        <f t="shared" si="90"/>
        <v>#DIV/0!</v>
      </c>
      <c r="Q282" s="132">
        <f t="shared" si="91"/>
        <v>688937.5691649329</v>
      </c>
      <c r="R282" s="132">
        <f t="shared" si="102"/>
        <v>5.0399999999999805</v>
      </c>
      <c r="S282" s="164" t="e">
        <f t="shared" si="92"/>
        <v>#DIV/0!</v>
      </c>
      <c r="T282" s="132" t="e">
        <f t="shared" si="93"/>
        <v>#NUM!</v>
      </c>
      <c r="U282" s="138" t="e">
        <f t="shared" si="94"/>
        <v>#NUM!</v>
      </c>
      <c r="V282" s="132" t="e">
        <f t="shared" si="95"/>
        <v>#NUM!</v>
      </c>
      <c r="W282" s="132">
        <f t="shared" si="96"/>
        <v>46.80162253987646</v>
      </c>
      <c r="X282" s="138">
        <f t="shared" si="97"/>
        <v>-89.37430584877572</v>
      </c>
      <c r="Y282" s="128" t="str">
        <f t="shared" si="98"/>
        <v>2.38952708686475-218.803986541657i</v>
      </c>
      <c r="Z282" s="128" t="e">
        <f t="shared" si="99"/>
        <v>#NUM!</v>
      </c>
      <c r="AA282" s="128" t="e">
        <f t="shared" si="103"/>
        <v>#NUM!</v>
      </c>
      <c r="AB282" s="128" t="e">
        <f t="shared" si="104"/>
        <v>#NUM!</v>
      </c>
      <c r="AC282" s="128" t="e">
        <f t="shared" si="105"/>
        <v>#NUM!</v>
      </c>
      <c r="AD282" s="128" t="e">
        <f t="shared" si="106"/>
        <v>#NUM!</v>
      </c>
      <c r="AE282" s="128" t="e">
        <f t="shared" si="107"/>
        <v>#NUM!</v>
      </c>
      <c r="AF282" s="130"/>
      <c r="AG282" s="130"/>
      <c r="AH282" s="130"/>
      <c r="AI282" s="130"/>
      <c r="AJ282" s="130"/>
      <c r="AK282" s="130"/>
      <c r="AL282" s="130"/>
      <c r="AM282" s="130"/>
      <c r="AN282" s="130"/>
      <c r="AO282" s="130"/>
      <c r="AP282" s="130"/>
      <c r="AQ282" s="130"/>
      <c r="AR282" s="130"/>
      <c r="AS282" s="130"/>
    </row>
    <row r="283" spans="1:45" s="166" customFormat="1" ht="12.75">
      <c r="A283" s="132" t="e">
        <f t="shared" si="100"/>
        <v>#DIV/0!</v>
      </c>
      <c r="B283" s="132">
        <f t="shared" si="101"/>
        <v>5.059999999999981</v>
      </c>
      <c r="C283" s="146">
        <f t="shared" si="81"/>
        <v>114815.36214968313</v>
      </c>
      <c r="D283" s="137" t="e">
        <f t="shared" si="82"/>
        <v>#DIV/0!</v>
      </c>
      <c r="E283" s="132" t="e">
        <f t="shared" si="83"/>
        <v>#DIV/0!</v>
      </c>
      <c r="G283" s="146"/>
      <c r="H283" s="184" t="str">
        <f t="shared" si="84"/>
        <v>1E+47-1.38618160594579E+50i</v>
      </c>
      <c r="I283" s="132" t="str">
        <f>IMSUM(IMDIV(1,COMPLEX(0,Q283*MLCC*10^-6)),MLCC_ESR*10^-3)</f>
        <v>1E+47-1.38618160594579E+50i</v>
      </c>
      <c r="J283" s="132" t="str">
        <f t="shared" si="85"/>
        <v>5E+46-6.93090802972895E+49i</v>
      </c>
      <c r="K283" s="132"/>
      <c r="L283" s="132" t="e">
        <f t="shared" si="86"/>
        <v>#DIV/0!</v>
      </c>
      <c r="M283" s="132" t="str">
        <f t="shared" si="87"/>
        <v>0</v>
      </c>
      <c r="N283" s="132" t="e">
        <f t="shared" si="88"/>
        <v>#DIV/0!</v>
      </c>
      <c r="O283" s="185" t="e">
        <f t="shared" si="89"/>
        <v>#DIV/0!</v>
      </c>
      <c r="P283" s="185" t="e">
        <f t="shared" si="90"/>
        <v>#DIV/0!</v>
      </c>
      <c r="Q283" s="132">
        <f t="shared" si="91"/>
        <v>721406.1964973923</v>
      </c>
      <c r="R283" s="132">
        <f t="shared" si="102"/>
        <v>5.05999999999998</v>
      </c>
      <c r="S283" s="164" t="e">
        <f t="shared" si="92"/>
        <v>#DIV/0!</v>
      </c>
      <c r="T283" s="132" t="e">
        <f t="shared" si="93"/>
        <v>#NUM!</v>
      </c>
      <c r="U283" s="138" t="e">
        <f t="shared" si="94"/>
        <v>#NUM!</v>
      </c>
      <c r="V283" s="132" t="e">
        <f t="shared" si="95"/>
        <v>#NUM!</v>
      </c>
      <c r="W283" s="132">
        <f t="shared" si="96"/>
        <v>46.40175516551202</v>
      </c>
      <c r="X283" s="138">
        <f t="shared" si="97"/>
        <v>-89.460328145178</v>
      </c>
      <c r="Y283" s="128" t="str">
        <f t="shared" si="98"/>
        <v>1.96828722324152-208.962566178477i</v>
      </c>
      <c r="Z283" s="128" t="e">
        <f t="shared" si="99"/>
        <v>#NUM!</v>
      </c>
      <c r="AA283" s="128" t="e">
        <f t="shared" si="103"/>
        <v>#NUM!</v>
      </c>
      <c r="AB283" s="128" t="e">
        <f t="shared" si="104"/>
        <v>#NUM!</v>
      </c>
      <c r="AC283" s="128" t="e">
        <f t="shared" si="105"/>
        <v>#NUM!</v>
      </c>
      <c r="AD283" s="128" t="e">
        <f t="shared" si="106"/>
        <v>#NUM!</v>
      </c>
      <c r="AE283" s="128" t="e">
        <f t="shared" si="107"/>
        <v>#NUM!</v>
      </c>
      <c r="AF283" s="130"/>
      <c r="AG283" s="130"/>
      <c r="AH283" s="130"/>
      <c r="AI283" s="130"/>
      <c r="AJ283" s="130"/>
      <c r="AK283" s="130"/>
      <c r="AL283" s="130"/>
      <c r="AM283" s="130"/>
      <c r="AN283" s="130"/>
      <c r="AO283" s="130"/>
      <c r="AP283" s="130"/>
      <c r="AQ283" s="130"/>
      <c r="AR283" s="130"/>
      <c r="AS283" s="130"/>
    </row>
    <row r="284" spans="1:45" s="166" customFormat="1" ht="12.75">
      <c r="A284" s="132" t="e">
        <f t="shared" si="100"/>
        <v>#DIV/0!</v>
      </c>
      <c r="B284" s="132">
        <f t="shared" si="101"/>
        <v>5.0799999999999805</v>
      </c>
      <c r="C284" s="146">
        <f t="shared" si="81"/>
        <v>120226.44346173588</v>
      </c>
      <c r="D284" s="137" t="e">
        <f t="shared" si="82"/>
        <v>#DIV/0!</v>
      </c>
      <c r="E284" s="132" t="e">
        <f t="shared" si="83"/>
        <v>#DIV/0!</v>
      </c>
      <c r="G284" s="146"/>
      <c r="H284" s="184" t="str">
        <f t="shared" si="84"/>
        <v>1E+47-1.32379315655752E+50i</v>
      </c>
      <c r="I284" s="132" t="str">
        <f>IMSUM(IMDIV(1,COMPLEX(0,Q284*MLCC*10^-6)),MLCC_ESR*10^-3)</f>
        <v>1E+47-1.32379315655752E+50i</v>
      </c>
      <c r="J284" s="132" t="str">
        <f t="shared" si="85"/>
        <v>5.00000000000001E+46-6.61896578278759E+49i</v>
      </c>
      <c r="K284" s="132"/>
      <c r="L284" s="132" t="e">
        <f t="shared" si="86"/>
        <v>#DIV/0!</v>
      </c>
      <c r="M284" s="132" t="str">
        <f t="shared" si="87"/>
        <v>0</v>
      </c>
      <c r="N284" s="132" t="e">
        <f t="shared" si="88"/>
        <v>#DIV/0!</v>
      </c>
      <c r="O284" s="185" t="e">
        <f t="shared" si="89"/>
        <v>#DIV/0!</v>
      </c>
      <c r="P284" s="185" t="e">
        <f t="shared" si="90"/>
        <v>#DIV/0!</v>
      </c>
      <c r="Q284" s="132">
        <f t="shared" si="91"/>
        <v>755405.0230932361</v>
      </c>
      <c r="R284" s="132">
        <f t="shared" si="102"/>
        <v>5.07999999999998</v>
      </c>
      <c r="S284" s="164" t="e">
        <f t="shared" si="92"/>
        <v>#DIV/0!</v>
      </c>
      <c r="T284" s="132" t="e">
        <f t="shared" si="93"/>
        <v>#NUM!</v>
      </c>
      <c r="U284" s="138" t="e">
        <f t="shared" si="94"/>
        <v>#NUM!</v>
      </c>
      <c r="V284" s="132" t="e">
        <f t="shared" si="95"/>
        <v>#NUM!</v>
      </c>
      <c r="W284" s="132">
        <f t="shared" si="96"/>
        <v>46.00186683758517</v>
      </c>
      <c r="X284" s="138">
        <f t="shared" si="97"/>
        <v>-89.5452081964182</v>
      </c>
      <c r="Y284" s="128" t="str">
        <f t="shared" si="98"/>
        <v>1.58408608133632-199.562832838432i</v>
      </c>
      <c r="Z284" s="128" t="e">
        <f t="shared" si="99"/>
        <v>#NUM!</v>
      </c>
      <c r="AA284" s="128" t="e">
        <f t="shared" si="103"/>
        <v>#NUM!</v>
      </c>
      <c r="AB284" s="128" t="e">
        <f t="shared" si="104"/>
        <v>#NUM!</v>
      </c>
      <c r="AC284" s="128" t="e">
        <f t="shared" si="105"/>
        <v>#NUM!</v>
      </c>
      <c r="AD284" s="128" t="e">
        <f t="shared" si="106"/>
        <v>#NUM!</v>
      </c>
      <c r="AE284" s="128" t="e">
        <f t="shared" si="107"/>
        <v>#NUM!</v>
      </c>
      <c r="AF284" s="130"/>
      <c r="AG284" s="130"/>
      <c r="AH284" s="130"/>
      <c r="AI284" s="130"/>
      <c r="AJ284" s="130"/>
      <c r="AK284" s="130"/>
      <c r="AL284" s="130"/>
      <c r="AM284" s="130"/>
      <c r="AN284" s="130"/>
      <c r="AO284" s="130"/>
      <c r="AP284" s="130"/>
      <c r="AQ284" s="130"/>
      <c r="AR284" s="130"/>
      <c r="AS284" s="130"/>
    </row>
    <row r="285" spans="1:45" s="166" customFormat="1" ht="12.75">
      <c r="A285" s="132" t="e">
        <f t="shared" si="100"/>
        <v>#DIV/0!</v>
      </c>
      <c r="B285" s="132">
        <f t="shared" si="101"/>
        <v>5.099999999999979</v>
      </c>
      <c r="C285" s="146">
        <f t="shared" si="81"/>
        <v>125892.54117941081</v>
      </c>
      <c r="D285" s="137" t="e">
        <f t="shared" si="82"/>
        <v>#DIV/0!</v>
      </c>
      <c r="E285" s="132" t="e">
        <f t="shared" si="83"/>
        <v>#DIV/0!</v>
      </c>
      <c r="G285" s="146"/>
      <c r="H285" s="184" t="str">
        <f t="shared" si="84"/>
        <v>1E+47-1.26421264993835E+50i</v>
      </c>
      <c r="I285" s="132" t="str">
        <f>IMSUM(IMDIV(1,COMPLEX(0,Q285*MLCC*10^-6)),MLCC_ESR*10^-3)</f>
        <v>1E+47-1.26421264993835E+50i</v>
      </c>
      <c r="J285" s="132" t="str">
        <f t="shared" si="85"/>
        <v>4.99999999999998E+46-6.32106324969177E+49i</v>
      </c>
      <c r="K285" s="132"/>
      <c r="L285" s="132" t="e">
        <f t="shared" si="86"/>
        <v>#DIV/0!</v>
      </c>
      <c r="M285" s="132" t="str">
        <f t="shared" si="87"/>
        <v>0</v>
      </c>
      <c r="N285" s="132" t="e">
        <f t="shared" si="88"/>
        <v>#DIV/0!</v>
      </c>
      <c r="O285" s="185" t="e">
        <f t="shared" si="89"/>
        <v>#DIV/0!</v>
      </c>
      <c r="P285" s="185" t="e">
        <f t="shared" si="90"/>
        <v>#DIV/0!</v>
      </c>
      <c r="Q285" s="132">
        <f t="shared" si="91"/>
        <v>791006.1650219751</v>
      </c>
      <c r="R285" s="132">
        <f t="shared" si="102"/>
        <v>5.099999999999979</v>
      </c>
      <c r="S285" s="164" t="e">
        <f t="shared" si="92"/>
        <v>#DIV/0!</v>
      </c>
      <c r="T285" s="132" t="e">
        <f t="shared" si="93"/>
        <v>#NUM!</v>
      </c>
      <c r="U285" s="138" t="e">
        <f t="shared" si="94"/>
        <v>#NUM!</v>
      </c>
      <c r="V285" s="132" t="e">
        <f t="shared" si="95"/>
        <v>#NUM!</v>
      </c>
      <c r="W285" s="132">
        <f t="shared" si="96"/>
        <v>45.60195850249982</v>
      </c>
      <c r="X285" s="138">
        <f t="shared" si="97"/>
        <v>-89.62912558963053</v>
      </c>
      <c r="Y285" s="128" t="str">
        <f t="shared" si="98"/>
        <v>1.23367035499032-190.585048371137i</v>
      </c>
      <c r="Z285" s="128" t="e">
        <f t="shared" si="99"/>
        <v>#NUM!</v>
      </c>
      <c r="AA285" s="128" t="e">
        <f t="shared" si="103"/>
        <v>#NUM!</v>
      </c>
      <c r="AB285" s="128" t="e">
        <f t="shared" si="104"/>
        <v>#NUM!</v>
      </c>
      <c r="AC285" s="128" t="e">
        <f t="shared" si="105"/>
        <v>#NUM!</v>
      </c>
      <c r="AD285" s="128" t="e">
        <f t="shared" si="106"/>
        <v>#NUM!</v>
      </c>
      <c r="AE285" s="128" t="e">
        <f t="shared" si="107"/>
        <v>#NUM!</v>
      </c>
      <c r="AF285" s="130"/>
      <c r="AG285" s="130"/>
      <c r="AH285" s="130"/>
      <c r="AI285" s="130"/>
      <c r="AJ285" s="130"/>
      <c r="AK285" s="130"/>
      <c r="AL285" s="130"/>
      <c r="AM285" s="130"/>
      <c r="AN285" s="130"/>
      <c r="AO285" s="130"/>
      <c r="AP285" s="130"/>
      <c r="AQ285" s="130"/>
      <c r="AR285" s="130"/>
      <c r="AS285" s="130"/>
    </row>
    <row r="286" spans="1:45" s="166" customFormat="1" ht="12.75">
      <c r="A286" s="132" t="e">
        <f t="shared" si="100"/>
        <v>#DIV/0!</v>
      </c>
      <c r="B286" s="132">
        <f t="shared" si="101"/>
        <v>5.11999999999998</v>
      </c>
      <c r="C286" s="146">
        <f t="shared" si="81"/>
        <v>131825.6738556345</v>
      </c>
      <c r="D286" s="137" t="e">
        <f t="shared" si="82"/>
        <v>#DIV/0!</v>
      </c>
      <c r="E286" s="132" t="e">
        <f t="shared" si="83"/>
        <v>#DIV/0!</v>
      </c>
      <c r="G286" s="146"/>
      <c r="H286" s="184" t="str">
        <f t="shared" si="84"/>
        <v>1E+47-1.20731370784563E+50i</v>
      </c>
      <c r="I286" s="132" t="str">
        <f>IMSUM(IMDIV(1,COMPLEX(0,Q286*MLCC*10^-6)),MLCC_ESR*10^-3)</f>
        <v>1E+47-1.20731370784563E+50i</v>
      </c>
      <c r="J286" s="132" t="str">
        <f t="shared" si="85"/>
        <v>5.00000000000001E+46-6.03656853922814E+49i</v>
      </c>
      <c r="K286" s="132"/>
      <c r="L286" s="132" t="e">
        <f t="shared" si="86"/>
        <v>#DIV/0!</v>
      </c>
      <c r="M286" s="132" t="str">
        <f t="shared" si="87"/>
        <v>0</v>
      </c>
      <c r="N286" s="132" t="e">
        <f t="shared" si="88"/>
        <v>#DIV/0!</v>
      </c>
      <c r="O286" s="185" t="e">
        <f t="shared" si="89"/>
        <v>#DIV/0!</v>
      </c>
      <c r="P286" s="185" t="e">
        <f t="shared" si="90"/>
        <v>#DIV/0!</v>
      </c>
      <c r="Q286" s="132">
        <f t="shared" si="91"/>
        <v>828285.1370787708</v>
      </c>
      <c r="R286" s="132">
        <f t="shared" si="102"/>
        <v>5.119999999999979</v>
      </c>
      <c r="S286" s="164" t="e">
        <f t="shared" si="92"/>
        <v>#DIV/0!</v>
      </c>
      <c r="T286" s="132" t="e">
        <f t="shared" si="93"/>
        <v>#NUM!</v>
      </c>
      <c r="U286" s="138" t="e">
        <f t="shared" si="94"/>
        <v>#NUM!</v>
      </c>
      <c r="V286" s="132" t="e">
        <f t="shared" si="95"/>
        <v>#NUM!</v>
      </c>
      <c r="W286" s="132">
        <f t="shared" si="96"/>
        <v>45.20203093715672</v>
      </c>
      <c r="X286" s="138">
        <f t="shared" si="97"/>
        <v>-89.71225790851135</v>
      </c>
      <c r="Y286" s="128" t="str">
        <f t="shared" si="98"/>
        <v>0.914072166543914-182.010343870874i</v>
      </c>
      <c r="Z286" s="128" t="e">
        <f t="shared" si="99"/>
        <v>#NUM!</v>
      </c>
      <c r="AA286" s="128" t="e">
        <f t="shared" si="103"/>
        <v>#NUM!</v>
      </c>
      <c r="AB286" s="128" t="e">
        <f t="shared" si="104"/>
        <v>#NUM!</v>
      </c>
      <c r="AC286" s="128" t="e">
        <f t="shared" si="105"/>
        <v>#NUM!</v>
      </c>
      <c r="AD286" s="128" t="e">
        <f t="shared" si="106"/>
        <v>#NUM!</v>
      </c>
      <c r="AE286" s="128" t="e">
        <f t="shared" si="107"/>
        <v>#NUM!</v>
      </c>
      <c r="AF286" s="130"/>
      <c r="AG286" s="130"/>
      <c r="AH286" s="130"/>
      <c r="AI286" s="130"/>
      <c r="AJ286" s="130"/>
      <c r="AK286" s="130"/>
      <c r="AL286" s="130"/>
      <c r="AM286" s="130"/>
      <c r="AN286" s="130"/>
      <c r="AO286" s="130"/>
      <c r="AP286" s="130"/>
      <c r="AQ286" s="130"/>
      <c r="AR286" s="130"/>
      <c r="AS286" s="130"/>
    </row>
    <row r="287" spans="1:45" s="166" customFormat="1" ht="12.75">
      <c r="A287" s="132" t="e">
        <f t="shared" si="100"/>
        <v>#DIV/0!</v>
      </c>
      <c r="B287" s="132">
        <f t="shared" si="101"/>
        <v>5.139999999999978</v>
      </c>
      <c r="C287" s="146">
        <f t="shared" si="81"/>
        <v>138038.4264602817</v>
      </c>
      <c r="D287" s="137" t="e">
        <f t="shared" si="82"/>
        <v>#DIV/0!</v>
      </c>
      <c r="E287" s="132" t="e">
        <f t="shared" si="83"/>
        <v>#DIV/0!</v>
      </c>
      <c r="G287" s="146"/>
      <c r="H287" s="184" t="str">
        <f t="shared" si="84"/>
        <v>1E+47-1.15297563999463E+50i</v>
      </c>
      <c r="I287" s="132" t="str">
        <f>IMSUM(IMDIV(1,COMPLEX(0,Q287*MLCC*10^-6)),MLCC_ESR*10^-3)</f>
        <v>1E+47-1.15297563999463E+50i</v>
      </c>
      <c r="J287" s="132" t="str">
        <f t="shared" si="85"/>
        <v>4.99999999999999E+46-5.76487819997316E+49i</v>
      </c>
      <c r="K287" s="132"/>
      <c r="L287" s="132" t="e">
        <f t="shared" si="86"/>
        <v>#DIV/0!</v>
      </c>
      <c r="M287" s="132" t="str">
        <f t="shared" si="87"/>
        <v>0</v>
      </c>
      <c r="N287" s="132" t="e">
        <f t="shared" si="88"/>
        <v>#DIV/0!</v>
      </c>
      <c r="O287" s="185" t="e">
        <f t="shared" si="89"/>
        <v>#DIV/0!</v>
      </c>
      <c r="P287" s="185" t="e">
        <f t="shared" si="90"/>
        <v>#DIV/0!</v>
      </c>
      <c r="Q287" s="132">
        <f t="shared" si="91"/>
        <v>867321.0129614319</v>
      </c>
      <c r="R287" s="132">
        <f t="shared" si="102"/>
        <v>5.139999999999978</v>
      </c>
      <c r="S287" s="164" t="e">
        <f t="shared" si="92"/>
        <v>#DIV/0!</v>
      </c>
      <c r="T287" s="132" t="e">
        <f t="shared" si="93"/>
        <v>#NUM!</v>
      </c>
      <c r="U287" s="138" t="e">
        <f t="shared" si="94"/>
        <v>#NUM!</v>
      </c>
      <c r="V287" s="132" t="e">
        <f t="shared" si="95"/>
        <v>#NUM!</v>
      </c>
      <c r="W287" s="132">
        <f t="shared" si="96"/>
        <v>44.80208475550683</v>
      </c>
      <c r="X287" s="138">
        <f t="shared" si="97"/>
        <v>-89.794781102053</v>
      </c>
      <c r="Y287" s="128" t="str">
        <f t="shared" si="98"/>
        <v>0.622584103836167-173.820682971584i</v>
      </c>
      <c r="Z287" s="128" t="e">
        <f t="shared" si="99"/>
        <v>#NUM!</v>
      </c>
      <c r="AA287" s="128" t="e">
        <f t="shared" si="103"/>
        <v>#NUM!</v>
      </c>
      <c r="AB287" s="128" t="e">
        <f t="shared" si="104"/>
        <v>#NUM!</v>
      </c>
      <c r="AC287" s="128" t="e">
        <f t="shared" si="105"/>
        <v>#NUM!</v>
      </c>
      <c r="AD287" s="128" t="e">
        <f t="shared" si="106"/>
        <v>#NUM!</v>
      </c>
      <c r="AE287" s="128" t="e">
        <f t="shared" si="107"/>
        <v>#NUM!</v>
      </c>
      <c r="AF287" s="130"/>
      <c r="AG287" s="130"/>
      <c r="AH287" s="130"/>
      <c r="AI287" s="130"/>
      <c r="AJ287" s="130"/>
      <c r="AK287" s="130"/>
      <c r="AL287" s="130"/>
      <c r="AM287" s="130"/>
      <c r="AN287" s="130"/>
      <c r="AO287" s="130"/>
      <c r="AP287" s="130"/>
      <c r="AQ287" s="130"/>
      <c r="AR287" s="130"/>
      <c r="AS287" s="130"/>
    </row>
    <row r="288" spans="1:45" s="166" customFormat="1" ht="12.75">
      <c r="A288" s="132" t="e">
        <f t="shared" si="100"/>
        <v>#DIV/0!</v>
      </c>
      <c r="B288" s="132">
        <f t="shared" si="101"/>
        <v>5.159999999999979</v>
      </c>
      <c r="C288" s="146">
        <f t="shared" si="81"/>
        <v>144543.97707458562</v>
      </c>
      <c r="D288" s="137" t="e">
        <f t="shared" si="82"/>
        <v>#DIV/0!</v>
      </c>
      <c r="E288" s="132" t="e">
        <f t="shared" si="83"/>
        <v>#DIV/0!</v>
      </c>
      <c r="G288" s="146"/>
      <c r="H288" s="184" t="str">
        <f t="shared" si="84"/>
        <v>1E+47-1.1010831880582E+50i</v>
      </c>
      <c r="I288" s="132" t="str">
        <f>IMSUM(IMDIV(1,COMPLEX(0,Q288*MLCC*10^-6)),MLCC_ESR*10^-3)</f>
        <v>1E+47-1.1010831880582E+50i</v>
      </c>
      <c r="J288" s="132" t="str">
        <f t="shared" si="85"/>
        <v>5E+46-5.505415940291E+49i</v>
      </c>
      <c r="K288" s="132"/>
      <c r="L288" s="132" t="e">
        <f t="shared" si="86"/>
        <v>#DIV/0!</v>
      </c>
      <c r="M288" s="132" t="str">
        <f t="shared" si="87"/>
        <v>0</v>
      </c>
      <c r="N288" s="132" t="e">
        <f t="shared" si="88"/>
        <v>#DIV/0!</v>
      </c>
      <c r="O288" s="185" t="e">
        <f t="shared" si="89"/>
        <v>#DIV/0!</v>
      </c>
      <c r="P288" s="185" t="e">
        <f t="shared" si="90"/>
        <v>#DIV/0!</v>
      </c>
      <c r="Q288" s="132">
        <f t="shared" si="91"/>
        <v>908196.5929963393</v>
      </c>
      <c r="R288" s="132">
        <f t="shared" si="102"/>
        <v>5.159999999999978</v>
      </c>
      <c r="S288" s="164" t="e">
        <f t="shared" si="92"/>
        <v>#DIV/0!</v>
      </c>
      <c r="T288" s="132" t="e">
        <f t="shared" si="93"/>
        <v>#NUM!</v>
      </c>
      <c r="U288" s="138" t="e">
        <f t="shared" si="94"/>
        <v>#NUM!</v>
      </c>
      <c r="V288" s="132" t="e">
        <f t="shared" si="95"/>
        <v>#NUM!</v>
      </c>
      <c r="W288" s="132">
        <f t="shared" si="96"/>
        <v>44.40212041373045</v>
      </c>
      <c r="X288" s="138">
        <f t="shared" si="97"/>
        <v>-89.87686985039169</v>
      </c>
      <c r="Y288" s="128" t="str">
        <f t="shared" si="98"/>
        <v>0.356736429427342-165.998826480977i</v>
      </c>
      <c r="Z288" s="128" t="e">
        <f t="shared" si="99"/>
        <v>#NUM!</v>
      </c>
      <c r="AA288" s="128" t="e">
        <f t="shared" si="103"/>
        <v>#NUM!</v>
      </c>
      <c r="AB288" s="128" t="e">
        <f t="shared" si="104"/>
        <v>#NUM!</v>
      </c>
      <c r="AC288" s="128" t="e">
        <f t="shared" si="105"/>
        <v>#NUM!</v>
      </c>
      <c r="AD288" s="128" t="e">
        <f t="shared" si="106"/>
        <v>#NUM!</v>
      </c>
      <c r="AE288" s="128" t="e">
        <f t="shared" si="107"/>
        <v>#NUM!</v>
      </c>
      <c r="AF288" s="130"/>
      <c r="AG288" s="130"/>
      <c r="AH288" s="130"/>
      <c r="AI288" s="130"/>
      <c r="AJ288" s="130"/>
      <c r="AK288" s="130"/>
      <c r="AL288" s="130"/>
      <c r="AM288" s="130"/>
      <c r="AN288" s="130"/>
      <c r="AO288" s="130"/>
      <c r="AP288" s="130"/>
      <c r="AQ288" s="130"/>
      <c r="AR288" s="130"/>
      <c r="AS288" s="130"/>
    </row>
    <row r="289" spans="1:45" s="166" customFormat="1" ht="12.75">
      <c r="A289" s="132" t="e">
        <f t="shared" si="100"/>
        <v>#DIV/0!</v>
      </c>
      <c r="B289" s="132">
        <f t="shared" si="101"/>
        <v>5.1799999999999775</v>
      </c>
      <c r="C289" s="146">
        <f t="shared" si="81"/>
        <v>151356.12484361307</v>
      </c>
      <c r="D289" s="137" t="e">
        <f t="shared" si="82"/>
        <v>#DIV/0!</v>
      </c>
      <c r="E289" s="132" t="e">
        <f t="shared" si="83"/>
        <v>#DIV/0!</v>
      </c>
      <c r="G289" s="146"/>
      <c r="H289" s="184" t="str">
        <f t="shared" si="84"/>
        <v>1E+47-1.05152628118842E+50i</v>
      </c>
      <c r="I289" s="132" t="str">
        <f>IMSUM(IMDIV(1,COMPLEX(0,Q289*MLCC*10^-6)),MLCC_ESR*10^-3)</f>
        <v>1E+47-1.05152628118842E+50i</v>
      </c>
      <c r="J289" s="132" t="str">
        <f t="shared" si="85"/>
        <v>4.99999999999999E+46-5.25763140594211E+49i</v>
      </c>
      <c r="K289" s="132"/>
      <c r="L289" s="132" t="e">
        <f t="shared" si="86"/>
        <v>#DIV/0!</v>
      </c>
      <c r="M289" s="132" t="str">
        <f t="shared" si="87"/>
        <v>0</v>
      </c>
      <c r="N289" s="132" t="e">
        <f t="shared" si="88"/>
        <v>#DIV/0!</v>
      </c>
      <c r="O289" s="185" t="e">
        <f t="shared" si="89"/>
        <v>#DIV/0!</v>
      </c>
      <c r="P289" s="185" t="e">
        <f t="shared" si="90"/>
        <v>#DIV/0!</v>
      </c>
      <c r="Q289" s="132">
        <f t="shared" si="91"/>
        <v>950998.5797690288</v>
      </c>
      <c r="R289" s="132">
        <f t="shared" si="102"/>
        <v>5.1799999999999775</v>
      </c>
      <c r="S289" s="164" t="e">
        <f t="shared" si="92"/>
        <v>#DIV/0!</v>
      </c>
      <c r="T289" s="132" t="e">
        <f t="shared" si="93"/>
        <v>#NUM!</v>
      </c>
      <c r="U289" s="138" t="e">
        <f t="shared" si="94"/>
        <v>#NUM!</v>
      </c>
      <c r="V289" s="132" t="e">
        <f t="shared" si="95"/>
        <v>#NUM!</v>
      </c>
      <c r="W289" s="132">
        <f t="shared" si="96"/>
        <v>44.00213821408666</v>
      </c>
      <c r="X289" s="138">
        <f t="shared" si="97"/>
        <v>-89.95869792840553</v>
      </c>
      <c r="Y289" s="128" t="str">
        <f t="shared" si="98"/>
        <v>0.114276275098773-158.528298333578i</v>
      </c>
      <c r="Z289" s="128" t="e">
        <f t="shared" si="99"/>
        <v>#NUM!</v>
      </c>
      <c r="AA289" s="128" t="e">
        <f t="shared" si="103"/>
        <v>#NUM!</v>
      </c>
      <c r="AB289" s="128" t="e">
        <f t="shared" si="104"/>
        <v>#NUM!</v>
      </c>
      <c r="AC289" s="128" t="e">
        <f t="shared" si="105"/>
        <v>#NUM!</v>
      </c>
      <c r="AD289" s="128" t="e">
        <f t="shared" si="106"/>
        <v>#NUM!</v>
      </c>
      <c r="AE289" s="128" t="e">
        <f t="shared" si="107"/>
        <v>#NUM!</v>
      </c>
      <c r="AF289" s="130"/>
      <c r="AG289" s="130"/>
      <c r="AH289" s="130"/>
      <c r="AI289" s="130"/>
      <c r="AJ289" s="130"/>
      <c r="AK289" s="130"/>
      <c r="AL289" s="130"/>
      <c r="AM289" s="130"/>
      <c r="AN289" s="130"/>
      <c r="AO289" s="130"/>
      <c r="AP289" s="130"/>
      <c r="AQ289" s="130"/>
      <c r="AR289" s="130"/>
      <c r="AS289" s="130"/>
    </row>
    <row r="290" spans="1:45" s="166" customFormat="1" ht="12.75">
      <c r="A290" s="132" t="e">
        <f t="shared" si="100"/>
        <v>#DIV/0!</v>
      </c>
      <c r="B290" s="132">
        <f t="shared" si="101"/>
        <v>5.199999999999978</v>
      </c>
      <c r="C290" s="146">
        <f t="shared" si="81"/>
        <v>158489.3192461032</v>
      </c>
      <c r="D290" s="137" t="e">
        <f t="shared" si="82"/>
        <v>#DIV/0!</v>
      </c>
      <c r="E290" s="132" t="e">
        <f t="shared" si="83"/>
        <v>#DIV/0!</v>
      </c>
      <c r="G290" s="146"/>
      <c r="H290" s="184" t="str">
        <f t="shared" si="84"/>
        <v>1E+47-1.00419980254164E+50i</v>
      </c>
      <c r="I290" s="132" t="str">
        <f>IMSUM(IMDIV(1,COMPLEX(0,Q290*MLCC*10^-6)),MLCC_ESR*10^-3)</f>
        <v>1E+47-1.00419980254164E+50i</v>
      </c>
      <c r="J290" s="132" t="str">
        <f t="shared" si="85"/>
        <v>4.99999999999999E+46-5.02099901270821E+49i</v>
      </c>
      <c r="K290" s="132"/>
      <c r="L290" s="132" t="e">
        <f t="shared" si="86"/>
        <v>#DIV/0!</v>
      </c>
      <c r="M290" s="132" t="str">
        <f t="shared" si="87"/>
        <v>0</v>
      </c>
      <c r="N290" s="132" t="e">
        <f t="shared" si="88"/>
        <v>#DIV/0!</v>
      </c>
      <c r="O290" s="185" t="e">
        <f t="shared" si="89"/>
        <v>#DIV/0!</v>
      </c>
      <c r="P290" s="185" t="e">
        <f t="shared" si="90"/>
        <v>#DIV/0!</v>
      </c>
      <c r="Q290" s="132">
        <f t="shared" si="91"/>
        <v>995817.7620320105</v>
      </c>
      <c r="R290" s="132">
        <f t="shared" si="102"/>
        <v>5.199999999999977</v>
      </c>
      <c r="S290" s="164" t="e">
        <f t="shared" si="92"/>
        <v>#DIV/0!</v>
      </c>
      <c r="T290" s="132" t="e">
        <f t="shared" si="93"/>
        <v>#NUM!</v>
      </c>
      <c r="U290" s="138" t="e">
        <f t="shared" si="94"/>
        <v>#NUM!</v>
      </c>
      <c r="V290" s="132" t="e">
        <f t="shared" si="95"/>
        <v>#NUM!</v>
      </c>
      <c r="W290" s="132">
        <f t="shared" si="96"/>
        <v>43.60213830746397</v>
      </c>
      <c r="X290" s="138">
        <f t="shared" si="97"/>
        <v>-90.04043856770187</v>
      </c>
      <c r="Y290" s="128" t="str">
        <f t="shared" si="98"/>
        <v>-0.106851349557323-151.393352838258i</v>
      </c>
      <c r="Z290" s="128" t="e">
        <f t="shared" si="99"/>
        <v>#NUM!</v>
      </c>
      <c r="AA290" s="128" t="e">
        <f t="shared" si="103"/>
        <v>#NUM!</v>
      </c>
      <c r="AB290" s="128" t="e">
        <f t="shared" si="104"/>
        <v>#NUM!</v>
      </c>
      <c r="AC290" s="128" t="e">
        <f t="shared" si="105"/>
        <v>#NUM!</v>
      </c>
      <c r="AD290" s="128" t="e">
        <f t="shared" si="106"/>
        <v>#NUM!</v>
      </c>
      <c r="AE290" s="128" t="e">
        <f t="shared" si="107"/>
        <v>#NUM!</v>
      </c>
      <c r="AF290" s="130"/>
      <c r="AG290" s="130"/>
      <c r="AH290" s="130"/>
      <c r="AI290" s="130"/>
      <c r="AJ290" s="130"/>
      <c r="AK290" s="130"/>
      <c r="AL290" s="130"/>
      <c r="AM290" s="130"/>
      <c r="AN290" s="130"/>
      <c r="AO290" s="130"/>
      <c r="AP290" s="130"/>
      <c r="AQ290" s="130"/>
      <c r="AR290" s="130"/>
      <c r="AS290" s="130"/>
    </row>
    <row r="291" spans="1:45" s="166" customFormat="1" ht="12.75">
      <c r="A291" s="132" t="e">
        <f t="shared" si="100"/>
        <v>#DIV/0!</v>
      </c>
      <c r="B291" s="132">
        <f t="shared" si="101"/>
        <v>5.219999999999977</v>
      </c>
      <c r="C291" s="146">
        <f t="shared" si="81"/>
        <v>165958.6907437472</v>
      </c>
      <c r="D291" s="137" t="e">
        <f t="shared" si="82"/>
        <v>#DIV/0!</v>
      </c>
      <c r="E291" s="132" t="e">
        <f t="shared" si="83"/>
        <v>#DIV/0!</v>
      </c>
      <c r="G291" s="146"/>
      <c r="H291" s="184" t="str">
        <f t="shared" si="84"/>
        <v>1E+47-9.59003366311458E+49i</v>
      </c>
      <c r="I291" s="132" t="str">
        <f>IMSUM(IMDIV(1,COMPLEX(0,Q291*MLCC*10^-6)),MLCC_ESR*10^-3)</f>
        <v>1E+47-9.59003366311458E+49i</v>
      </c>
      <c r="J291" s="132" t="str">
        <f t="shared" si="85"/>
        <v>5.00000000000002E+46-4.79501683155728E+49i</v>
      </c>
      <c r="K291" s="132"/>
      <c r="L291" s="132" t="e">
        <f t="shared" si="86"/>
        <v>#DIV/0!</v>
      </c>
      <c r="M291" s="132" t="str">
        <f t="shared" si="87"/>
        <v>0</v>
      </c>
      <c r="N291" s="132" t="e">
        <f t="shared" si="88"/>
        <v>#DIV/0!</v>
      </c>
      <c r="O291" s="185" t="e">
        <f t="shared" si="89"/>
        <v>#DIV/0!</v>
      </c>
      <c r="P291" s="185" t="e">
        <f t="shared" si="90"/>
        <v>#DIV/0!</v>
      </c>
      <c r="Q291" s="132">
        <f t="shared" si="91"/>
        <v>1042749.2072798732</v>
      </c>
      <c r="R291" s="132">
        <f t="shared" si="102"/>
        <v>5.219999999999977</v>
      </c>
      <c r="S291" s="164" t="e">
        <f t="shared" si="92"/>
        <v>#DIV/0!</v>
      </c>
      <c r="T291" s="132" t="e">
        <f t="shared" si="93"/>
        <v>#NUM!</v>
      </c>
      <c r="U291" s="138" t="e">
        <f t="shared" si="94"/>
        <v>#NUM!</v>
      </c>
      <c r="V291" s="132" t="e">
        <f t="shared" si="95"/>
        <v>#NUM!</v>
      </c>
      <c r="W291" s="132">
        <f t="shared" si="96"/>
        <v>43.202120694654</v>
      </c>
      <c r="X291" s="138">
        <f t="shared" si="97"/>
        <v>-90.12226481763622</v>
      </c>
      <c r="Y291" s="128" t="str">
        <f t="shared" si="98"/>
        <v>-0.308520891156736-144.578943192462i</v>
      </c>
      <c r="Z291" s="128" t="e">
        <f t="shared" si="99"/>
        <v>#NUM!</v>
      </c>
      <c r="AA291" s="128" t="e">
        <f t="shared" si="103"/>
        <v>#NUM!</v>
      </c>
      <c r="AB291" s="128" t="e">
        <f t="shared" si="104"/>
        <v>#NUM!</v>
      </c>
      <c r="AC291" s="128" t="e">
        <f t="shared" si="105"/>
        <v>#NUM!</v>
      </c>
      <c r="AD291" s="128" t="e">
        <f t="shared" si="106"/>
        <v>#NUM!</v>
      </c>
      <c r="AE291" s="128" t="e">
        <f t="shared" si="107"/>
        <v>#NUM!</v>
      </c>
      <c r="AF291" s="130"/>
      <c r="AG291" s="130"/>
      <c r="AH291" s="130"/>
      <c r="AI291" s="130"/>
      <c r="AJ291" s="130"/>
      <c r="AK291" s="130"/>
      <c r="AL291" s="130"/>
      <c r="AM291" s="130"/>
      <c r="AN291" s="130"/>
      <c r="AO291" s="130"/>
      <c r="AP291" s="130"/>
      <c r="AQ291" s="130"/>
      <c r="AR291" s="130"/>
      <c r="AS291" s="130"/>
    </row>
    <row r="292" spans="1:45" s="166" customFormat="1" ht="12.75">
      <c r="A292" s="132" t="e">
        <f t="shared" si="100"/>
        <v>#DIV/0!</v>
      </c>
      <c r="B292" s="132">
        <f t="shared" si="101"/>
        <v>5.239999999999977</v>
      </c>
      <c r="C292" s="146">
        <f t="shared" si="81"/>
        <v>173780.08287492822</v>
      </c>
      <c r="D292" s="137" t="e">
        <f t="shared" si="82"/>
        <v>#DIV/0!</v>
      </c>
      <c r="E292" s="132" t="e">
        <f t="shared" si="83"/>
        <v>#DIV/0!</v>
      </c>
      <c r="G292" s="146"/>
      <c r="H292" s="184" t="str">
        <f t="shared" si="84"/>
        <v>1E+47-9.15841104797039E+49i</v>
      </c>
      <c r="I292" s="132" t="str">
        <f>IMSUM(IMDIV(1,COMPLEX(0,Q292*MLCC*10^-6)),MLCC_ESR*10^-3)</f>
        <v>1E+47-9.15841104797039E+49i</v>
      </c>
      <c r="J292" s="132" t="str">
        <f t="shared" si="85"/>
        <v>5.00000000000001E+46-4.57920552398519E+49i</v>
      </c>
      <c r="K292" s="132"/>
      <c r="L292" s="132" t="e">
        <f t="shared" si="86"/>
        <v>#DIV/0!</v>
      </c>
      <c r="M292" s="132" t="str">
        <f t="shared" si="87"/>
        <v>0</v>
      </c>
      <c r="N292" s="132" t="e">
        <f t="shared" si="88"/>
        <v>#DIV/0!</v>
      </c>
      <c r="O292" s="185" t="e">
        <f t="shared" si="89"/>
        <v>#DIV/0!</v>
      </c>
      <c r="P292" s="185" t="e">
        <f t="shared" si="90"/>
        <v>#DIV/0!</v>
      </c>
      <c r="Q292" s="132">
        <f t="shared" si="91"/>
        <v>1091892.4634001998</v>
      </c>
      <c r="R292" s="132">
        <f t="shared" si="102"/>
        <v>5.239999999999976</v>
      </c>
      <c r="S292" s="164" t="e">
        <f t="shared" si="92"/>
        <v>#DIV/0!</v>
      </c>
      <c r="T292" s="132" t="e">
        <f t="shared" si="93"/>
        <v>#NUM!</v>
      </c>
      <c r="U292" s="138" t="e">
        <f t="shared" si="94"/>
        <v>#NUM!</v>
      </c>
      <c r="V292" s="132" t="e">
        <f t="shared" si="95"/>
        <v>#NUM!</v>
      </c>
      <c r="W292" s="132">
        <f t="shared" si="96"/>
        <v>42.8020852263579</v>
      </c>
      <c r="X292" s="138">
        <f t="shared" si="97"/>
        <v>-90.20434990600572</v>
      </c>
      <c r="Y292" s="128" t="str">
        <f t="shared" si="98"/>
        <v>-0.492442072539038-138.07069123266i</v>
      </c>
      <c r="Z292" s="128" t="e">
        <f t="shared" si="99"/>
        <v>#NUM!</v>
      </c>
      <c r="AA292" s="128" t="e">
        <f t="shared" si="103"/>
        <v>#NUM!</v>
      </c>
      <c r="AB292" s="128" t="e">
        <f t="shared" si="104"/>
        <v>#NUM!</v>
      </c>
      <c r="AC292" s="128" t="e">
        <f t="shared" si="105"/>
        <v>#NUM!</v>
      </c>
      <c r="AD292" s="128" t="e">
        <f t="shared" si="106"/>
        <v>#NUM!</v>
      </c>
      <c r="AE292" s="128" t="e">
        <f t="shared" si="107"/>
        <v>#NUM!</v>
      </c>
      <c r="AF292" s="130"/>
      <c r="AG292" s="130"/>
      <c r="AH292" s="130"/>
      <c r="AI292" s="130"/>
      <c r="AJ292" s="130"/>
      <c r="AK292" s="130"/>
      <c r="AL292" s="130"/>
      <c r="AM292" s="130"/>
      <c r="AN292" s="130"/>
      <c r="AO292" s="130"/>
      <c r="AP292" s="130"/>
      <c r="AQ292" s="130"/>
      <c r="AR292" s="130"/>
      <c r="AS292" s="130"/>
    </row>
    <row r="293" spans="1:45" s="166" customFormat="1" ht="12.75">
      <c r="A293" s="132" t="e">
        <f t="shared" si="100"/>
        <v>#DIV/0!</v>
      </c>
      <c r="B293" s="132">
        <f t="shared" si="101"/>
        <v>5.259999999999977</v>
      </c>
      <c r="C293" s="146">
        <f t="shared" si="81"/>
        <v>181970.08586098856</v>
      </c>
      <c r="D293" s="137" t="e">
        <f t="shared" si="82"/>
        <v>#DIV/0!</v>
      </c>
      <c r="E293" s="132" t="e">
        <f t="shared" si="83"/>
        <v>#DIV/0!</v>
      </c>
      <c r="G293" s="146"/>
      <c r="H293" s="184" t="str">
        <f t="shared" si="84"/>
        <v>1E+47-8.74621465054854E+49i</v>
      </c>
      <c r="I293" s="132" t="str">
        <f>IMSUM(IMDIV(1,COMPLEX(0,Q293*MLCC*10^-6)),MLCC_ESR*10^-3)</f>
        <v>1E+47-8.74621465054854E+49i</v>
      </c>
      <c r="J293" s="132" t="str">
        <f t="shared" si="85"/>
        <v>5.00000000000001E+46-4.37310732527426E+49i</v>
      </c>
      <c r="K293" s="132"/>
      <c r="L293" s="132" t="e">
        <f t="shared" si="86"/>
        <v>#DIV/0!</v>
      </c>
      <c r="M293" s="132" t="str">
        <f t="shared" si="87"/>
        <v>0</v>
      </c>
      <c r="N293" s="132" t="e">
        <f t="shared" si="88"/>
        <v>#DIV/0!</v>
      </c>
      <c r="O293" s="185" t="e">
        <f t="shared" si="89"/>
        <v>#DIV/0!</v>
      </c>
      <c r="P293" s="185" t="e">
        <f t="shared" si="90"/>
        <v>#DIV/0!</v>
      </c>
      <c r="Q293" s="132">
        <f t="shared" si="91"/>
        <v>1143351.769827971</v>
      </c>
      <c r="R293" s="132">
        <f t="shared" si="102"/>
        <v>5.259999999999976</v>
      </c>
      <c r="S293" s="164" t="e">
        <f t="shared" si="92"/>
        <v>#DIV/0!</v>
      </c>
      <c r="T293" s="132" t="e">
        <f t="shared" si="93"/>
        <v>#NUM!</v>
      </c>
      <c r="U293" s="138" t="e">
        <f t="shared" si="94"/>
        <v>#NUM!</v>
      </c>
      <c r="V293" s="132" t="e">
        <f t="shared" si="95"/>
        <v>#NUM!</v>
      </c>
      <c r="W293" s="132">
        <f t="shared" si="96"/>
        <v>42.40203160192649</v>
      </c>
      <c r="X293" s="138">
        <f t="shared" si="97"/>
        <v>-90.28686760006114</v>
      </c>
      <c r="Y293" s="128" t="str">
        <f t="shared" si="98"/>
        <v>-0.660174329946805-131.85485838855i</v>
      </c>
      <c r="Z293" s="128" t="e">
        <f t="shared" si="99"/>
        <v>#NUM!</v>
      </c>
      <c r="AA293" s="128" t="e">
        <f t="shared" si="103"/>
        <v>#NUM!</v>
      </c>
      <c r="AB293" s="128" t="e">
        <f t="shared" si="104"/>
        <v>#NUM!</v>
      </c>
      <c r="AC293" s="128" t="e">
        <f t="shared" si="105"/>
        <v>#NUM!</v>
      </c>
      <c r="AD293" s="128" t="e">
        <f t="shared" si="106"/>
        <v>#NUM!</v>
      </c>
      <c r="AE293" s="128" t="e">
        <f t="shared" si="107"/>
        <v>#NUM!</v>
      </c>
      <c r="AF293" s="130"/>
      <c r="AG293" s="130"/>
      <c r="AH293" s="130"/>
      <c r="AI293" s="130"/>
      <c r="AJ293" s="130"/>
      <c r="AK293" s="130"/>
      <c r="AL293" s="130"/>
      <c r="AM293" s="130"/>
      <c r="AN293" s="130"/>
      <c r="AO293" s="130"/>
      <c r="AP293" s="130"/>
      <c r="AQ293" s="130"/>
      <c r="AR293" s="130"/>
      <c r="AS293" s="130"/>
    </row>
    <row r="294" spans="1:45" s="166" customFormat="1" ht="12.75">
      <c r="A294" s="132" t="e">
        <f t="shared" si="100"/>
        <v>#DIV/0!</v>
      </c>
      <c r="B294" s="132">
        <f t="shared" si="101"/>
        <v>5.279999999999975</v>
      </c>
      <c r="C294" s="146">
        <f t="shared" si="81"/>
        <v>190546.0717963141</v>
      </c>
      <c r="D294" s="137" t="e">
        <f t="shared" si="82"/>
        <v>#DIV/0!</v>
      </c>
      <c r="E294" s="132" t="e">
        <f t="shared" si="83"/>
        <v>#DIV/0!</v>
      </c>
      <c r="G294" s="146"/>
      <c r="H294" s="184" t="str">
        <f t="shared" si="84"/>
        <v>1E+47-8.35257014702591E+49i</v>
      </c>
      <c r="I294" s="132" t="str">
        <f>IMSUM(IMDIV(1,COMPLEX(0,Q294*MLCC*10^-6)),MLCC_ESR*10^-3)</f>
        <v>1E+47-8.35257014702591E+49i</v>
      </c>
      <c r="J294" s="132" t="str">
        <f t="shared" si="85"/>
        <v>4.99999999999999E+46-4.17628507351296E+49i</v>
      </c>
      <c r="K294" s="132"/>
      <c r="L294" s="132" t="e">
        <f t="shared" si="86"/>
        <v>#DIV/0!</v>
      </c>
      <c r="M294" s="132" t="str">
        <f t="shared" si="87"/>
        <v>0</v>
      </c>
      <c r="N294" s="132" t="e">
        <f t="shared" si="88"/>
        <v>#DIV/0!</v>
      </c>
      <c r="O294" s="185" t="e">
        <f t="shared" si="89"/>
        <v>#DIV/0!</v>
      </c>
      <c r="P294" s="185" t="e">
        <f t="shared" si="90"/>
        <v>#DIV/0!</v>
      </c>
      <c r="Q294" s="132">
        <f t="shared" si="91"/>
        <v>1197236.2786513872</v>
      </c>
      <c r="R294" s="132">
        <f t="shared" si="102"/>
        <v>5.279999999999975</v>
      </c>
      <c r="S294" s="164" t="e">
        <f t="shared" si="92"/>
        <v>#DIV/0!</v>
      </c>
      <c r="T294" s="132" t="e">
        <f t="shared" si="93"/>
        <v>#NUM!</v>
      </c>
      <c r="U294" s="138" t="e">
        <f t="shared" si="94"/>
        <v>#NUM!</v>
      </c>
      <c r="V294" s="132" t="e">
        <f t="shared" si="95"/>
        <v>#NUM!</v>
      </c>
      <c r="W294" s="132">
        <f t="shared" si="96"/>
        <v>42.00195936682285</v>
      </c>
      <c r="X294" s="138">
        <f t="shared" si="97"/>
        <v>-90.36999256848081</v>
      </c>
      <c r="Y294" s="128" t="str">
        <f t="shared" si="98"/>
        <v>-0.81313998732213-125.918317806996i</v>
      </c>
      <c r="Z294" s="128" t="e">
        <f t="shared" si="99"/>
        <v>#NUM!</v>
      </c>
      <c r="AA294" s="128" t="e">
        <f t="shared" si="103"/>
        <v>#NUM!</v>
      </c>
      <c r="AB294" s="128" t="e">
        <f t="shared" si="104"/>
        <v>#NUM!</v>
      </c>
      <c r="AC294" s="128" t="e">
        <f t="shared" si="105"/>
        <v>#NUM!</v>
      </c>
      <c r="AD294" s="128" t="e">
        <f t="shared" si="106"/>
        <v>#NUM!</v>
      </c>
      <c r="AE294" s="128" t="e">
        <f t="shared" si="107"/>
        <v>#NUM!</v>
      </c>
      <c r="AF294" s="130"/>
      <c r="AG294" s="130"/>
      <c r="AH294" s="130"/>
      <c r="AI294" s="130"/>
      <c r="AJ294" s="130"/>
      <c r="AK294" s="130"/>
      <c r="AL294" s="130"/>
      <c r="AM294" s="130"/>
      <c r="AN294" s="130"/>
      <c r="AO294" s="130"/>
      <c r="AP294" s="130"/>
      <c r="AQ294" s="130"/>
      <c r="AR294" s="130"/>
      <c r="AS294" s="130"/>
    </row>
    <row r="295" spans="1:45" s="166" customFormat="1" ht="12.75">
      <c r="A295" s="132" t="e">
        <f t="shared" si="100"/>
        <v>#DIV/0!</v>
      </c>
      <c r="B295" s="132">
        <f t="shared" si="101"/>
        <v>5.299999999999976</v>
      </c>
      <c r="C295" s="146">
        <f t="shared" si="81"/>
        <v>199526.2314968768</v>
      </c>
      <c r="D295" s="137" t="e">
        <f t="shared" si="82"/>
        <v>#DIV/0!</v>
      </c>
      <c r="E295" s="132" t="e">
        <f t="shared" si="83"/>
        <v>#DIV/0!</v>
      </c>
      <c r="G295" s="146"/>
      <c r="H295" s="184" t="str">
        <f t="shared" si="84"/>
        <v>1E+47-7.97664256463374E+49i</v>
      </c>
      <c r="I295" s="132" t="str">
        <f>IMSUM(IMDIV(1,COMPLEX(0,Q295*MLCC*10^-6)),MLCC_ESR*10^-3)</f>
        <v>1E+47-7.97664256463374E+49i</v>
      </c>
      <c r="J295" s="132" t="str">
        <f t="shared" si="85"/>
        <v>5.00000000000001E+46-3.98832128231686E+49i</v>
      </c>
      <c r="K295" s="132"/>
      <c r="L295" s="132" t="e">
        <f t="shared" si="86"/>
        <v>#DIV/0!</v>
      </c>
      <c r="M295" s="132" t="str">
        <f t="shared" si="87"/>
        <v>0</v>
      </c>
      <c r="N295" s="132" t="e">
        <f t="shared" si="88"/>
        <v>#DIV/0!</v>
      </c>
      <c r="O295" s="185" t="e">
        <f t="shared" si="89"/>
        <v>#DIV/0!</v>
      </c>
      <c r="P295" s="185" t="e">
        <f t="shared" si="90"/>
        <v>#DIV/0!</v>
      </c>
      <c r="Q295" s="132">
        <f t="shared" si="91"/>
        <v>1253660.2861380891</v>
      </c>
      <c r="R295" s="132">
        <f t="shared" si="102"/>
        <v>5.299999999999975</v>
      </c>
      <c r="S295" s="164" t="e">
        <f t="shared" si="92"/>
        <v>#DIV/0!</v>
      </c>
      <c r="T295" s="132" t="e">
        <f t="shared" si="93"/>
        <v>#NUM!</v>
      </c>
      <c r="U295" s="138" t="e">
        <f t="shared" si="94"/>
        <v>#NUM!</v>
      </c>
      <c r="V295" s="132" t="e">
        <f t="shared" si="95"/>
        <v>#NUM!</v>
      </c>
      <c r="W295" s="132">
        <f t="shared" si="96"/>
        <v>41.6018679087873</v>
      </c>
      <c r="X295" s="138">
        <f t="shared" si="97"/>
        <v>-90.45390074494819</v>
      </c>
      <c r="Y295" s="128" t="str">
        <f t="shared" si="98"/>
        <v>-0.952636277391088-120.248527610656i</v>
      </c>
      <c r="Z295" s="128" t="e">
        <f t="shared" si="99"/>
        <v>#NUM!</v>
      </c>
      <c r="AA295" s="128" t="e">
        <f t="shared" si="103"/>
        <v>#NUM!</v>
      </c>
      <c r="AB295" s="128" t="e">
        <f t="shared" si="104"/>
        <v>#NUM!</v>
      </c>
      <c r="AC295" s="128" t="e">
        <f t="shared" si="105"/>
        <v>#NUM!</v>
      </c>
      <c r="AD295" s="128" t="e">
        <f t="shared" si="106"/>
        <v>#NUM!</v>
      </c>
      <c r="AE295" s="128" t="e">
        <f t="shared" si="107"/>
        <v>#NUM!</v>
      </c>
      <c r="AF295" s="130"/>
      <c r="AG295" s="130"/>
      <c r="AH295" s="130"/>
      <c r="AI295" s="130"/>
      <c r="AJ295" s="130"/>
      <c r="AK295" s="130"/>
      <c r="AL295" s="130"/>
      <c r="AM295" s="130"/>
      <c r="AN295" s="130"/>
      <c r="AO295" s="130"/>
      <c r="AP295" s="130"/>
      <c r="AQ295" s="130"/>
      <c r="AR295" s="130"/>
      <c r="AS295" s="130"/>
    </row>
    <row r="296" spans="1:45" s="166" customFormat="1" ht="12.75">
      <c r="A296" s="132" t="e">
        <f t="shared" si="100"/>
        <v>#DIV/0!</v>
      </c>
      <c r="B296" s="132">
        <f t="shared" si="101"/>
        <v>5.3199999999999745</v>
      </c>
      <c r="C296" s="146">
        <f t="shared" si="81"/>
        <v>208929.61308539184</v>
      </c>
      <c r="D296" s="137" t="e">
        <f t="shared" si="82"/>
        <v>#DIV/0!</v>
      </c>
      <c r="E296" s="132" t="e">
        <f t="shared" si="83"/>
        <v>#DIV/0!</v>
      </c>
      <c r="G296" s="146"/>
      <c r="H296" s="184" t="str">
        <f t="shared" si="84"/>
        <v>1E+47-7.61763451056825E+49i</v>
      </c>
      <c r="I296" s="132" t="str">
        <f>IMSUM(IMDIV(1,COMPLEX(0,Q296*MLCC*10^-6)),MLCC_ESR*10^-3)</f>
        <v>1E+47-7.61763451056825E+49i</v>
      </c>
      <c r="J296" s="132" t="str">
        <f t="shared" si="85"/>
        <v>5E+46-3.80881725528413E+49i</v>
      </c>
      <c r="K296" s="132"/>
      <c r="L296" s="132" t="e">
        <f t="shared" si="86"/>
        <v>#DIV/0!</v>
      </c>
      <c r="M296" s="132" t="str">
        <f t="shared" si="87"/>
        <v>0</v>
      </c>
      <c r="N296" s="132" t="e">
        <f t="shared" si="88"/>
        <v>#DIV/0!</v>
      </c>
      <c r="O296" s="185" t="e">
        <f t="shared" si="89"/>
        <v>#DIV/0!</v>
      </c>
      <c r="P296" s="185" t="e">
        <f t="shared" si="90"/>
        <v>#DIV/0!</v>
      </c>
      <c r="Q296" s="132">
        <f t="shared" si="91"/>
        <v>1312743.4751728498</v>
      </c>
      <c r="R296" s="132">
        <f t="shared" si="102"/>
        <v>5.3199999999999745</v>
      </c>
      <c r="S296" s="164" t="e">
        <f t="shared" si="92"/>
        <v>#DIV/0!</v>
      </c>
      <c r="T296" s="132" t="e">
        <f t="shared" si="93"/>
        <v>#NUM!</v>
      </c>
      <c r="U296" s="138" t="e">
        <f t="shared" si="94"/>
        <v>#NUM!</v>
      </c>
      <c r="V296" s="132" t="e">
        <f t="shared" si="95"/>
        <v>#NUM!</v>
      </c>
      <c r="W296" s="132">
        <f t="shared" si="96"/>
        <v>41.201756452671894</v>
      </c>
      <c r="X296" s="138">
        <f t="shared" si="97"/>
        <v>-90.5387696939726</v>
      </c>
      <c r="Y296" s="128" t="str">
        <f t="shared" si="98"/>
        <v>-1.07984630978095-114.833505255544i</v>
      </c>
      <c r="Z296" s="128" t="e">
        <f t="shared" si="99"/>
        <v>#NUM!</v>
      </c>
      <c r="AA296" s="128" t="e">
        <f t="shared" si="103"/>
        <v>#NUM!</v>
      </c>
      <c r="AB296" s="128" t="e">
        <f t="shared" si="104"/>
        <v>#NUM!</v>
      </c>
      <c r="AC296" s="128" t="e">
        <f t="shared" si="105"/>
        <v>#NUM!</v>
      </c>
      <c r="AD296" s="128" t="e">
        <f t="shared" si="106"/>
        <v>#NUM!</v>
      </c>
      <c r="AE296" s="128" t="e">
        <f t="shared" si="107"/>
        <v>#NUM!</v>
      </c>
      <c r="AF296" s="130"/>
      <c r="AG296" s="130"/>
      <c r="AH296" s="130"/>
      <c r="AI296" s="130"/>
      <c r="AJ296" s="130"/>
      <c r="AK296" s="130"/>
      <c r="AL296" s="130"/>
      <c r="AM296" s="130"/>
      <c r="AN296" s="130"/>
      <c r="AO296" s="130"/>
      <c r="AP296" s="130"/>
      <c r="AQ296" s="130"/>
      <c r="AR296" s="130"/>
      <c r="AS296" s="130"/>
    </row>
    <row r="297" spans="1:45" s="166" customFormat="1" ht="12.75">
      <c r="A297" s="132" t="e">
        <f t="shared" si="100"/>
        <v>#DIV/0!</v>
      </c>
      <c r="B297" s="132">
        <f t="shared" si="101"/>
        <v>5.339999999999975</v>
      </c>
      <c r="C297" s="146">
        <f t="shared" si="81"/>
        <v>218776.16239494254</v>
      </c>
      <c r="D297" s="137" t="e">
        <f t="shared" si="82"/>
        <v>#DIV/0!</v>
      </c>
      <c r="E297" s="132" t="e">
        <f t="shared" si="83"/>
        <v>#DIV/0!</v>
      </c>
      <c r="G297" s="146"/>
      <c r="H297" s="184" t="str">
        <f t="shared" si="84"/>
        <v>1E+47-7.2747844806137E+49i</v>
      </c>
      <c r="I297" s="132" t="str">
        <f>IMSUM(IMDIV(1,COMPLEX(0,Q297*MLCC*10^-6)),MLCC_ESR*10^-3)</f>
        <v>1E+47-7.2747844806137E+49i</v>
      </c>
      <c r="J297" s="132" t="str">
        <f t="shared" si="85"/>
        <v>5E+46-3.63739224030685E+49i</v>
      </c>
      <c r="K297" s="132"/>
      <c r="L297" s="132" t="e">
        <f t="shared" si="86"/>
        <v>#DIV/0!</v>
      </c>
      <c r="M297" s="132" t="str">
        <f t="shared" si="87"/>
        <v>0</v>
      </c>
      <c r="N297" s="132" t="e">
        <f t="shared" si="88"/>
        <v>#DIV/0!</v>
      </c>
      <c r="O297" s="185" t="e">
        <f t="shared" si="89"/>
        <v>#DIV/0!</v>
      </c>
      <c r="P297" s="185" t="e">
        <f t="shared" si="90"/>
        <v>#DIV/0!</v>
      </c>
      <c r="Q297" s="132">
        <f t="shared" si="91"/>
        <v>1374611.1691210382</v>
      </c>
      <c r="R297" s="132">
        <f t="shared" si="102"/>
        <v>5.339999999999974</v>
      </c>
      <c r="S297" s="164" t="e">
        <f t="shared" si="92"/>
        <v>#DIV/0!</v>
      </c>
      <c r="T297" s="132" t="e">
        <f t="shared" si="93"/>
        <v>#NUM!</v>
      </c>
      <c r="U297" s="138" t="e">
        <f t="shared" si="94"/>
        <v>#NUM!</v>
      </c>
      <c r="V297" s="132" t="e">
        <f t="shared" si="95"/>
        <v>#NUM!</v>
      </c>
      <c r="W297" s="132">
        <f t="shared" si="96"/>
        <v>40.801624053902074</v>
      </c>
      <c r="X297" s="138">
        <f t="shared" si="97"/>
        <v>-90.62477897958945</v>
      </c>
      <c r="Y297" s="128" t="str">
        <f t="shared" si="98"/>
        <v>-1.1958490777803-109.661802951424i</v>
      </c>
      <c r="Z297" s="128" t="e">
        <f t="shared" si="99"/>
        <v>#NUM!</v>
      </c>
      <c r="AA297" s="128" t="e">
        <f t="shared" si="103"/>
        <v>#NUM!</v>
      </c>
      <c r="AB297" s="128" t="e">
        <f t="shared" si="104"/>
        <v>#NUM!</v>
      </c>
      <c r="AC297" s="128" t="e">
        <f t="shared" si="105"/>
        <v>#NUM!</v>
      </c>
      <c r="AD297" s="128" t="e">
        <f t="shared" si="106"/>
        <v>#NUM!</v>
      </c>
      <c r="AE297" s="128" t="e">
        <f t="shared" si="107"/>
        <v>#NUM!</v>
      </c>
      <c r="AF297" s="130"/>
      <c r="AG297" s="130"/>
      <c r="AH297" s="130"/>
      <c r="AI297" s="130"/>
      <c r="AJ297" s="130"/>
      <c r="AK297" s="130"/>
      <c r="AL297" s="130"/>
      <c r="AM297" s="130"/>
      <c r="AN297" s="130"/>
      <c r="AO297" s="130"/>
      <c r="AP297" s="130"/>
      <c r="AQ297" s="130"/>
      <c r="AR297" s="130"/>
      <c r="AS297" s="130"/>
    </row>
    <row r="298" spans="1:45" s="166" customFormat="1" ht="12.75">
      <c r="A298" s="132" t="e">
        <f t="shared" si="100"/>
        <v>#DIV/0!</v>
      </c>
      <c r="B298" s="132">
        <f t="shared" si="101"/>
        <v>5.359999999999974</v>
      </c>
      <c r="C298" s="146">
        <f t="shared" si="81"/>
        <v>229086.76527676353</v>
      </c>
      <c r="D298" s="137" t="e">
        <f t="shared" si="82"/>
        <v>#DIV/0!</v>
      </c>
      <c r="E298" s="132" t="e">
        <f t="shared" si="83"/>
        <v>#DIV/0!</v>
      </c>
      <c r="G298" s="146"/>
      <c r="H298" s="184" t="str">
        <f t="shared" si="84"/>
        <v>1E+47-6.94736524388991E+49i</v>
      </c>
      <c r="I298" s="132" t="str">
        <f>IMSUM(IMDIV(1,COMPLEX(0,Q298*MLCC*10^-6)),MLCC_ESR*10^-3)</f>
        <v>1E+47-6.94736524388991E+49i</v>
      </c>
      <c r="J298" s="132" t="str">
        <f t="shared" si="85"/>
        <v>4.99999999999999E+46-3.47368262194496E+49i</v>
      </c>
      <c r="K298" s="132"/>
      <c r="L298" s="132" t="e">
        <f t="shared" si="86"/>
        <v>#DIV/0!</v>
      </c>
      <c r="M298" s="132" t="str">
        <f t="shared" si="87"/>
        <v>0</v>
      </c>
      <c r="N298" s="132" t="e">
        <f t="shared" si="88"/>
        <v>#DIV/0!</v>
      </c>
      <c r="O298" s="185" t="e">
        <f t="shared" si="89"/>
        <v>#DIV/0!</v>
      </c>
      <c r="P298" s="185" t="e">
        <f t="shared" si="90"/>
        <v>#DIV/0!</v>
      </c>
      <c r="Q298" s="132">
        <f t="shared" si="91"/>
        <v>1439394.5976562593</v>
      </c>
      <c r="R298" s="132">
        <f t="shared" si="102"/>
        <v>5.359999999999974</v>
      </c>
      <c r="S298" s="164" t="e">
        <f t="shared" si="92"/>
        <v>#DIV/0!</v>
      </c>
      <c r="T298" s="132" t="e">
        <f t="shared" si="93"/>
        <v>#NUM!</v>
      </c>
      <c r="U298" s="138" t="e">
        <f t="shared" si="94"/>
        <v>#NUM!</v>
      </c>
      <c r="V298" s="132" t="e">
        <f t="shared" si="95"/>
        <v>#NUM!</v>
      </c>
      <c r="W298" s="132">
        <f t="shared" si="96"/>
        <v>40.40146959051257</v>
      </c>
      <c r="X298" s="138">
        <f t="shared" si="97"/>
        <v>-90.71211053757015</v>
      </c>
      <c r="Y298" s="128" t="str">
        <f t="shared" si="98"/>
        <v>-1.30162858744265-104.722484108858i</v>
      </c>
      <c r="Z298" s="128" t="e">
        <f t="shared" si="99"/>
        <v>#NUM!</v>
      </c>
      <c r="AA298" s="128" t="e">
        <f t="shared" si="103"/>
        <v>#NUM!</v>
      </c>
      <c r="AB298" s="128" t="e">
        <f t="shared" si="104"/>
        <v>#NUM!</v>
      </c>
      <c r="AC298" s="128" t="e">
        <f t="shared" si="105"/>
        <v>#NUM!</v>
      </c>
      <c r="AD298" s="128" t="e">
        <f t="shared" si="106"/>
        <v>#NUM!</v>
      </c>
      <c r="AE298" s="128" t="e">
        <f t="shared" si="107"/>
        <v>#NUM!</v>
      </c>
      <c r="AF298" s="130"/>
      <c r="AG298" s="130"/>
      <c r="AH298" s="130"/>
      <c r="AI298" s="130"/>
      <c r="AJ298" s="130"/>
      <c r="AK298" s="130"/>
      <c r="AL298" s="130"/>
      <c r="AM298" s="130"/>
      <c r="AN298" s="130"/>
      <c r="AO298" s="130"/>
      <c r="AP298" s="130"/>
      <c r="AQ298" s="130"/>
      <c r="AR298" s="130"/>
      <c r="AS298" s="130"/>
    </row>
    <row r="299" spans="1:45" s="166" customFormat="1" ht="12.75">
      <c r="A299" s="132" t="e">
        <f t="shared" si="100"/>
        <v>#DIV/0!</v>
      </c>
      <c r="B299" s="132">
        <f t="shared" si="101"/>
        <v>5.379999999999974</v>
      </c>
      <c r="C299" s="146">
        <f t="shared" si="81"/>
        <v>239883.2919019346</v>
      </c>
      <c r="D299" s="137" t="e">
        <f t="shared" si="82"/>
        <v>#DIV/0!</v>
      </c>
      <c r="E299" s="132" t="e">
        <f t="shared" si="83"/>
        <v>#DIV/0!</v>
      </c>
      <c r="G299" s="146"/>
      <c r="H299" s="184" t="str">
        <f t="shared" si="84"/>
        <v>1E+47-6.63468230029786E+49i</v>
      </c>
      <c r="I299" s="132" t="str">
        <f>IMSUM(IMDIV(1,COMPLEX(0,Q299*MLCC*10^-6)),MLCC_ESR*10^-3)</f>
        <v>1E+47-6.63468230029786E+49i</v>
      </c>
      <c r="J299" s="132" t="str">
        <f t="shared" si="85"/>
        <v>4.99999999999999E+46-3.31734115014893E+49i</v>
      </c>
      <c r="K299" s="132"/>
      <c r="L299" s="132" t="e">
        <f t="shared" si="86"/>
        <v>#DIV/0!</v>
      </c>
      <c r="M299" s="132" t="str">
        <f t="shared" si="87"/>
        <v>0</v>
      </c>
      <c r="N299" s="132" t="e">
        <f t="shared" si="88"/>
        <v>#DIV/0!</v>
      </c>
      <c r="O299" s="185" t="e">
        <f t="shared" si="89"/>
        <v>#DIV/0!</v>
      </c>
      <c r="P299" s="185" t="e">
        <f t="shared" si="90"/>
        <v>#DIV/0!</v>
      </c>
      <c r="Q299" s="132">
        <f t="shared" si="91"/>
        <v>1507231.1751161073</v>
      </c>
      <c r="R299" s="132">
        <f t="shared" si="102"/>
        <v>5.379999999999973</v>
      </c>
      <c r="S299" s="164" t="e">
        <f t="shared" si="92"/>
        <v>#DIV/0!</v>
      </c>
      <c r="T299" s="132" t="e">
        <f t="shared" si="93"/>
        <v>#NUM!</v>
      </c>
      <c r="U299" s="138" t="e">
        <f t="shared" si="94"/>
        <v>#NUM!</v>
      </c>
      <c r="V299" s="132" t="e">
        <f t="shared" si="95"/>
        <v>#NUM!</v>
      </c>
      <c r="W299" s="132">
        <f t="shared" si="96"/>
        <v>40.00129175368912</v>
      </c>
      <c r="X299" s="138">
        <f t="shared" si="97"/>
        <v>-90.80094905176752</v>
      </c>
      <c r="Y299" s="128" t="str">
        <f t="shared" si="98"/>
        <v>-1.39808218549477-100.005100776808i</v>
      </c>
      <c r="Z299" s="128" t="e">
        <f t="shared" si="99"/>
        <v>#NUM!</v>
      </c>
      <c r="AA299" s="128" t="e">
        <f t="shared" si="103"/>
        <v>#NUM!</v>
      </c>
      <c r="AB299" s="128" t="e">
        <f t="shared" si="104"/>
        <v>#NUM!</v>
      </c>
      <c r="AC299" s="128" t="e">
        <f t="shared" si="105"/>
        <v>#NUM!</v>
      </c>
      <c r="AD299" s="128" t="e">
        <f t="shared" si="106"/>
        <v>#NUM!</v>
      </c>
      <c r="AE299" s="128" t="e">
        <f t="shared" si="107"/>
        <v>#NUM!</v>
      </c>
      <c r="AF299" s="130"/>
      <c r="AG299" s="130"/>
      <c r="AH299" s="130"/>
      <c r="AI299" s="130"/>
      <c r="AJ299" s="130"/>
      <c r="AK299" s="130"/>
      <c r="AL299" s="130"/>
      <c r="AM299" s="130"/>
      <c r="AN299" s="130"/>
      <c r="AO299" s="130"/>
      <c r="AP299" s="130"/>
      <c r="AQ299" s="130"/>
      <c r="AR299" s="130"/>
      <c r="AS299" s="130"/>
    </row>
    <row r="300" spans="1:45" s="166" customFormat="1" ht="12.75">
      <c r="A300" s="132" t="e">
        <f t="shared" si="100"/>
        <v>#DIV/0!</v>
      </c>
      <c r="B300" s="132">
        <f t="shared" si="101"/>
        <v>5.399999999999973</v>
      </c>
      <c r="C300" s="146">
        <f t="shared" si="81"/>
        <v>251188.64315094237</v>
      </c>
      <c r="D300" s="137" t="e">
        <f t="shared" si="82"/>
        <v>#DIV/0!</v>
      </c>
      <c r="E300" s="132" t="e">
        <f t="shared" si="83"/>
        <v>#DIV/0!</v>
      </c>
      <c r="G300" s="146"/>
      <c r="H300" s="184" t="str">
        <f t="shared" si="84"/>
        <v>1E+47-6.33607240739212E+49i</v>
      </c>
      <c r="I300" s="132" t="str">
        <f>IMSUM(IMDIV(1,COMPLEX(0,Q300*MLCC*10^-6)),MLCC_ESR*10^-3)</f>
        <v>1E+47-6.33607240739212E+49i</v>
      </c>
      <c r="J300" s="132" t="str">
        <f t="shared" si="85"/>
        <v>4.99999999999997E+46-3.16803620369607E+49i</v>
      </c>
      <c r="K300" s="132"/>
      <c r="L300" s="132" t="e">
        <f t="shared" si="86"/>
        <v>#DIV/0!</v>
      </c>
      <c r="M300" s="132" t="str">
        <f t="shared" si="87"/>
        <v>0</v>
      </c>
      <c r="N300" s="132" t="e">
        <f t="shared" si="88"/>
        <v>#DIV/0!</v>
      </c>
      <c r="O300" s="185" t="e">
        <f t="shared" si="89"/>
        <v>#DIV/0!</v>
      </c>
      <c r="P300" s="185" t="e">
        <f t="shared" si="90"/>
        <v>#DIV/0!</v>
      </c>
      <c r="Q300" s="132">
        <f t="shared" si="91"/>
        <v>1578264.7919763774</v>
      </c>
      <c r="R300" s="132">
        <f t="shared" si="102"/>
        <v>5.399999999999973</v>
      </c>
      <c r="S300" s="164" t="e">
        <f t="shared" si="92"/>
        <v>#DIV/0!</v>
      </c>
      <c r="T300" s="132" t="e">
        <f t="shared" si="93"/>
        <v>#NUM!</v>
      </c>
      <c r="U300" s="138" t="e">
        <f t="shared" si="94"/>
        <v>#NUM!</v>
      </c>
      <c r="V300" s="132" t="e">
        <f t="shared" si="95"/>
        <v>#NUM!</v>
      </c>
      <c r="W300" s="132">
        <f t="shared" si="96"/>
        <v>39.60108903674139</v>
      </c>
      <c r="X300" s="138">
        <f t="shared" si="97"/>
        <v>-90.8914823352122</v>
      </c>
      <c r="Y300" s="128" t="str">
        <f t="shared" si="98"/>
        <v>-1.4860281558837-95.4996720350889i</v>
      </c>
      <c r="Z300" s="128" t="e">
        <f t="shared" si="99"/>
        <v>#NUM!</v>
      </c>
      <c r="AA300" s="128" t="e">
        <f t="shared" si="103"/>
        <v>#NUM!</v>
      </c>
      <c r="AB300" s="128" t="e">
        <f t="shared" si="104"/>
        <v>#NUM!</v>
      </c>
      <c r="AC300" s="128" t="e">
        <f t="shared" si="105"/>
        <v>#NUM!</v>
      </c>
      <c r="AD300" s="128" t="e">
        <f t="shared" si="106"/>
        <v>#NUM!</v>
      </c>
      <c r="AE300" s="128" t="e">
        <f t="shared" si="107"/>
        <v>#NUM!</v>
      </c>
      <c r="AF300" s="130"/>
      <c r="AG300" s="130"/>
      <c r="AH300" s="130"/>
      <c r="AI300" s="130"/>
      <c r="AJ300" s="130"/>
      <c r="AK300" s="130"/>
      <c r="AL300" s="130"/>
      <c r="AM300" s="130"/>
      <c r="AN300" s="130"/>
      <c r="AO300" s="130"/>
      <c r="AP300" s="130"/>
      <c r="AQ300" s="130"/>
      <c r="AR300" s="130"/>
      <c r="AS300" s="130"/>
    </row>
    <row r="301" spans="1:45" s="166" customFormat="1" ht="12.75">
      <c r="A301" s="132" t="e">
        <f t="shared" si="100"/>
        <v>#DIV/0!</v>
      </c>
      <c r="B301" s="132">
        <f t="shared" si="101"/>
        <v>5.419999999999973</v>
      </c>
      <c r="C301" s="146">
        <f t="shared" si="81"/>
        <v>263026.79918952176</v>
      </c>
      <c r="D301" s="137" t="e">
        <f t="shared" si="82"/>
        <v>#DIV/0!</v>
      </c>
      <c r="E301" s="132" t="e">
        <f t="shared" si="83"/>
        <v>#DIV/0!</v>
      </c>
      <c r="G301" s="146"/>
      <c r="H301" s="184" t="str">
        <f t="shared" si="84"/>
        <v>1E+47-6.05090217355447E+49i</v>
      </c>
      <c r="I301" s="132" t="str">
        <f>IMSUM(IMDIV(1,COMPLEX(0,Q301*MLCC*10^-6)),MLCC_ESR*10^-3)</f>
        <v>1E+47-6.05090217355447E+49i</v>
      </c>
      <c r="J301" s="132" t="str">
        <f t="shared" si="85"/>
        <v>4.99999999999997E+46-3.02545108677724E+49i</v>
      </c>
      <c r="K301" s="132"/>
      <c r="L301" s="132" t="e">
        <f t="shared" si="86"/>
        <v>#DIV/0!</v>
      </c>
      <c r="M301" s="132" t="str">
        <f t="shared" si="87"/>
        <v>0</v>
      </c>
      <c r="N301" s="132" t="e">
        <f t="shared" si="88"/>
        <v>#DIV/0!</v>
      </c>
      <c r="O301" s="185" t="e">
        <f t="shared" si="89"/>
        <v>#DIV/0!</v>
      </c>
      <c r="P301" s="185" t="e">
        <f t="shared" si="90"/>
        <v>#DIV/0!</v>
      </c>
      <c r="Q301" s="132">
        <f t="shared" si="91"/>
        <v>1652646.1200620786</v>
      </c>
      <c r="R301" s="132">
        <f t="shared" si="102"/>
        <v>5.419999999999972</v>
      </c>
      <c r="S301" s="164" t="e">
        <f t="shared" si="92"/>
        <v>#DIV/0!</v>
      </c>
      <c r="T301" s="132" t="e">
        <f t="shared" si="93"/>
        <v>#NUM!</v>
      </c>
      <c r="U301" s="138" t="e">
        <f t="shared" si="94"/>
        <v>#NUM!</v>
      </c>
      <c r="V301" s="132" t="e">
        <f t="shared" si="95"/>
        <v>#NUM!</v>
      </c>
      <c r="W301" s="132">
        <f t="shared" si="96"/>
        <v>39.20085972241269</v>
      </c>
      <c r="X301" s="138">
        <f t="shared" si="97"/>
        <v>-90.98390171656723</v>
      </c>
      <c r="Y301" s="128" t="str">
        <f t="shared" si="98"/>
        <v>-1.56621264873436-91.1966633063563i</v>
      </c>
      <c r="Z301" s="128" t="e">
        <f t="shared" si="99"/>
        <v>#NUM!</v>
      </c>
      <c r="AA301" s="128" t="e">
        <f t="shared" si="103"/>
        <v>#NUM!</v>
      </c>
      <c r="AB301" s="128" t="e">
        <f t="shared" si="104"/>
        <v>#NUM!</v>
      </c>
      <c r="AC301" s="128" t="e">
        <f t="shared" si="105"/>
        <v>#NUM!</v>
      </c>
      <c r="AD301" s="128" t="e">
        <f t="shared" si="106"/>
        <v>#NUM!</v>
      </c>
      <c r="AE301" s="128" t="e">
        <f t="shared" si="107"/>
        <v>#NUM!</v>
      </c>
      <c r="AF301" s="130"/>
      <c r="AG301" s="130"/>
      <c r="AH301" s="130"/>
      <c r="AI301" s="130"/>
      <c r="AJ301" s="130"/>
      <c r="AK301" s="130"/>
      <c r="AL301" s="130"/>
      <c r="AM301" s="130"/>
      <c r="AN301" s="130"/>
      <c r="AO301" s="130"/>
      <c r="AP301" s="130"/>
      <c r="AQ301" s="130"/>
      <c r="AR301" s="130"/>
      <c r="AS301" s="130"/>
    </row>
    <row r="302" spans="1:45" s="166" customFormat="1" ht="12.75">
      <c r="A302" s="132" t="e">
        <f t="shared" si="100"/>
        <v>#DIV/0!</v>
      </c>
      <c r="B302" s="132">
        <f t="shared" si="101"/>
        <v>5.439999999999973</v>
      </c>
      <c r="C302" s="146">
        <f t="shared" si="81"/>
        <v>275422.8703337994</v>
      </c>
      <c r="D302" s="137" t="e">
        <f t="shared" si="82"/>
        <v>#DIV/0!</v>
      </c>
      <c r="E302" s="132" t="e">
        <f t="shared" si="83"/>
        <v>#DIV/0!</v>
      </c>
      <c r="G302" s="146"/>
      <c r="H302" s="184" t="str">
        <f t="shared" si="84"/>
        <v>1E+47-5.77856671448551E+49i</v>
      </c>
      <c r="I302" s="132" t="str">
        <f>IMSUM(IMDIV(1,COMPLEX(0,Q302*MLCC*10^-6)),MLCC_ESR*10^-3)</f>
        <v>1E+47-5.77856671448551E+49i</v>
      </c>
      <c r="J302" s="132" t="str">
        <f t="shared" si="85"/>
        <v>4.99999999999998E+46-2.88928335724276E+49i</v>
      </c>
      <c r="K302" s="132"/>
      <c r="L302" s="132" t="e">
        <f t="shared" si="86"/>
        <v>#DIV/0!</v>
      </c>
      <c r="M302" s="132" t="str">
        <f t="shared" si="87"/>
        <v>0</v>
      </c>
      <c r="N302" s="132" t="e">
        <f t="shared" si="88"/>
        <v>#DIV/0!</v>
      </c>
      <c r="O302" s="185" t="e">
        <f t="shared" si="89"/>
        <v>#DIV/0!</v>
      </c>
      <c r="P302" s="185" t="e">
        <f t="shared" si="90"/>
        <v>#DIV/0!</v>
      </c>
      <c r="Q302" s="132">
        <f t="shared" si="91"/>
        <v>1730532.9321425566</v>
      </c>
      <c r="R302" s="132">
        <f t="shared" si="102"/>
        <v>5.439999999999972</v>
      </c>
      <c r="S302" s="164" t="e">
        <f t="shared" si="92"/>
        <v>#DIV/0!</v>
      </c>
      <c r="T302" s="132" t="e">
        <f t="shared" si="93"/>
        <v>#NUM!</v>
      </c>
      <c r="U302" s="138" t="e">
        <f t="shared" si="94"/>
        <v>#NUM!</v>
      </c>
      <c r="V302" s="132" t="e">
        <f t="shared" si="95"/>
        <v>#NUM!</v>
      </c>
      <c r="W302" s="132">
        <f t="shared" si="96"/>
        <v>38.80060186842566</v>
      </c>
      <c r="X302" s="138">
        <f t="shared" si="97"/>
        <v>-91.07840243253374</v>
      </c>
      <c r="Y302" s="128" t="str">
        <f t="shared" si="98"/>
        <v>-1.63931599994354-87.0869665529942i</v>
      </c>
      <c r="Z302" s="128" t="e">
        <f t="shared" si="99"/>
        <v>#NUM!</v>
      </c>
      <c r="AA302" s="128" t="e">
        <f t="shared" si="103"/>
        <v>#NUM!</v>
      </c>
      <c r="AB302" s="128" t="e">
        <f t="shared" si="104"/>
        <v>#NUM!</v>
      </c>
      <c r="AC302" s="128" t="e">
        <f t="shared" si="105"/>
        <v>#NUM!</v>
      </c>
      <c r="AD302" s="128" t="e">
        <f t="shared" si="106"/>
        <v>#NUM!</v>
      </c>
      <c r="AE302" s="128" t="e">
        <f t="shared" si="107"/>
        <v>#NUM!</v>
      </c>
      <c r="AF302" s="130"/>
      <c r="AG302" s="130"/>
      <c r="AH302" s="130"/>
      <c r="AI302" s="130"/>
      <c r="AJ302" s="130"/>
      <c r="AK302" s="130"/>
      <c r="AL302" s="130"/>
      <c r="AM302" s="130"/>
      <c r="AN302" s="130"/>
      <c r="AO302" s="130"/>
      <c r="AP302" s="130"/>
      <c r="AQ302" s="130"/>
      <c r="AR302" s="130"/>
      <c r="AS302" s="130"/>
    </row>
    <row r="303" spans="1:45" s="166" customFormat="1" ht="12.75">
      <c r="A303" s="132" t="e">
        <f t="shared" si="100"/>
        <v>#DIV/0!</v>
      </c>
      <c r="B303" s="132">
        <f t="shared" si="101"/>
        <v>5.4599999999999715</v>
      </c>
      <c r="C303" s="146">
        <f t="shared" si="81"/>
        <v>288403.150312642</v>
      </c>
      <c r="D303" s="137" t="e">
        <f t="shared" si="82"/>
        <v>#DIV/0!</v>
      </c>
      <c r="E303" s="132" t="e">
        <f t="shared" si="83"/>
        <v>#DIV/0!</v>
      </c>
      <c r="G303" s="146"/>
      <c r="H303" s="184" t="str">
        <f t="shared" si="84"/>
        <v>1E+47-5.51848837016392E+49i</v>
      </c>
      <c r="I303" s="132" t="str">
        <f>IMSUM(IMDIV(1,COMPLEX(0,Q303*MLCC*10^-6)),MLCC_ESR*10^-3)</f>
        <v>1E+47-5.51848837016392E+49i</v>
      </c>
      <c r="J303" s="132" t="str">
        <f t="shared" si="85"/>
        <v>4.99999999999997E+46-2.75924418508197E+49i</v>
      </c>
      <c r="K303" s="132"/>
      <c r="L303" s="132" t="e">
        <f t="shared" si="86"/>
        <v>#DIV/0!</v>
      </c>
      <c r="M303" s="132" t="str">
        <f t="shared" si="87"/>
        <v>0</v>
      </c>
      <c r="N303" s="132" t="e">
        <f t="shared" si="88"/>
        <v>#DIV/0!</v>
      </c>
      <c r="O303" s="185" t="e">
        <f t="shared" si="89"/>
        <v>#DIV/0!</v>
      </c>
      <c r="P303" s="185" t="e">
        <f t="shared" si="90"/>
        <v>#DIV/0!</v>
      </c>
      <c r="Q303" s="132">
        <f t="shared" si="91"/>
        <v>1812090.4365886978</v>
      </c>
      <c r="R303" s="132">
        <f t="shared" si="102"/>
        <v>5.4599999999999715</v>
      </c>
      <c r="S303" s="164" t="e">
        <f t="shared" si="92"/>
        <v>#DIV/0!</v>
      </c>
      <c r="T303" s="132" t="e">
        <f t="shared" si="93"/>
        <v>#NUM!</v>
      </c>
      <c r="U303" s="138" t="e">
        <f t="shared" si="94"/>
        <v>#NUM!</v>
      </c>
      <c r="V303" s="132" t="e">
        <f t="shared" si="95"/>
        <v>#NUM!</v>
      </c>
      <c r="W303" s="132">
        <f t="shared" si="96"/>
        <v>38.40031329114237</v>
      </c>
      <c r="X303" s="138">
        <f t="shared" si="97"/>
        <v>-91.17518402678589</v>
      </c>
      <c r="Y303" s="128" t="str">
        <f t="shared" si="98"/>
        <v>-1.70595849456454-83.1618813248916i</v>
      </c>
      <c r="Z303" s="128" t="e">
        <f t="shared" si="99"/>
        <v>#NUM!</v>
      </c>
      <c r="AA303" s="128" t="e">
        <f t="shared" si="103"/>
        <v>#NUM!</v>
      </c>
      <c r="AB303" s="128" t="e">
        <f t="shared" si="104"/>
        <v>#NUM!</v>
      </c>
      <c r="AC303" s="128" t="e">
        <f t="shared" si="105"/>
        <v>#NUM!</v>
      </c>
      <c r="AD303" s="128" t="e">
        <f t="shared" si="106"/>
        <v>#NUM!</v>
      </c>
      <c r="AE303" s="128" t="e">
        <f t="shared" si="107"/>
        <v>#NUM!</v>
      </c>
      <c r="AF303" s="130"/>
      <c r="AG303" s="130"/>
      <c r="AH303" s="130"/>
      <c r="AI303" s="130"/>
      <c r="AJ303" s="130"/>
      <c r="AK303" s="130"/>
      <c r="AL303" s="130"/>
      <c r="AM303" s="130"/>
      <c r="AN303" s="130"/>
      <c r="AO303" s="130"/>
      <c r="AP303" s="130"/>
      <c r="AQ303" s="130"/>
      <c r="AR303" s="130"/>
      <c r="AS303" s="130"/>
    </row>
    <row r="304" spans="1:45" s="166" customFormat="1" ht="12.75">
      <c r="A304" s="132" t="e">
        <f t="shared" si="100"/>
        <v>#DIV/0!</v>
      </c>
      <c r="B304" s="132">
        <f t="shared" si="101"/>
        <v>5.479999999999972</v>
      </c>
      <c r="C304" s="146">
        <f t="shared" si="81"/>
        <v>301995.17204018205</v>
      </c>
      <c r="D304" s="137" t="e">
        <f t="shared" si="82"/>
        <v>#DIV/0!</v>
      </c>
      <c r="E304" s="132" t="e">
        <f t="shared" si="83"/>
        <v>#DIV/0!</v>
      </c>
      <c r="G304" s="146"/>
      <c r="H304" s="184" t="str">
        <f t="shared" si="84"/>
        <v>1E+47-5.27011547955208E+49i</v>
      </c>
      <c r="I304" s="132" t="str">
        <f>IMSUM(IMDIV(1,COMPLEX(0,Q304*MLCC*10^-6)),MLCC_ESR*10^-3)</f>
        <v>1E+47-5.27011547955208E+49i</v>
      </c>
      <c r="J304" s="132" t="str">
        <f t="shared" si="85"/>
        <v>5.00000000000005E+46-2.63505773977603E+49i</v>
      </c>
      <c r="K304" s="132"/>
      <c r="L304" s="132" t="e">
        <f t="shared" si="86"/>
        <v>#DIV/0!</v>
      </c>
      <c r="M304" s="132" t="str">
        <f t="shared" si="87"/>
        <v>0</v>
      </c>
      <c r="N304" s="132" t="e">
        <f t="shared" si="88"/>
        <v>#DIV/0!</v>
      </c>
      <c r="O304" s="185" t="e">
        <f t="shared" si="89"/>
        <v>#DIV/0!</v>
      </c>
      <c r="P304" s="185" t="e">
        <f t="shared" si="90"/>
        <v>#DIV/0!</v>
      </c>
      <c r="Q304" s="132">
        <f t="shared" si="91"/>
        <v>1897491.6278020432</v>
      </c>
      <c r="R304" s="132">
        <f t="shared" si="102"/>
        <v>5.479999999999971</v>
      </c>
      <c r="S304" s="164" t="e">
        <f t="shared" si="92"/>
        <v>#DIV/0!</v>
      </c>
      <c r="T304" s="132" t="e">
        <f t="shared" si="93"/>
        <v>#NUM!</v>
      </c>
      <c r="U304" s="138" t="e">
        <f t="shared" si="94"/>
        <v>#NUM!</v>
      </c>
      <c r="V304" s="132" t="e">
        <f t="shared" si="95"/>
        <v>#NUM!</v>
      </c>
      <c r="W304" s="132">
        <f t="shared" si="96"/>
        <v>37.9999915472072</v>
      </c>
      <c r="X304" s="138">
        <f t="shared" si="97"/>
        <v>-91.27445075599373</v>
      </c>
      <c r="Y304" s="128" t="str">
        <f t="shared" si="98"/>
        <v>-1.76670562249995-79.4130966249346i</v>
      </c>
      <c r="Z304" s="128" t="e">
        <f t="shared" si="99"/>
        <v>#NUM!</v>
      </c>
      <c r="AA304" s="128" t="e">
        <f t="shared" si="103"/>
        <v>#NUM!</v>
      </c>
      <c r="AB304" s="128" t="e">
        <f t="shared" si="104"/>
        <v>#NUM!</v>
      </c>
      <c r="AC304" s="128" t="e">
        <f t="shared" si="105"/>
        <v>#NUM!</v>
      </c>
      <c r="AD304" s="128" t="e">
        <f t="shared" si="106"/>
        <v>#NUM!</v>
      </c>
      <c r="AE304" s="128" t="e">
        <f t="shared" si="107"/>
        <v>#NUM!</v>
      </c>
      <c r="AF304" s="130"/>
      <c r="AG304" s="130"/>
      <c r="AH304" s="130"/>
      <c r="AI304" s="130"/>
      <c r="AJ304" s="130"/>
      <c r="AK304" s="130"/>
      <c r="AL304" s="130"/>
      <c r="AM304" s="130"/>
      <c r="AN304" s="130"/>
      <c r="AO304" s="130"/>
      <c r="AP304" s="130"/>
      <c r="AQ304" s="130"/>
      <c r="AR304" s="130"/>
      <c r="AS304" s="130"/>
    </row>
    <row r="305" spans="1:45" s="166" customFormat="1" ht="12.75">
      <c r="A305" s="132" t="e">
        <f t="shared" si="100"/>
        <v>#DIV/0!</v>
      </c>
      <c r="B305" s="132">
        <f t="shared" si="101"/>
        <v>5.499999999999971</v>
      </c>
      <c r="C305" s="146">
        <f t="shared" si="81"/>
        <v>316227.76601681684</v>
      </c>
      <c r="D305" s="137" t="e">
        <f t="shared" si="82"/>
        <v>#DIV/0!</v>
      </c>
      <c r="E305" s="132" t="e">
        <f t="shared" si="83"/>
        <v>#DIV/0!</v>
      </c>
      <c r="G305" s="146"/>
      <c r="H305" s="184" t="str">
        <f t="shared" si="84"/>
        <v>1E+47-5.03292121044903E+49i</v>
      </c>
      <c r="I305" s="132" t="str">
        <f>IMSUM(IMDIV(1,COMPLEX(0,Q305*MLCC*10^-6)),MLCC_ESR*10^-3)</f>
        <v>1E+47-5.03292121044903E+49i</v>
      </c>
      <c r="J305" s="132" t="str">
        <f t="shared" si="85"/>
        <v>5.00000000000004E+46-2.5164606052245E+49i</v>
      </c>
      <c r="K305" s="132"/>
      <c r="L305" s="132" t="e">
        <f t="shared" si="86"/>
        <v>#DIV/0!</v>
      </c>
      <c r="M305" s="132" t="str">
        <f t="shared" si="87"/>
        <v>0</v>
      </c>
      <c r="N305" s="132" t="e">
        <f t="shared" si="88"/>
        <v>#DIV/0!</v>
      </c>
      <c r="O305" s="185" t="e">
        <f t="shared" si="89"/>
        <v>#DIV/0!</v>
      </c>
      <c r="P305" s="185" t="e">
        <f t="shared" si="90"/>
        <v>#DIV/0!</v>
      </c>
      <c r="Q305" s="132">
        <f t="shared" si="91"/>
        <v>1986917.6531590875</v>
      </c>
      <c r="R305" s="132">
        <f t="shared" si="102"/>
        <v>5.499999999999971</v>
      </c>
      <c r="S305" s="164" t="e">
        <f t="shared" si="92"/>
        <v>#DIV/0!</v>
      </c>
      <c r="T305" s="132" t="e">
        <f t="shared" si="93"/>
        <v>#NUM!</v>
      </c>
      <c r="U305" s="138" t="e">
        <f t="shared" si="94"/>
        <v>#NUM!</v>
      </c>
      <c r="V305" s="132" t="e">
        <f t="shared" si="95"/>
        <v>#NUM!</v>
      </c>
      <c r="W305" s="132">
        <f t="shared" si="96"/>
        <v>37.599633913022046</v>
      </c>
      <c r="X305" s="138">
        <f t="shared" si="97"/>
        <v>-91.37641200346886</v>
      </c>
      <c r="Y305" s="128" t="str">
        <f t="shared" si="98"/>
        <v>-1.82207287078038-75.8326735598495i</v>
      </c>
      <c r="Z305" s="128" t="e">
        <f t="shared" si="99"/>
        <v>#NUM!</v>
      </c>
      <c r="AA305" s="128" t="e">
        <f t="shared" si="103"/>
        <v>#NUM!</v>
      </c>
      <c r="AB305" s="128" t="e">
        <f t="shared" si="104"/>
        <v>#NUM!</v>
      </c>
      <c r="AC305" s="128" t="e">
        <f t="shared" si="105"/>
        <v>#NUM!</v>
      </c>
      <c r="AD305" s="128" t="e">
        <f t="shared" si="106"/>
        <v>#NUM!</v>
      </c>
      <c r="AE305" s="128" t="e">
        <f t="shared" si="107"/>
        <v>#NUM!</v>
      </c>
      <c r="AF305" s="130"/>
      <c r="AG305" s="130"/>
      <c r="AH305" s="130"/>
      <c r="AI305" s="130"/>
      <c r="AJ305" s="130"/>
      <c r="AK305" s="130"/>
      <c r="AL305" s="130"/>
      <c r="AM305" s="130"/>
      <c r="AN305" s="130"/>
      <c r="AO305" s="130"/>
      <c r="AP305" s="130"/>
      <c r="AQ305" s="130"/>
      <c r="AR305" s="130"/>
      <c r="AS305" s="130"/>
    </row>
    <row r="306" spans="1:45" s="166" customFormat="1" ht="12.75">
      <c r="A306" s="132" t="e">
        <f t="shared" si="100"/>
        <v>#DIV/0!</v>
      </c>
      <c r="B306" s="132">
        <f t="shared" si="101"/>
        <v>5.519999999999971</v>
      </c>
      <c r="C306" s="146">
        <f t="shared" si="81"/>
        <v>331131.1214825689</v>
      </c>
      <c r="D306" s="137" t="e">
        <f t="shared" si="82"/>
        <v>#DIV/0!</v>
      </c>
      <c r="E306" s="132" t="e">
        <f t="shared" si="83"/>
        <v>#DIV/0!</v>
      </c>
      <c r="G306" s="146"/>
      <c r="H306" s="184" t="str">
        <f t="shared" si="84"/>
        <v>1E+47-4.80640244200886E+49i</v>
      </c>
      <c r="I306" s="132" t="str">
        <f>IMSUM(IMDIV(1,COMPLEX(0,Q306*MLCC*10^-6)),MLCC_ESR*10^-3)</f>
        <v>1E+47-4.80640244200886E+49i</v>
      </c>
      <c r="J306" s="132" t="str">
        <f t="shared" si="85"/>
        <v>5.00000000000001E+46-2.40320122100443E+49i</v>
      </c>
      <c r="K306" s="132"/>
      <c r="L306" s="132" t="e">
        <f t="shared" si="86"/>
        <v>#DIV/0!</v>
      </c>
      <c r="M306" s="132" t="str">
        <f t="shared" si="87"/>
        <v>0</v>
      </c>
      <c r="N306" s="132" t="e">
        <f t="shared" si="88"/>
        <v>#DIV/0!</v>
      </c>
      <c r="O306" s="185" t="e">
        <f t="shared" si="89"/>
        <v>#DIV/0!</v>
      </c>
      <c r="P306" s="185" t="e">
        <f t="shared" si="90"/>
        <v>#DIV/0!</v>
      </c>
      <c r="Q306" s="132">
        <f t="shared" si="91"/>
        <v>2080558.1972491755</v>
      </c>
      <c r="R306" s="132">
        <f t="shared" si="102"/>
        <v>5.51999999999997</v>
      </c>
      <c r="S306" s="164" t="e">
        <f t="shared" si="92"/>
        <v>#DIV/0!</v>
      </c>
      <c r="T306" s="132" t="e">
        <f t="shared" si="93"/>
        <v>#NUM!</v>
      </c>
      <c r="U306" s="138" t="e">
        <f t="shared" si="94"/>
        <v>#NUM!</v>
      </c>
      <c r="V306" s="132" t="e">
        <f t="shared" si="95"/>
        <v>#NUM!</v>
      </c>
      <c r="W306" s="132">
        <f t="shared" si="96"/>
        <v>37.19923736188663</v>
      </c>
      <c r="X306" s="138">
        <f t="shared" si="97"/>
        <v>-91.48128270094</v>
      </c>
      <c r="Y306" s="128" t="str">
        <f t="shared" si="98"/>
        <v>-1.87253009283287-72.4130287449305i</v>
      </c>
      <c r="Z306" s="128" t="e">
        <f t="shared" si="99"/>
        <v>#NUM!</v>
      </c>
      <c r="AA306" s="128" t="e">
        <f t="shared" si="103"/>
        <v>#NUM!</v>
      </c>
      <c r="AB306" s="128" t="e">
        <f t="shared" si="104"/>
        <v>#NUM!</v>
      </c>
      <c r="AC306" s="128" t="e">
        <f t="shared" si="105"/>
        <v>#NUM!</v>
      </c>
      <c r="AD306" s="128" t="e">
        <f t="shared" si="106"/>
        <v>#NUM!</v>
      </c>
      <c r="AE306" s="128" t="e">
        <f t="shared" si="107"/>
        <v>#NUM!</v>
      </c>
      <c r="AF306" s="130"/>
      <c r="AG306" s="130"/>
      <c r="AH306" s="130"/>
      <c r="AI306" s="130"/>
      <c r="AJ306" s="130"/>
      <c r="AK306" s="130"/>
      <c r="AL306" s="130"/>
      <c r="AM306" s="130"/>
      <c r="AN306" s="130"/>
      <c r="AO306" s="130"/>
      <c r="AP306" s="130"/>
      <c r="AQ306" s="130"/>
      <c r="AR306" s="130"/>
      <c r="AS306" s="130"/>
    </row>
    <row r="307" spans="1:45" s="166" customFormat="1" ht="12.75">
      <c r="A307" s="132" t="e">
        <f t="shared" si="100"/>
        <v>#DIV/0!</v>
      </c>
      <c r="B307" s="132">
        <f t="shared" si="101"/>
        <v>5.53999999999997</v>
      </c>
      <c r="C307" s="146">
        <f t="shared" si="81"/>
        <v>346736.85045250773</v>
      </c>
      <c r="D307" s="137" t="e">
        <f t="shared" si="82"/>
        <v>#DIV/0!</v>
      </c>
      <c r="E307" s="132" t="e">
        <f t="shared" si="83"/>
        <v>#DIV/0!</v>
      </c>
      <c r="G307" s="146"/>
      <c r="H307" s="184" t="str">
        <f t="shared" si="84"/>
        <v>1E+47-4.5900786975538E+49i</v>
      </c>
      <c r="I307" s="132" t="str">
        <f>IMSUM(IMDIV(1,COMPLEX(0,Q307*MLCC*10^-6)),MLCC_ESR*10^-3)</f>
        <v>1E+47-4.5900786975538E+49i</v>
      </c>
      <c r="J307" s="132" t="str">
        <f t="shared" si="85"/>
        <v>5E+46-2.2950393487769E+49i</v>
      </c>
      <c r="K307" s="132"/>
      <c r="L307" s="132" t="e">
        <f t="shared" si="86"/>
        <v>#DIV/0!</v>
      </c>
      <c r="M307" s="132" t="str">
        <f t="shared" si="87"/>
        <v>0</v>
      </c>
      <c r="N307" s="132" t="e">
        <f t="shared" si="88"/>
        <v>#DIV/0!</v>
      </c>
      <c r="O307" s="185" t="e">
        <f t="shared" si="89"/>
        <v>#DIV/0!</v>
      </c>
      <c r="P307" s="185" t="e">
        <f t="shared" si="90"/>
        <v>#DIV/0!</v>
      </c>
      <c r="Q307" s="132">
        <f t="shared" si="91"/>
        <v>2178611.884220922</v>
      </c>
      <c r="R307" s="132">
        <f t="shared" si="102"/>
        <v>5.53999999999997</v>
      </c>
      <c r="S307" s="164" t="e">
        <f t="shared" si="92"/>
        <v>#DIV/0!</v>
      </c>
      <c r="T307" s="132" t="e">
        <f t="shared" si="93"/>
        <v>#NUM!</v>
      </c>
      <c r="U307" s="138" t="e">
        <f t="shared" si="94"/>
        <v>#NUM!</v>
      </c>
      <c r="V307" s="132" t="e">
        <f t="shared" si="95"/>
        <v>#NUM!</v>
      </c>
      <c r="W307" s="132">
        <f t="shared" si="96"/>
        <v>36.79879853861887</v>
      </c>
      <c r="X307" s="138">
        <f t="shared" si="97"/>
        <v>-91.58928375893106</v>
      </c>
      <c r="Y307" s="128" t="str">
        <f t="shared" si="98"/>
        <v>-1.91850549160103-69.1469184321104i</v>
      </c>
      <c r="Z307" s="128" t="e">
        <f t="shared" si="99"/>
        <v>#NUM!</v>
      </c>
      <c r="AA307" s="128" t="e">
        <f t="shared" si="103"/>
        <v>#NUM!</v>
      </c>
      <c r="AB307" s="128" t="e">
        <f t="shared" si="104"/>
        <v>#NUM!</v>
      </c>
      <c r="AC307" s="128" t="e">
        <f t="shared" si="105"/>
        <v>#NUM!</v>
      </c>
      <c r="AD307" s="128" t="e">
        <f t="shared" si="106"/>
        <v>#NUM!</v>
      </c>
      <c r="AE307" s="128" t="e">
        <f t="shared" si="107"/>
        <v>#NUM!</v>
      </c>
      <c r="AF307" s="130"/>
      <c r="AG307" s="130"/>
      <c r="AH307" s="130"/>
      <c r="AI307" s="130"/>
      <c r="AJ307" s="130"/>
      <c r="AK307" s="130"/>
      <c r="AL307" s="130"/>
      <c r="AM307" s="130"/>
      <c r="AN307" s="130"/>
      <c r="AO307" s="130"/>
      <c r="AP307" s="130"/>
      <c r="AQ307" s="130"/>
      <c r="AR307" s="130"/>
      <c r="AS307" s="130"/>
    </row>
    <row r="308" spans="1:45" s="166" customFormat="1" ht="12.75">
      <c r="A308" s="132" t="e">
        <f t="shared" si="100"/>
        <v>#DIV/0!</v>
      </c>
      <c r="B308" s="132">
        <f t="shared" si="101"/>
        <v>5.55999999999997</v>
      </c>
      <c r="C308" s="146">
        <f t="shared" si="81"/>
        <v>363078.05477007624</v>
      </c>
      <c r="D308" s="137" t="e">
        <f t="shared" si="82"/>
        <v>#DIV/0!</v>
      </c>
      <c r="E308" s="132" t="e">
        <f t="shared" si="83"/>
        <v>#DIV/0!</v>
      </c>
      <c r="G308" s="146"/>
      <c r="H308" s="184" t="str">
        <f t="shared" si="84"/>
        <v>1E+47-4.3834911254188E+49i</v>
      </c>
      <c r="I308" s="132" t="str">
        <f>IMSUM(IMDIV(1,COMPLEX(0,Q308*MLCC*10^-6)),MLCC_ESR*10^-3)</f>
        <v>1E+47-4.3834911254188E+49i</v>
      </c>
      <c r="J308" s="132" t="str">
        <f t="shared" si="85"/>
        <v>4.99999999999999E+46-2.1917455627094E+49i</v>
      </c>
      <c r="K308" s="132"/>
      <c r="L308" s="132" t="e">
        <f t="shared" si="86"/>
        <v>#DIV/0!</v>
      </c>
      <c r="M308" s="132" t="str">
        <f t="shared" si="87"/>
        <v>0</v>
      </c>
      <c r="N308" s="132" t="e">
        <f t="shared" si="88"/>
        <v>#DIV/0!</v>
      </c>
      <c r="O308" s="185" t="e">
        <f t="shared" si="89"/>
        <v>#DIV/0!</v>
      </c>
      <c r="P308" s="185" t="e">
        <f t="shared" si="90"/>
        <v>#DIV/0!</v>
      </c>
      <c r="Q308" s="132">
        <f t="shared" si="91"/>
        <v>2281286.699090688</v>
      </c>
      <c r="R308" s="132">
        <f t="shared" si="102"/>
        <v>5.559999999999969</v>
      </c>
      <c r="S308" s="164" t="e">
        <f t="shared" si="92"/>
        <v>#DIV/0!</v>
      </c>
      <c r="T308" s="132" t="e">
        <f t="shared" si="93"/>
        <v>#NUM!</v>
      </c>
      <c r="U308" s="138" t="e">
        <f t="shared" si="94"/>
        <v>#NUM!</v>
      </c>
      <c r="V308" s="132" t="e">
        <f t="shared" si="95"/>
        <v>#NUM!</v>
      </c>
      <c r="W308" s="132">
        <f t="shared" si="96"/>
        <v>36.398313731451275</v>
      </c>
      <c r="X308" s="138">
        <f t="shared" si="97"/>
        <v>-91.70064250617395</v>
      </c>
      <c r="Y308" s="128" t="str">
        <f t="shared" si="98"/>
        <v>-1.96038925014368-66.0274233317895i</v>
      </c>
      <c r="Z308" s="128" t="e">
        <f t="shared" si="99"/>
        <v>#NUM!</v>
      </c>
      <c r="AA308" s="128" t="e">
        <f t="shared" si="103"/>
        <v>#NUM!</v>
      </c>
      <c r="AB308" s="128" t="e">
        <f t="shared" si="104"/>
        <v>#NUM!</v>
      </c>
      <c r="AC308" s="128" t="e">
        <f t="shared" si="105"/>
        <v>#NUM!</v>
      </c>
      <c r="AD308" s="128" t="e">
        <f t="shared" si="106"/>
        <v>#NUM!</v>
      </c>
      <c r="AE308" s="128" t="e">
        <f t="shared" si="107"/>
        <v>#NUM!</v>
      </c>
      <c r="AF308" s="130"/>
      <c r="AG308" s="130"/>
      <c r="AH308" s="130"/>
      <c r="AI308" s="130"/>
      <c r="AJ308" s="130"/>
      <c r="AK308" s="130"/>
      <c r="AL308" s="130"/>
      <c r="AM308" s="130"/>
      <c r="AN308" s="130"/>
      <c r="AO308" s="130"/>
      <c r="AP308" s="130"/>
      <c r="AQ308" s="130"/>
      <c r="AR308" s="130"/>
      <c r="AS308" s="130"/>
    </row>
    <row r="309" spans="1:45" s="166" customFormat="1" ht="12.75">
      <c r="A309" s="132" t="e">
        <f t="shared" si="100"/>
        <v>#DIV/0!</v>
      </c>
      <c r="B309" s="132">
        <f t="shared" si="101"/>
        <v>5.579999999999969</v>
      </c>
      <c r="C309" s="146">
        <f t="shared" si="81"/>
        <v>380189.3963205342</v>
      </c>
      <c r="D309" s="137" t="e">
        <f t="shared" si="82"/>
        <v>#DIV/0!</v>
      </c>
      <c r="E309" s="132" t="e">
        <f t="shared" si="83"/>
        <v>#DIV/0!</v>
      </c>
      <c r="G309" s="146"/>
      <c r="H309" s="184" t="str">
        <f t="shared" si="84"/>
        <v>1E+47-4.18620152566573E+49i</v>
      </c>
      <c r="I309" s="132" t="str">
        <f>IMSUM(IMDIV(1,COMPLEX(0,Q309*MLCC*10^-6)),MLCC_ESR*10^-3)</f>
        <v>1E+47-4.18620152566573E+49i</v>
      </c>
      <c r="J309" s="132" t="str">
        <f t="shared" si="85"/>
        <v>5E+46-2.09310076283287E+49i</v>
      </c>
      <c r="K309" s="132"/>
      <c r="L309" s="132" t="e">
        <f t="shared" si="86"/>
        <v>#DIV/0!</v>
      </c>
      <c r="M309" s="132" t="str">
        <f t="shared" si="87"/>
        <v>0</v>
      </c>
      <c r="N309" s="132" t="e">
        <f t="shared" si="88"/>
        <v>#DIV/0!</v>
      </c>
      <c r="O309" s="185" t="e">
        <f t="shared" si="89"/>
        <v>#DIV/0!</v>
      </c>
      <c r="P309" s="185" t="e">
        <f t="shared" si="90"/>
        <v>#DIV/0!</v>
      </c>
      <c r="Q309" s="132">
        <f t="shared" si="91"/>
        <v>2388800.428906657</v>
      </c>
      <c r="R309" s="132">
        <f t="shared" si="102"/>
        <v>5.579999999999969</v>
      </c>
      <c r="S309" s="164" t="e">
        <f t="shared" si="92"/>
        <v>#DIV/0!</v>
      </c>
      <c r="T309" s="132" t="e">
        <f t="shared" si="93"/>
        <v>#NUM!</v>
      </c>
      <c r="U309" s="138" t="e">
        <f t="shared" si="94"/>
        <v>#NUM!</v>
      </c>
      <c r="V309" s="132" t="e">
        <f t="shared" si="95"/>
        <v>#NUM!</v>
      </c>
      <c r="W309" s="132">
        <f t="shared" si="96"/>
        <v>35.99777884097625</v>
      </c>
      <c r="X309" s="138">
        <f t="shared" si="97"/>
        <v>-91.81559313843839</v>
      </c>
      <c r="Y309" s="128" t="str">
        <f t="shared" si="98"/>
        <v>-1.99853684038081-63.0479340997795i</v>
      </c>
      <c r="Z309" s="128" t="e">
        <f t="shared" si="99"/>
        <v>#NUM!</v>
      </c>
      <c r="AA309" s="128" t="e">
        <f t="shared" si="103"/>
        <v>#NUM!</v>
      </c>
      <c r="AB309" s="128" t="e">
        <f t="shared" si="104"/>
        <v>#NUM!</v>
      </c>
      <c r="AC309" s="128" t="e">
        <f t="shared" si="105"/>
        <v>#NUM!</v>
      </c>
      <c r="AD309" s="128" t="e">
        <f t="shared" si="106"/>
        <v>#NUM!</v>
      </c>
      <c r="AE309" s="128" t="e">
        <f t="shared" si="107"/>
        <v>#NUM!</v>
      </c>
      <c r="AF309" s="130"/>
      <c r="AG309" s="130"/>
      <c r="AH309" s="130"/>
      <c r="AI309" s="130"/>
      <c r="AJ309" s="130"/>
      <c r="AK309" s="130"/>
      <c r="AL309" s="130"/>
      <c r="AM309" s="130"/>
      <c r="AN309" s="130"/>
      <c r="AO309" s="130"/>
      <c r="AP309" s="130"/>
      <c r="AQ309" s="130"/>
      <c r="AR309" s="130"/>
      <c r="AS309" s="130"/>
    </row>
    <row r="310" spans="1:45" s="166" customFormat="1" ht="12.75">
      <c r="A310" s="132" t="e">
        <f t="shared" si="100"/>
        <v>#DIV/0!</v>
      </c>
      <c r="B310" s="132">
        <f t="shared" si="101"/>
        <v>5.5999999999999694</v>
      </c>
      <c r="C310" s="146">
        <f t="shared" si="81"/>
        <v>398107.17055346887</v>
      </c>
      <c r="D310" s="137" t="e">
        <f t="shared" si="82"/>
        <v>#DIV/0!</v>
      </c>
      <c r="E310" s="132" t="e">
        <f t="shared" si="83"/>
        <v>#DIV/0!</v>
      </c>
      <c r="G310" s="146"/>
      <c r="H310" s="184" t="str">
        <f t="shared" si="84"/>
        <v>1E+47-3.9977914206024E+49i</v>
      </c>
      <c r="I310" s="132" t="str">
        <f>IMSUM(IMDIV(1,COMPLEX(0,Q310*MLCC*10^-6)),MLCC_ESR*10^-3)</f>
        <v>1E+47-3.9977914206024E+49i</v>
      </c>
      <c r="J310" s="132" t="str">
        <f t="shared" si="85"/>
        <v>4.99999999999999E+46-1.99889571030121E+49i</v>
      </c>
      <c r="K310" s="132"/>
      <c r="L310" s="132" t="e">
        <f t="shared" si="86"/>
        <v>#DIV/0!</v>
      </c>
      <c r="M310" s="132" t="str">
        <f t="shared" si="87"/>
        <v>0</v>
      </c>
      <c r="N310" s="132" t="e">
        <f t="shared" si="88"/>
        <v>#DIV/0!</v>
      </c>
      <c r="O310" s="185" t="e">
        <f t="shared" si="89"/>
        <v>#DIV/0!</v>
      </c>
      <c r="P310" s="185" t="e">
        <f t="shared" si="90"/>
        <v>#DIV/0!</v>
      </c>
      <c r="Q310" s="132">
        <f t="shared" si="91"/>
        <v>2501381.124704393</v>
      </c>
      <c r="R310" s="132">
        <f t="shared" si="102"/>
        <v>5.599999999999969</v>
      </c>
      <c r="S310" s="164" t="e">
        <f t="shared" si="92"/>
        <v>#DIV/0!</v>
      </c>
      <c r="T310" s="132" t="e">
        <f t="shared" si="93"/>
        <v>#NUM!</v>
      </c>
      <c r="U310" s="138" t="e">
        <f t="shared" si="94"/>
        <v>#NUM!</v>
      </c>
      <c r="V310" s="132" t="e">
        <f t="shared" si="95"/>
        <v>#NUM!</v>
      </c>
      <c r="W310" s="132">
        <f t="shared" si="96"/>
        <v>35.59718934589286</v>
      </c>
      <c r="X310" s="138">
        <f t="shared" si="97"/>
        <v>-91.93437717710485</v>
      </c>
      <c r="Y310" s="128" t="str">
        <f t="shared" si="98"/>
        <v>-2.033272037955-60.2021374617089i</v>
      </c>
      <c r="Z310" s="128" t="e">
        <f t="shared" si="99"/>
        <v>#NUM!</v>
      </c>
      <c r="AA310" s="128" t="e">
        <f t="shared" si="103"/>
        <v>#NUM!</v>
      </c>
      <c r="AB310" s="128" t="e">
        <f t="shared" si="104"/>
        <v>#NUM!</v>
      </c>
      <c r="AC310" s="128" t="e">
        <f t="shared" si="105"/>
        <v>#NUM!</v>
      </c>
      <c r="AD310" s="128" t="e">
        <f t="shared" si="106"/>
        <v>#NUM!</v>
      </c>
      <c r="AE310" s="128" t="e">
        <f t="shared" si="107"/>
        <v>#NUM!</v>
      </c>
      <c r="AF310" s="130"/>
      <c r="AG310" s="130"/>
      <c r="AH310" s="130"/>
      <c r="AI310" s="130"/>
      <c r="AJ310" s="130"/>
      <c r="AK310" s="130"/>
      <c r="AL310" s="130"/>
      <c r="AM310" s="130"/>
      <c r="AN310" s="130"/>
      <c r="AO310" s="130"/>
      <c r="AP310" s="130"/>
      <c r="AQ310" s="130"/>
      <c r="AR310" s="130"/>
      <c r="AS310" s="130"/>
    </row>
    <row r="311" spans="1:45" s="166" customFormat="1" ht="12.75">
      <c r="A311" s="132" t="e">
        <f t="shared" si="100"/>
        <v>#DIV/0!</v>
      </c>
      <c r="B311" s="132">
        <f t="shared" si="101"/>
        <v>5.619999999999969</v>
      </c>
      <c r="C311" s="146">
        <f t="shared" si="81"/>
        <v>416869.3834703056</v>
      </c>
      <c r="D311" s="137" t="e">
        <f t="shared" si="82"/>
        <v>#DIV/0!</v>
      </c>
      <c r="E311" s="132" t="e">
        <f t="shared" si="83"/>
        <v>#DIV/0!</v>
      </c>
      <c r="G311" s="146"/>
      <c r="H311" s="184" t="str">
        <f t="shared" si="84"/>
        <v>1E+47-3.81786116713539E+49i</v>
      </c>
      <c r="I311" s="132" t="str">
        <f>IMSUM(IMDIV(1,COMPLEX(0,Q311*MLCC*10^-6)),MLCC_ESR*10^-3)</f>
        <v>1E+47-3.81786116713539E+49i</v>
      </c>
      <c r="J311" s="132" t="str">
        <f t="shared" si="85"/>
        <v>5E+46-1.90893058356769E+49i</v>
      </c>
      <c r="K311" s="132"/>
      <c r="L311" s="132" t="e">
        <f t="shared" si="86"/>
        <v>#DIV/0!</v>
      </c>
      <c r="M311" s="132" t="str">
        <f t="shared" si="87"/>
        <v>0</v>
      </c>
      <c r="N311" s="132" t="e">
        <f t="shared" si="88"/>
        <v>#DIV/0!</v>
      </c>
      <c r="O311" s="185" t="e">
        <f t="shared" si="89"/>
        <v>#DIV/0!</v>
      </c>
      <c r="P311" s="185" t="e">
        <f t="shared" si="90"/>
        <v>#DIV/0!</v>
      </c>
      <c r="Q311" s="132">
        <f t="shared" si="91"/>
        <v>2619267.5852336367</v>
      </c>
      <c r="R311" s="132">
        <f t="shared" si="102"/>
        <v>5.619999999999968</v>
      </c>
      <c r="S311" s="164" t="e">
        <f t="shared" si="92"/>
        <v>#DIV/0!</v>
      </c>
      <c r="T311" s="132" t="e">
        <f t="shared" si="93"/>
        <v>#NUM!</v>
      </c>
      <c r="U311" s="138" t="e">
        <f t="shared" si="94"/>
        <v>#NUM!</v>
      </c>
      <c r="V311" s="132" t="e">
        <f t="shared" si="95"/>
        <v>#NUM!</v>
      </c>
      <c r="W311" s="132">
        <f t="shared" si="96"/>
        <v>35.196540265282586</v>
      </c>
      <c r="X311" s="138">
        <f t="shared" si="97"/>
        <v>-92.05724393773599</v>
      </c>
      <c r="Y311" s="128" t="str">
        <f t="shared" si="98"/>
        <v>-2.06488966870761-57.4840029481988i</v>
      </c>
      <c r="Z311" s="128" t="e">
        <f t="shared" si="99"/>
        <v>#NUM!</v>
      </c>
      <c r="AA311" s="128" t="e">
        <f t="shared" si="103"/>
        <v>#NUM!</v>
      </c>
      <c r="AB311" s="128" t="e">
        <f t="shared" si="104"/>
        <v>#NUM!</v>
      </c>
      <c r="AC311" s="128" t="e">
        <f t="shared" si="105"/>
        <v>#NUM!</v>
      </c>
      <c r="AD311" s="128" t="e">
        <f t="shared" si="106"/>
        <v>#NUM!</v>
      </c>
      <c r="AE311" s="128" t="e">
        <f t="shared" si="107"/>
        <v>#NUM!</v>
      </c>
      <c r="AF311" s="130"/>
      <c r="AG311" s="130"/>
      <c r="AH311" s="130"/>
      <c r="AI311" s="130"/>
      <c r="AJ311" s="130"/>
      <c r="AK311" s="130"/>
      <c r="AL311" s="130"/>
      <c r="AM311" s="130"/>
      <c r="AN311" s="130"/>
      <c r="AO311" s="130"/>
      <c r="AP311" s="130"/>
      <c r="AQ311" s="130"/>
      <c r="AR311" s="130"/>
      <c r="AS311" s="130"/>
    </row>
    <row r="312" spans="1:45" s="166" customFormat="1" ht="12.75">
      <c r="A312" s="132" t="e">
        <f t="shared" si="100"/>
        <v>#DIV/0!</v>
      </c>
      <c r="B312" s="132">
        <f t="shared" si="101"/>
        <v>5.639999999999968</v>
      </c>
      <c r="C312" s="146">
        <f t="shared" si="81"/>
        <v>436515.8322401339</v>
      </c>
      <c r="D312" s="137" t="e">
        <f t="shared" si="82"/>
        <v>#DIV/0!</v>
      </c>
      <c r="E312" s="132" t="e">
        <f t="shared" si="83"/>
        <v>#DIV/0!</v>
      </c>
      <c r="G312" s="146"/>
      <c r="H312" s="184" t="str">
        <f t="shared" si="84"/>
        <v>1E+47-3.64602910907345E+49i</v>
      </c>
      <c r="I312" s="132" t="str">
        <f>IMSUM(IMDIV(1,COMPLEX(0,Q312*MLCC*10^-6)),MLCC_ESR*10^-3)</f>
        <v>1E+47-3.64602910907345E+49i</v>
      </c>
      <c r="J312" s="132" t="str">
        <f t="shared" si="85"/>
        <v>5.00000000000001E+46-1.82301455453672E+49i</v>
      </c>
      <c r="K312" s="132"/>
      <c r="L312" s="132" t="e">
        <f t="shared" si="86"/>
        <v>#DIV/0!</v>
      </c>
      <c r="M312" s="132" t="str">
        <f t="shared" si="87"/>
        <v>0</v>
      </c>
      <c r="N312" s="132" t="e">
        <f t="shared" si="88"/>
        <v>#DIV/0!</v>
      </c>
      <c r="O312" s="185" t="e">
        <f t="shared" si="89"/>
        <v>#DIV/0!</v>
      </c>
      <c r="P312" s="185" t="e">
        <f t="shared" si="90"/>
        <v>#DIV/0!</v>
      </c>
      <c r="Q312" s="132">
        <f t="shared" si="91"/>
        <v>2742709.8634824785</v>
      </c>
      <c r="R312" s="132">
        <f t="shared" si="102"/>
        <v>5.639999999999968</v>
      </c>
      <c r="S312" s="164" t="e">
        <f t="shared" si="92"/>
        <v>#DIV/0!</v>
      </c>
      <c r="T312" s="132" t="e">
        <f t="shared" si="93"/>
        <v>#NUM!</v>
      </c>
      <c r="U312" s="138" t="e">
        <f t="shared" si="94"/>
        <v>#NUM!</v>
      </c>
      <c r="V312" s="132" t="e">
        <f t="shared" si="95"/>
        <v>#NUM!</v>
      </c>
      <c r="W312" s="132">
        <f t="shared" si="96"/>
        <v>34.79582611711605</v>
      </c>
      <c r="X312" s="138">
        <f t="shared" si="97"/>
        <v>-92.18445100882222</v>
      </c>
      <c r="Y312" s="128" t="str">
        <f t="shared" si="98"/>
        <v>-2.09365811001394-54.8877702150837i</v>
      </c>
      <c r="Z312" s="128" t="e">
        <f t="shared" si="99"/>
        <v>#NUM!</v>
      </c>
      <c r="AA312" s="128" t="e">
        <f t="shared" si="103"/>
        <v>#NUM!</v>
      </c>
      <c r="AB312" s="128" t="e">
        <f t="shared" si="104"/>
        <v>#NUM!</v>
      </c>
      <c r="AC312" s="128" t="e">
        <f t="shared" si="105"/>
        <v>#NUM!</v>
      </c>
      <c r="AD312" s="128" t="e">
        <f t="shared" si="106"/>
        <v>#NUM!</v>
      </c>
      <c r="AE312" s="128" t="e">
        <f t="shared" si="107"/>
        <v>#NUM!</v>
      </c>
      <c r="AF312" s="130"/>
      <c r="AG312" s="130"/>
      <c r="AH312" s="130"/>
      <c r="AI312" s="130"/>
      <c r="AJ312" s="130"/>
      <c r="AK312" s="130"/>
      <c r="AL312" s="130"/>
      <c r="AM312" s="130"/>
      <c r="AN312" s="130"/>
      <c r="AO312" s="130"/>
      <c r="AP312" s="130"/>
      <c r="AQ312" s="130"/>
      <c r="AR312" s="130"/>
      <c r="AS312" s="130"/>
    </row>
    <row r="313" spans="1:45" s="166" customFormat="1" ht="12.75">
      <c r="A313" s="132" t="e">
        <f t="shared" si="100"/>
        <v>#DIV/0!</v>
      </c>
      <c r="B313" s="132">
        <f t="shared" si="101"/>
        <v>5.659999999999968</v>
      </c>
      <c r="C313" s="146">
        <f t="shared" si="81"/>
        <v>457088.18961484137</v>
      </c>
      <c r="D313" s="137" t="e">
        <f t="shared" si="82"/>
        <v>#DIV/0!</v>
      </c>
      <c r="E313" s="132" t="e">
        <f t="shared" si="83"/>
        <v>#DIV/0!</v>
      </c>
      <c r="G313" s="146"/>
      <c r="H313" s="184" t="str">
        <f t="shared" si="84"/>
        <v>1E+47-3.48193076758349E+49i</v>
      </c>
      <c r="I313" s="132" t="str">
        <f>IMSUM(IMDIV(1,COMPLEX(0,Q313*MLCC*10^-6)),MLCC_ESR*10^-3)</f>
        <v>1E+47-3.48193076758349E+49i</v>
      </c>
      <c r="J313" s="132" t="str">
        <f t="shared" si="85"/>
        <v>4.99999999999998E+46-1.74096538379175E+49i</v>
      </c>
      <c r="K313" s="132"/>
      <c r="L313" s="132" t="e">
        <f t="shared" si="86"/>
        <v>#DIV/0!</v>
      </c>
      <c r="M313" s="132" t="str">
        <f t="shared" si="87"/>
        <v>0</v>
      </c>
      <c r="N313" s="132" t="e">
        <f t="shared" si="88"/>
        <v>#DIV/0!</v>
      </c>
      <c r="O313" s="185" t="e">
        <f t="shared" si="89"/>
        <v>#DIV/0!</v>
      </c>
      <c r="P313" s="185" t="e">
        <f t="shared" si="90"/>
        <v>#DIV/0!</v>
      </c>
      <c r="Q313" s="132">
        <f t="shared" si="91"/>
        <v>2871969.797073288</v>
      </c>
      <c r="R313" s="132">
        <f t="shared" si="102"/>
        <v>5.659999999999967</v>
      </c>
      <c r="S313" s="164" t="e">
        <f t="shared" si="92"/>
        <v>#DIV/0!</v>
      </c>
      <c r="T313" s="132" t="e">
        <f t="shared" si="93"/>
        <v>#NUM!</v>
      </c>
      <c r="U313" s="138" t="e">
        <f t="shared" si="94"/>
        <v>#NUM!</v>
      </c>
      <c r="V313" s="132" t="e">
        <f t="shared" si="95"/>
        <v>#NUM!</v>
      </c>
      <c r="W313" s="132">
        <f t="shared" si="96"/>
        <v>34.3950408726641</v>
      </c>
      <c r="X313" s="138">
        <f t="shared" si="97"/>
        <v>-92.3162647407809</v>
      </c>
      <c r="Y313" s="128" t="str">
        <f t="shared" si="98"/>
        <v>-2.11982156816132-52.4079369239053i</v>
      </c>
      <c r="Z313" s="128" t="e">
        <f t="shared" si="99"/>
        <v>#NUM!</v>
      </c>
      <c r="AA313" s="128" t="e">
        <f t="shared" si="103"/>
        <v>#NUM!</v>
      </c>
      <c r="AB313" s="128" t="e">
        <f t="shared" si="104"/>
        <v>#NUM!</v>
      </c>
      <c r="AC313" s="128" t="e">
        <f t="shared" si="105"/>
        <v>#NUM!</v>
      </c>
      <c r="AD313" s="128" t="e">
        <f t="shared" si="106"/>
        <v>#NUM!</v>
      </c>
      <c r="AE313" s="128" t="e">
        <f t="shared" si="107"/>
        <v>#NUM!</v>
      </c>
      <c r="AF313" s="130"/>
      <c r="AG313" s="130"/>
      <c r="AH313" s="130"/>
      <c r="AI313" s="130"/>
      <c r="AJ313" s="130"/>
      <c r="AK313" s="130"/>
      <c r="AL313" s="130"/>
      <c r="AM313" s="130"/>
      <c r="AN313" s="130"/>
      <c r="AO313" s="130"/>
      <c r="AP313" s="130"/>
      <c r="AQ313" s="130"/>
      <c r="AR313" s="130"/>
      <c r="AS313" s="130"/>
    </row>
    <row r="314" spans="1:45" s="166" customFormat="1" ht="12.75">
      <c r="A314" s="132" t="e">
        <f t="shared" si="100"/>
        <v>#DIV/0!</v>
      </c>
      <c r="B314" s="132">
        <f t="shared" si="101"/>
        <v>5.679999999999967</v>
      </c>
      <c r="C314" s="146">
        <f t="shared" si="81"/>
        <v>478630.09232260217</v>
      </c>
      <c r="D314" s="137" t="e">
        <f t="shared" si="82"/>
        <v>#DIV/0!</v>
      </c>
      <c r="E314" s="132" t="e">
        <f t="shared" si="83"/>
        <v>#DIV/0!</v>
      </c>
      <c r="G314" s="146"/>
      <c r="H314" s="184" t="str">
        <f t="shared" si="84"/>
        <v>1E+47-3.32521806808217E+49i</v>
      </c>
      <c r="I314" s="132" t="str">
        <f>IMSUM(IMDIV(1,COMPLEX(0,Q314*MLCC*10^-6)),MLCC_ESR*10^-3)</f>
        <v>1E+47-3.32521806808217E+49i</v>
      </c>
      <c r="J314" s="132" t="str">
        <f t="shared" si="85"/>
        <v>5.00000000000001E+46-1.66260903404108E+49i</v>
      </c>
      <c r="K314" s="132"/>
      <c r="L314" s="132" t="e">
        <f t="shared" si="86"/>
        <v>#DIV/0!</v>
      </c>
      <c r="M314" s="132" t="str">
        <f t="shared" si="87"/>
        <v>0</v>
      </c>
      <c r="N314" s="132" t="e">
        <f t="shared" si="88"/>
        <v>#DIV/0!</v>
      </c>
      <c r="O314" s="185" t="e">
        <f t="shared" si="89"/>
        <v>#DIV/0!</v>
      </c>
      <c r="P314" s="185" t="e">
        <f t="shared" si="90"/>
        <v>#DIV/0!</v>
      </c>
      <c r="Q314" s="132">
        <f t="shared" si="91"/>
        <v>3007321.563655383</v>
      </c>
      <c r="R314" s="132">
        <f t="shared" si="102"/>
        <v>5.679999999999967</v>
      </c>
      <c r="S314" s="164" t="e">
        <f t="shared" si="92"/>
        <v>#DIV/0!</v>
      </c>
      <c r="T314" s="132" t="e">
        <f t="shared" si="93"/>
        <v>#NUM!</v>
      </c>
      <c r="U314" s="138" t="e">
        <f t="shared" si="94"/>
        <v>#NUM!</v>
      </c>
      <c r="V314" s="132" t="e">
        <f t="shared" si="95"/>
        <v>#NUM!</v>
      </c>
      <c r="W314" s="132">
        <f t="shared" si="96"/>
        <v>33.99417790646003</v>
      </c>
      <c r="X314" s="138">
        <f t="shared" si="97"/>
        <v>-92.4529607451763</v>
      </c>
      <c r="Y314" s="128" t="str">
        <f t="shared" si="98"/>
        <v>-2.1436021510723-50.0392471588683i</v>
      </c>
      <c r="Z314" s="128" t="e">
        <f t="shared" si="99"/>
        <v>#NUM!</v>
      </c>
      <c r="AA314" s="128" t="e">
        <f t="shared" si="103"/>
        <v>#NUM!</v>
      </c>
      <c r="AB314" s="128" t="e">
        <f t="shared" si="104"/>
        <v>#NUM!</v>
      </c>
      <c r="AC314" s="128" t="e">
        <f t="shared" si="105"/>
        <v>#NUM!</v>
      </c>
      <c r="AD314" s="128" t="e">
        <f t="shared" si="106"/>
        <v>#NUM!</v>
      </c>
      <c r="AE314" s="128" t="e">
        <f t="shared" si="107"/>
        <v>#NUM!</v>
      </c>
      <c r="AF314" s="130"/>
      <c r="AG314" s="130"/>
      <c r="AH314" s="130"/>
      <c r="AI314" s="130"/>
      <c r="AJ314" s="130"/>
      <c r="AK314" s="130"/>
      <c r="AL314" s="130"/>
      <c r="AM314" s="130"/>
      <c r="AN314" s="130"/>
      <c r="AO314" s="130"/>
      <c r="AP314" s="130"/>
      <c r="AQ314" s="130"/>
      <c r="AR314" s="130"/>
      <c r="AS314" s="130"/>
    </row>
    <row r="315" spans="1:45" s="166" customFormat="1" ht="12.75">
      <c r="A315" s="132" t="e">
        <f t="shared" si="100"/>
        <v>#DIV/0!</v>
      </c>
      <c r="B315" s="132">
        <f t="shared" si="101"/>
        <v>5.699999999999967</v>
      </c>
      <c r="C315" s="146">
        <f t="shared" si="81"/>
        <v>501187.2336272343</v>
      </c>
      <c r="D315" s="137" t="e">
        <f t="shared" si="82"/>
        <v>#DIV/0!</v>
      </c>
      <c r="E315" s="132" t="e">
        <f t="shared" si="83"/>
        <v>#DIV/0!</v>
      </c>
      <c r="G315" s="146"/>
      <c r="H315" s="184" t="str">
        <f t="shared" si="84"/>
        <v>1E+47-3.175558601923E+49i</v>
      </c>
      <c r="I315" s="132" t="str">
        <f>IMSUM(IMDIV(1,COMPLEX(0,Q315*MLCC*10^-6)),MLCC_ESR*10^-3)</f>
        <v>1E+47-3.175558601923E+49i</v>
      </c>
      <c r="J315" s="132" t="str">
        <f t="shared" si="85"/>
        <v>4.99999999999998E+46-1.58777930096151E+49i</v>
      </c>
      <c r="K315" s="132"/>
      <c r="L315" s="132" t="e">
        <f t="shared" si="86"/>
        <v>#DIV/0!</v>
      </c>
      <c r="M315" s="132" t="str">
        <f t="shared" si="87"/>
        <v>0</v>
      </c>
      <c r="N315" s="132" t="e">
        <f t="shared" si="88"/>
        <v>#DIV/0!</v>
      </c>
      <c r="O315" s="185" t="e">
        <f t="shared" si="89"/>
        <v>#DIV/0!</v>
      </c>
      <c r="P315" s="185" t="e">
        <f t="shared" si="90"/>
        <v>#DIV/0!</v>
      </c>
      <c r="Q315" s="132">
        <f t="shared" si="91"/>
        <v>3149052.262472621</v>
      </c>
      <c r="R315" s="132">
        <f t="shared" si="102"/>
        <v>5.699999999999966</v>
      </c>
      <c r="S315" s="164" t="e">
        <f t="shared" si="92"/>
        <v>#DIV/0!</v>
      </c>
      <c r="T315" s="132" t="e">
        <f t="shared" si="93"/>
        <v>#NUM!</v>
      </c>
      <c r="U315" s="138" t="e">
        <f t="shared" si="94"/>
        <v>#NUM!</v>
      </c>
      <c r="V315" s="132" t="e">
        <f t="shared" si="95"/>
        <v>#NUM!</v>
      </c>
      <c r="W315" s="132">
        <f t="shared" si="96"/>
        <v>33.59322994142446</v>
      </c>
      <c r="X315" s="138">
        <f t="shared" si="97"/>
        <v>-92.59482440399688</v>
      </c>
      <c r="Y315" s="128" t="str">
        <f t="shared" si="98"/>
        <v>-2.16520175395527-47.7766803573534i</v>
      </c>
      <c r="Z315" s="128" t="e">
        <f t="shared" si="99"/>
        <v>#NUM!</v>
      </c>
      <c r="AA315" s="128" t="e">
        <f t="shared" si="103"/>
        <v>#NUM!</v>
      </c>
      <c r="AB315" s="128" t="e">
        <f t="shared" si="104"/>
        <v>#NUM!</v>
      </c>
      <c r="AC315" s="128" t="e">
        <f t="shared" si="105"/>
        <v>#NUM!</v>
      </c>
      <c r="AD315" s="128" t="e">
        <f t="shared" si="106"/>
        <v>#NUM!</v>
      </c>
      <c r="AE315" s="128" t="e">
        <f t="shared" si="107"/>
        <v>#NUM!</v>
      </c>
      <c r="AF315" s="130"/>
      <c r="AG315" s="130"/>
      <c r="AH315" s="130"/>
      <c r="AI315" s="130"/>
      <c r="AJ315" s="130"/>
      <c r="AK315" s="130"/>
      <c r="AL315" s="130"/>
      <c r="AM315" s="130"/>
      <c r="AN315" s="130"/>
      <c r="AO315" s="130"/>
      <c r="AP315" s="130"/>
      <c r="AQ315" s="130"/>
      <c r="AR315" s="130"/>
      <c r="AS315" s="130"/>
    </row>
    <row r="316" spans="1:45" s="166" customFormat="1" ht="12.75">
      <c r="A316" s="132" t="e">
        <f t="shared" si="100"/>
        <v>#DIV/0!</v>
      </c>
      <c r="B316" s="132">
        <f t="shared" si="101"/>
        <v>5.719999999999966</v>
      </c>
      <c r="C316" s="146">
        <f t="shared" si="81"/>
        <v>524807.4602497318</v>
      </c>
      <c r="D316" s="137" t="e">
        <f t="shared" si="82"/>
        <v>#DIV/0!</v>
      </c>
      <c r="E316" s="132" t="e">
        <f t="shared" si="83"/>
        <v>#DIV/0!</v>
      </c>
      <c r="G316" s="146"/>
      <c r="H316" s="184" t="str">
        <f t="shared" si="84"/>
        <v>1E+47-3.03263492131306E+49i</v>
      </c>
      <c r="I316" s="132" t="str">
        <f>IMSUM(IMDIV(1,COMPLEX(0,Q316*MLCC*10^-6)),MLCC_ESR*10^-3)</f>
        <v>1E+47-3.03263492131306E+49i</v>
      </c>
      <c r="J316" s="132" t="str">
        <f t="shared" si="85"/>
        <v>5E+46-1.51631746065653E+49i</v>
      </c>
      <c r="K316" s="132"/>
      <c r="L316" s="132" t="e">
        <f t="shared" si="86"/>
        <v>#DIV/0!</v>
      </c>
      <c r="M316" s="132" t="str">
        <f t="shared" si="87"/>
        <v>0</v>
      </c>
      <c r="N316" s="132" t="e">
        <f t="shared" si="88"/>
        <v>#DIV/0!</v>
      </c>
      <c r="O316" s="185" t="e">
        <f t="shared" si="89"/>
        <v>#DIV/0!</v>
      </c>
      <c r="P316" s="185" t="e">
        <f t="shared" si="90"/>
        <v>#DIV/0!</v>
      </c>
      <c r="Q316" s="132">
        <f t="shared" si="91"/>
        <v>3297462.5233393493</v>
      </c>
      <c r="R316" s="132">
        <f t="shared" si="102"/>
        <v>5.719999999999966</v>
      </c>
      <c r="S316" s="164" t="e">
        <f t="shared" si="92"/>
        <v>#DIV/0!</v>
      </c>
      <c r="T316" s="132" t="e">
        <f t="shared" si="93"/>
        <v>#NUM!</v>
      </c>
      <c r="U316" s="138" t="e">
        <f t="shared" si="94"/>
        <v>#NUM!</v>
      </c>
      <c r="V316" s="132" t="e">
        <f t="shared" si="95"/>
        <v>#NUM!</v>
      </c>
      <c r="W316" s="132">
        <f t="shared" si="96"/>
        <v>33.192188988734024</v>
      </c>
      <c r="X316" s="138">
        <f t="shared" si="97"/>
        <v>-92.74215138867248</v>
      </c>
      <c r="Y316" s="128" t="str">
        <f t="shared" si="98"/>
        <v>-2.18480377389454-45.6154407320159i</v>
      </c>
      <c r="Z316" s="128" t="e">
        <f t="shared" si="99"/>
        <v>#NUM!</v>
      </c>
      <c r="AA316" s="128" t="e">
        <f t="shared" si="103"/>
        <v>#NUM!</v>
      </c>
      <c r="AB316" s="128" t="e">
        <f t="shared" si="104"/>
        <v>#NUM!</v>
      </c>
      <c r="AC316" s="128" t="e">
        <f t="shared" si="105"/>
        <v>#NUM!</v>
      </c>
      <c r="AD316" s="128" t="e">
        <f t="shared" si="106"/>
        <v>#NUM!</v>
      </c>
      <c r="AE316" s="128" t="e">
        <f t="shared" si="107"/>
        <v>#NUM!</v>
      </c>
      <c r="AF316" s="130"/>
      <c r="AG316" s="130"/>
      <c r="AH316" s="130"/>
      <c r="AI316" s="130"/>
      <c r="AJ316" s="130"/>
      <c r="AK316" s="130"/>
      <c r="AL316" s="130"/>
      <c r="AM316" s="130"/>
      <c r="AN316" s="130"/>
      <c r="AO316" s="130"/>
      <c r="AP316" s="130"/>
      <c r="AQ316" s="130"/>
      <c r="AR316" s="130"/>
      <c r="AS316" s="130"/>
    </row>
    <row r="317" spans="1:45" s="166" customFormat="1" ht="12.75">
      <c r="A317" s="132" t="e">
        <f t="shared" si="100"/>
        <v>#DIV/0!</v>
      </c>
      <c r="B317" s="132">
        <f t="shared" si="101"/>
        <v>5.7399999999999665</v>
      </c>
      <c r="C317" s="146">
        <f t="shared" si="81"/>
        <v>549540.8738575818</v>
      </c>
      <c r="D317" s="137" t="e">
        <f t="shared" si="82"/>
        <v>#DIV/0!</v>
      </c>
      <c r="E317" s="132" t="e">
        <f t="shared" si="83"/>
        <v>#DIV/0!</v>
      </c>
      <c r="G317" s="146"/>
      <c r="H317" s="184" t="str">
        <f t="shared" si="84"/>
        <v>1E+47-2.89614386596367E+49i</v>
      </c>
      <c r="I317" s="132" t="str">
        <f>IMSUM(IMDIV(1,COMPLEX(0,Q317*MLCC*10^-6)),MLCC_ESR*10^-3)</f>
        <v>1E+47-2.89614386596367E+49i</v>
      </c>
      <c r="J317" s="132" t="str">
        <f t="shared" si="85"/>
        <v>5E+46-1.44807193298183E+49i</v>
      </c>
      <c r="K317" s="132"/>
      <c r="L317" s="132" t="e">
        <f t="shared" si="86"/>
        <v>#DIV/0!</v>
      </c>
      <c r="M317" s="132" t="str">
        <f t="shared" si="87"/>
        <v>0</v>
      </c>
      <c r="N317" s="132" t="e">
        <f t="shared" si="88"/>
        <v>#DIV/0!</v>
      </c>
      <c r="O317" s="185" t="e">
        <f t="shared" si="89"/>
        <v>#DIV/0!</v>
      </c>
      <c r="P317" s="185" t="e">
        <f t="shared" si="90"/>
        <v>#DIV/0!</v>
      </c>
      <c r="Q317" s="132">
        <f t="shared" si="91"/>
        <v>3452867.144316588</v>
      </c>
      <c r="R317" s="132">
        <f t="shared" si="102"/>
        <v>5.739999999999966</v>
      </c>
      <c r="S317" s="164" t="e">
        <f t="shared" si="92"/>
        <v>#DIV/0!</v>
      </c>
      <c r="T317" s="132" t="e">
        <f t="shared" si="93"/>
        <v>#NUM!</v>
      </c>
      <c r="U317" s="138" t="e">
        <f t="shared" si="94"/>
        <v>#NUM!</v>
      </c>
      <c r="V317" s="132" t="e">
        <f t="shared" si="95"/>
        <v>#NUM!</v>
      </c>
      <c r="W317" s="132">
        <f t="shared" si="96"/>
        <v>32.79104628197792</v>
      </c>
      <c r="X317" s="138">
        <f t="shared" si="97"/>
        <v>-92.89524818833638</v>
      </c>
      <c r="Y317" s="128" t="str">
        <f t="shared" si="98"/>
        <v>-2.20257466795713-43.5509471633818i</v>
      </c>
      <c r="Z317" s="128" t="e">
        <f t="shared" si="99"/>
        <v>#NUM!</v>
      </c>
      <c r="AA317" s="128" t="e">
        <f t="shared" si="103"/>
        <v>#NUM!</v>
      </c>
      <c r="AB317" s="128" t="e">
        <f t="shared" si="104"/>
        <v>#NUM!</v>
      </c>
      <c r="AC317" s="128" t="e">
        <f t="shared" si="105"/>
        <v>#NUM!</v>
      </c>
      <c r="AD317" s="128" t="e">
        <f t="shared" si="106"/>
        <v>#NUM!</v>
      </c>
      <c r="AE317" s="128" t="e">
        <f t="shared" si="107"/>
        <v>#NUM!</v>
      </c>
      <c r="AF317" s="130"/>
      <c r="AG317" s="130"/>
      <c r="AH317" s="130"/>
      <c r="AI317" s="130"/>
      <c r="AJ317" s="130"/>
      <c r="AK317" s="130"/>
      <c r="AL317" s="130"/>
      <c r="AM317" s="130"/>
      <c r="AN317" s="130"/>
      <c r="AO317" s="130"/>
      <c r="AP317" s="130"/>
      <c r="AQ317" s="130"/>
      <c r="AR317" s="130"/>
      <c r="AS317" s="130"/>
    </row>
    <row r="318" spans="1:45" s="166" customFormat="1" ht="12.75">
      <c r="A318" s="132" t="e">
        <f t="shared" si="100"/>
        <v>#DIV/0!</v>
      </c>
      <c r="B318" s="132">
        <f t="shared" si="101"/>
        <v>5.759999999999966</v>
      </c>
      <c r="C318" s="146">
        <f t="shared" si="81"/>
        <v>575439.937337112</v>
      </c>
      <c r="D318" s="137" t="e">
        <f t="shared" si="82"/>
        <v>#DIV/0!</v>
      </c>
      <c r="E318" s="132" t="e">
        <f t="shared" si="83"/>
        <v>#DIV/0!</v>
      </c>
      <c r="G318" s="146"/>
      <c r="H318" s="184" t="str">
        <f t="shared" si="84"/>
        <v>1E+47-2.76579592004677E+49i</v>
      </c>
      <c r="I318" s="132" t="str">
        <f>IMSUM(IMDIV(1,COMPLEX(0,Q318*MLCC*10^-6)),MLCC_ESR*10^-3)</f>
        <v>1E+47-2.76579592004677E+49i</v>
      </c>
      <c r="J318" s="132" t="str">
        <f t="shared" si="85"/>
        <v>5E+46-1.38289796002339E+49i</v>
      </c>
      <c r="K318" s="132"/>
      <c r="L318" s="132" t="e">
        <f t="shared" si="86"/>
        <v>#DIV/0!</v>
      </c>
      <c r="M318" s="132" t="str">
        <f t="shared" si="87"/>
        <v>0</v>
      </c>
      <c r="N318" s="132" t="e">
        <f t="shared" si="88"/>
        <v>#DIV/0!</v>
      </c>
      <c r="O318" s="185" t="e">
        <f t="shared" si="89"/>
        <v>#DIV/0!</v>
      </c>
      <c r="P318" s="185" t="e">
        <f t="shared" si="90"/>
        <v>#DIV/0!</v>
      </c>
      <c r="Q318" s="132">
        <f t="shared" si="91"/>
        <v>3615595.759440884</v>
      </c>
      <c r="R318" s="132">
        <f t="shared" si="102"/>
        <v>5.759999999999965</v>
      </c>
      <c r="S318" s="164" t="e">
        <f t="shared" si="92"/>
        <v>#DIV/0!</v>
      </c>
      <c r="T318" s="132" t="e">
        <f t="shared" si="93"/>
        <v>#NUM!</v>
      </c>
      <c r="U318" s="138" t="e">
        <f t="shared" si="94"/>
        <v>#NUM!</v>
      </c>
      <c r="V318" s="132" t="e">
        <f t="shared" si="95"/>
        <v>#NUM!</v>
      </c>
      <c r="W318" s="132">
        <f t="shared" si="96"/>
        <v>32.38979220510999</v>
      </c>
      <c r="X318" s="138">
        <f t="shared" si="97"/>
        <v>-93.05443264662937</v>
      </c>
      <c r="Y318" s="128" t="str">
        <f t="shared" si="98"/>
        <v>-2.21866536808359-41.5788235427367i</v>
      </c>
      <c r="Z318" s="128" t="e">
        <f t="shared" si="99"/>
        <v>#NUM!</v>
      </c>
      <c r="AA318" s="128" t="e">
        <f t="shared" si="103"/>
        <v>#NUM!</v>
      </c>
      <c r="AB318" s="128" t="e">
        <f t="shared" si="104"/>
        <v>#NUM!</v>
      </c>
      <c r="AC318" s="128" t="e">
        <f t="shared" si="105"/>
        <v>#NUM!</v>
      </c>
      <c r="AD318" s="128" t="e">
        <f t="shared" si="106"/>
        <v>#NUM!</v>
      </c>
      <c r="AE318" s="128" t="e">
        <f t="shared" si="107"/>
        <v>#NUM!</v>
      </c>
      <c r="AF318" s="130"/>
      <c r="AG318" s="130"/>
      <c r="AH318" s="130"/>
      <c r="AI318" s="130"/>
      <c r="AJ318" s="130"/>
      <c r="AK318" s="130"/>
      <c r="AL318" s="130"/>
      <c r="AM318" s="130"/>
      <c r="AN318" s="130"/>
      <c r="AO318" s="130"/>
      <c r="AP318" s="130"/>
      <c r="AQ318" s="130"/>
      <c r="AR318" s="130"/>
      <c r="AS318" s="130"/>
    </row>
    <row r="319" spans="1:45" s="166" customFormat="1" ht="12.75">
      <c r="A319" s="132" t="e">
        <f t="shared" si="100"/>
        <v>#DIV/0!</v>
      </c>
      <c r="B319" s="132">
        <f t="shared" si="101"/>
        <v>5.779999999999966</v>
      </c>
      <c r="C319" s="146">
        <f t="shared" si="81"/>
        <v>602559.5860743095</v>
      </c>
      <c r="D319" s="137" t="e">
        <f t="shared" si="82"/>
        <v>#DIV/0!</v>
      </c>
      <c r="E319" s="132" t="e">
        <f t="shared" si="83"/>
        <v>#DIV/0!</v>
      </c>
      <c r="G319" s="146"/>
      <c r="H319" s="184" t="str">
        <f t="shared" si="84"/>
        <v>1E+47-2.64131459809301E+49i</v>
      </c>
      <c r="I319" s="132" t="str">
        <f>IMSUM(IMDIV(1,COMPLEX(0,Q319*MLCC*10^-6)),MLCC_ESR*10^-3)</f>
        <v>1E+47-2.64131459809301E+49i</v>
      </c>
      <c r="J319" s="132" t="str">
        <f t="shared" si="85"/>
        <v>5E+46-1.32065729904651E+49i</v>
      </c>
      <c r="K319" s="132"/>
      <c r="L319" s="132" t="e">
        <f t="shared" si="86"/>
        <v>#DIV/0!</v>
      </c>
      <c r="M319" s="132" t="str">
        <f t="shared" si="87"/>
        <v>0</v>
      </c>
      <c r="N319" s="132" t="e">
        <f t="shared" si="88"/>
        <v>#DIV/0!</v>
      </c>
      <c r="O319" s="185" t="e">
        <f t="shared" si="89"/>
        <v>#DIV/0!</v>
      </c>
      <c r="P319" s="185" t="e">
        <f t="shared" si="90"/>
        <v>#DIV/0!</v>
      </c>
      <c r="Q319" s="132">
        <f t="shared" si="91"/>
        <v>3785993.537922315</v>
      </c>
      <c r="R319" s="132">
        <f t="shared" si="102"/>
        <v>5.779999999999965</v>
      </c>
      <c r="S319" s="164" t="e">
        <f t="shared" si="92"/>
        <v>#DIV/0!</v>
      </c>
      <c r="T319" s="132" t="e">
        <f t="shared" si="93"/>
        <v>#NUM!</v>
      </c>
      <c r="U319" s="138" t="e">
        <f t="shared" si="94"/>
        <v>#NUM!</v>
      </c>
      <c r="V319" s="132" t="e">
        <f t="shared" si="95"/>
        <v>#NUM!</v>
      </c>
      <c r="W319" s="132">
        <f t="shared" si="96"/>
        <v>31.988416213662877</v>
      </c>
      <c r="X319" s="138">
        <f t="shared" si="97"/>
        <v>-93.22003450610381</v>
      </c>
      <c r="Y319" s="128" t="str">
        <f t="shared" si="98"/>
        <v>-2.23321256483325-39.6948895459474i</v>
      </c>
      <c r="Z319" s="128" t="e">
        <f t="shared" si="99"/>
        <v>#NUM!</v>
      </c>
      <c r="AA319" s="128" t="e">
        <f t="shared" si="103"/>
        <v>#NUM!</v>
      </c>
      <c r="AB319" s="128" t="e">
        <f t="shared" si="104"/>
        <v>#NUM!</v>
      </c>
      <c r="AC319" s="128" t="e">
        <f t="shared" si="105"/>
        <v>#NUM!</v>
      </c>
      <c r="AD319" s="128" t="e">
        <f t="shared" si="106"/>
        <v>#NUM!</v>
      </c>
      <c r="AE319" s="128" t="e">
        <f t="shared" si="107"/>
        <v>#NUM!</v>
      </c>
      <c r="AF319" s="130"/>
      <c r="AG319" s="130"/>
      <c r="AH319" s="130"/>
      <c r="AI319" s="130"/>
      <c r="AJ319" s="130"/>
      <c r="AK319" s="130"/>
      <c r="AL319" s="130"/>
      <c r="AM319" s="130"/>
      <c r="AN319" s="130"/>
      <c r="AO319" s="130"/>
      <c r="AP319" s="130"/>
      <c r="AQ319" s="130"/>
      <c r="AR319" s="130"/>
      <c r="AS319" s="130"/>
    </row>
    <row r="320" spans="1:45" s="166" customFormat="1" ht="12.75">
      <c r="A320" s="132" t="e">
        <f t="shared" si="100"/>
        <v>#DIV/0!</v>
      </c>
      <c r="B320" s="132">
        <f t="shared" si="101"/>
        <v>5.799999999999965</v>
      </c>
      <c r="C320" s="146">
        <f t="shared" si="81"/>
        <v>630957.3444801426</v>
      </c>
      <c r="D320" s="137" t="e">
        <f t="shared" si="82"/>
        <v>#DIV/0!</v>
      </c>
      <c r="E320" s="132" t="e">
        <f t="shared" si="83"/>
        <v>#DIV/0!</v>
      </c>
      <c r="G320" s="146"/>
      <c r="H320" s="184" t="str">
        <f t="shared" si="84"/>
        <v>1E+47-2.52243585852901E+49i</v>
      </c>
      <c r="I320" s="132" t="str">
        <f>IMSUM(IMDIV(1,COMPLEX(0,Q320*MLCC*10^-6)),MLCC_ESR*10^-3)</f>
        <v>1E+47-2.52243585852901E+49i</v>
      </c>
      <c r="J320" s="132" t="str">
        <f t="shared" si="85"/>
        <v>5E+46-1.26121792926451E+49i</v>
      </c>
      <c r="K320" s="132"/>
      <c r="L320" s="132" t="e">
        <f t="shared" si="86"/>
        <v>#DIV/0!</v>
      </c>
      <c r="M320" s="132" t="str">
        <f t="shared" si="87"/>
        <v>0</v>
      </c>
      <c r="N320" s="132" t="e">
        <f t="shared" si="88"/>
        <v>#DIV/0!</v>
      </c>
      <c r="O320" s="185" t="e">
        <f t="shared" si="89"/>
        <v>#DIV/0!</v>
      </c>
      <c r="P320" s="185" t="e">
        <f t="shared" si="90"/>
        <v>#DIV/0!</v>
      </c>
      <c r="Q320" s="132">
        <f t="shared" si="91"/>
        <v>3964421.9162946804</v>
      </c>
      <c r="R320" s="132">
        <f t="shared" si="102"/>
        <v>5.799999999999964</v>
      </c>
      <c r="S320" s="164" t="e">
        <f t="shared" si="92"/>
        <v>#DIV/0!</v>
      </c>
      <c r="T320" s="132" t="e">
        <f t="shared" si="93"/>
        <v>#NUM!</v>
      </c>
      <c r="U320" s="138" t="e">
        <f t="shared" si="94"/>
        <v>#NUM!</v>
      </c>
      <c r="V320" s="132" t="e">
        <f t="shared" si="95"/>
        <v>#NUM!</v>
      </c>
      <c r="W320" s="132">
        <f t="shared" si="96"/>
        <v>31.586906748650662</v>
      </c>
      <c r="X320" s="138">
        <f t="shared" si="97"/>
        <v>-93.392395959008</v>
      </c>
      <c r="Y320" s="128" t="str">
        <f t="shared" si="98"/>
        <v>-2.24633987096284-37.8951518197014i</v>
      </c>
      <c r="Z320" s="128" t="e">
        <f t="shared" si="99"/>
        <v>#NUM!</v>
      </c>
      <c r="AA320" s="128" t="e">
        <f t="shared" si="103"/>
        <v>#NUM!</v>
      </c>
      <c r="AB320" s="128" t="e">
        <f t="shared" si="104"/>
        <v>#NUM!</v>
      </c>
      <c r="AC320" s="128" t="e">
        <f t="shared" si="105"/>
        <v>#NUM!</v>
      </c>
      <c r="AD320" s="128" t="e">
        <f t="shared" si="106"/>
        <v>#NUM!</v>
      </c>
      <c r="AE320" s="128" t="e">
        <f t="shared" si="107"/>
        <v>#NUM!</v>
      </c>
      <c r="AF320" s="130"/>
      <c r="AG320" s="130"/>
      <c r="AH320" s="130"/>
      <c r="AI320" s="130"/>
      <c r="AJ320" s="130"/>
      <c r="AK320" s="130"/>
      <c r="AL320" s="130"/>
      <c r="AM320" s="130"/>
      <c r="AN320" s="130"/>
      <c r="AO320" s="130"/>
      <c r="AP320" s="130"/>
      <c r="AQ320" s="130"/>
      <c r="AR320" s="130"/>
      <c r="AS320" s="130"/>
    </row>
    <row r="321" spans="1:45" s="166" customFormat="1" ht="12.75">
      <c r="A321" s="132" t="e">
        <f t="shared" si="100"/>
        <v>#DIV/0!</v>
      </c>
      <c r="B321" s="132">
        <f t="shared" si="101"/>
        <v>5.819999999999964</v>
      </c>
      <c r="C321" s="146">
        <f t="shared" si="81"/>
        <v>660693.4480075417</v>
      </c>
      <c r="D321" s="137" t="e">
        <f t="shared" si="82"/>
        <v>#DIV/0!</v>
      </c>
      <c r="E321" s="132" t="e">
        <f t="shared" si="83"/>
        <v>#DIV/0!</v>
      </c>
      <c r="G321" s="146"/>
      <c r="H321" s="184" t="str">
        <f t="shared" si="84"/>
        <v>1E+47-2.40890754360982E+49i</v>
      </c>
      <c r="I321" s="132" t="str">
        <f>IMSUM(IMDIV(1,COMPLEX(0,Q321*MLCC*10^-6)),MLCC_ESR*10^-3)</f>
        <v>1E+47-2.40890754360982E+49i</v>
      </c>
      <c r="J321" s="132" t="str">
        <f t="shared" si="85"/>
        <v>5E+46-1.20445377180491E+49i</v>
      </c>
      <c r="K321" s="132"/>
      <c r="L321" s="132" t="e">
        <f t="shared" si="86"/>
        <v>#DIV/0!</v>
      </c>
      <c r="M321" s="132" t="str">
        <f t="shared" si="87"/>
        <v>0</v>
      </c>
      <c r="N321" s="132" t="e">
        <f t="shared" si="88"/>
        <v>#DIV/0!</v>
      </c>
      <c r="O321" s="185" t="e">
        <f t="shared" si="89"/>
        <v>#DIV/0!</v>
      </c>
      <c r="P321" s="185" t="e">
        <f t="shared" si="90"/>
        <v>#DIV/0!</v>
      </c>
      <c r="Q321" s="132">
        <f t="shared" si="91"/>
        <v>4151259.365070806</v>
      </c>
      <c r="R321" s="132">
        <f t="shared" si="102"/>
        <v>5.819999999999964</v>
      </c>
      <c r="S321" s="164" t="e">
        <f t="shared" si="92"/>
        <v>#DIV/0!</v>
      </c>
      <c r="T321" s="132" t="e">
        <f t="shared" si="93"/>
        <v>#NUM!</v>
      </c>
      <c r="U321" s="138" t="e">
        <f t="shared" si="94"/>
        <v>#NUM!</v>
      </c>
      <c r="V321" s="132" t="e">
        <f t="shared" si="95"/>
        <v>#NUM!</v>
      </c>
      <c r="W321" s="132">
        <f t="shared" si="96"/>
        <v>31.185251142542853</v>
      </c>
      <c r="X321" s="138">
        <f t="shared" si="97"/>
        <v>-93.57187220291082</v>
      </c>
      <c r="Y321" s="128" t="str">
        <f t="shared" si="98"/>
        <v>-2.2581588748205-36.1757955624593i</v>
      </c>
      <c r="Z321" s="128" t="e">
        <f t="shared" si="99"/>
        <v>#NUM!</v>
      </c>
      <c r="AA321" s="128" t="e">
        <f t="shared" si="103"/>
        <v>#NUM!</v>
      </c>
      <c r="AB321" s="128" t="e">
        <f t="shared" si="104"/>
        <v>#NUM!</v>
      </c>
      <c r="AC321" s="128" t="e">
        <f t="shared" si="105"/>
        <v>#NUM!</v>
      </c>
      <c r="AD321" s="128" t="e">
        <f t="shared" si="106"/>
        <v>#NUM!</v>
      </c>
      <c r="AE321" s="128" t="e">
        <f t="shared" si="107"/>
        <v>#NUM!</v>
      </c>
      <c r="AF321" s="130"/>
      <c r="AG321" s="130"/>
      <c r="AH321" s="130"/>
      <c r="AI321" s="130"/>
      <c r="AJ321" s="130"/>
      <c r="AK321" s="130"/>
      <c r="AL321" s="130"/>
      <c r="AM321" s="130"/>
      <c r="AN321" s="130"/>
      <c r="AO321" s="130"/>
      <c r="AP321" s="130"/>
      <c r="AQ321" s="130"/>
      <c r="AR321" s="130"/>
      <c r="AS321" s="130"/>
    </row>
    <row r="322" spans="1:45" s="166" customFormat="1" ht="12.75">
      <c r="A322" s="132" t="e">
        <f t="shared" si="100"/>
        <v>#DIV/0!</v>
      </c>
      <c r="B322" s="132">
        <f t="shared" si="101"/>
        <v>5.839999999999964</v>
      </c>
      <c r="C322" s="146">
        <f t="shared" si="81"/>
        <v>691830.9709188795</v>
      </c>
      <c r="D322" s="137" t="e">
        <f t="shared" si="82"/>
        <v>#DIV/0!</v>
      </c>
      <c r="E322" s="132" t="e">
        <f t="shared" si="83"/>
        <v>#DIV/0!</v>
      </c>
      <c r="G322" s="146"/>
      <c r="H322" s="184" t="str">
        <f t="shared" si="84"/>
        <v>1E+47-2.30048884455849E+49i</v>
      </c>
      <c r="I322" s="132" t="str">
        <f>IMSUM(IMDIV(1,COMPLEX(0,Q322*MLCC*10^-6)),MLCC_ESR*10^-3)</f>
        <v>1E+47-2.30048884455849E+49i</v>
      </c>
      <c r="J322" s="132" t="str">
        <f t="shared" si="85"/>
        <v>5E+46-1.15024442227925E+49i</v>
      </c>
      <c r="K322" s="132"/>
      <c r="L322" s="132" t="e">
        <f t="shared" si="86"/>
        <v>#DIV/0!</v>
      </c>
      <c r="M322" s="132" t="str">
        <f t="shared" si="87"/>
        <v>0</v>
      </c>
      <c r="N322" s="132" t="e">
        <f t="shared" si="88"/>
        <v>#DIV/0!</v>
      </c>
      <c r="O322" s="185" t="e">
        <f t="shared" si="89"/>
        <v>#DIV/0!</v>
      </c>
      <c r="P322" s="185" t="e">
        <f t="shared" si="90"/>
        <v>#DIV/0!</v>
      </c>
      <c r="Q322" s="132">
        <f t="shared" si="91"/>
        <v>4346902.191529292</v>
      </c>
      <c r="R322" s="132">
        <f t="shared" si="102"/>
        <v>5.839999999999963</v>
      </c>
      <c r="S322" s="164" t="e">
        <f t="shared" si="92"/>
        <v>#DIV/0!</v>
      </c>
      <c r="T322" s="132" t="e">
        <f t="shared" si="93"/>
        <v>#NUM!</v>
      </c>
      <c r="U322" s="138" t="e">
        <f t="shared" si="94"/>
        <v>#NUM!</v>
      </c>
      <c r="V322" s="132" t="e">
        <f t="shared" si="95"/>
        <v>#NUM!</v>
      </c>
      <c r="W322" s="132">
        <f t="shared" si="96"/>
        <v>30.783435516646275</v>
      </c>
      <c r="X322" s="138">
        <f t="shared" si="97"/>
        <v>-93.7588319992604</v>
      </c>
      <c r="Y322" s="128" t="str">
        <f t="shared" si="98"/>
        <v>-2.26877009262906-34.5331764832058i</v>
      </c>
      <c r="Z322" s="128" t="e">
        <f t="shared" si="99"/>
        <v>#NUM!</v>
      </c>
      <c r="AA322" s="128" t="e">
        <f t="shared" si="103"/>
        <v>#NUM!</v>
      </c>
      <c r="AB322" s="128" t="e">
        <f t="shared" si="104"/>
        <v>#NUM!</v>
      </c>
      <c r="AC322" s="128" t="e">
        <f t="shared" si="105"/>
        <v>#NUM!</v>
      </c>
      <c r="AD322" s="128" t="e">
        <f t="shared" si="106"/>
        <v>#NUM!</v>
      </c>
      <c r="AE322" s="128" t="e">
        <f t="shared" si="107"/>
        <v>#NUM!</v>
      </c>
      <c r="AF322" s="130"/>
      <c r="AG322" s="130"/>
      <c r="AH322" s="130"/>
      <c r="AI322" s="130"/>
      <c r="AJ322" s="130"/>
      <c r="AK322" s="130"/>
      <c r="AL322" s="130"/>
      <c r="AM322" s="130"/>
      <c r="AN322" s="130"/>
      <c r="AO322" s="130"/>
      <c r="AP322" s="130"/>
      <c r="AQ322" s="130"/>
      <c r="AR322" s="130"/>
      <c r="AS322" s="130"/>
    </row>
    <row r="323" spans="1:45" s="166" customFormat="1" ht="12.75">
      <c r="A323" s="132" t="e">
        <f t="shared" si="100"/>
        <v>#DIV/0!</v>
      </c>
      <c r="B323" s="132">
        <f t="shared" si="101"/>
        <v>5.859999999999963</v>
      </c>
      <c r="C323" s="146">
        <f t="shared" si="81"/>
        <v>724435.9600749289</v>
      </c>
      <c r="D323" s="137" t="e">
        <f t="shared" si="82"/>
        <v>#DIV/0!</v>
      </c>
      <c r="E323" s="132" t="e">
        <f t="shared" si="83"/>
        <v>#DIV/0!</v>
      </c>
      <c r="G323" s="146"/>
      <c r="H323" s="184" t="str">
        <f t="shared" si="84"/>
        <v>1E+47-2.19694979077839E+49i</v>
      </c>
      <c r="I323" s="132" t="str">
        <f>IMSUM(IMDIV(1,COMPLEX(0,Q323*MLCC*10^-6)),MLCC_ESR*10^-3)</f>
        <v>1E+47-2.19694979077839E+49i</v>
      </c>
      <c r="J323" s="132" t="str">
        <f t="shared" si="85"/>
        <v>5E+46-1.09847489538919E+49i</v>
      </c>
      <c r="K323" s="132"/>
      <c r="L323" s="132" t="e">
        <f t="shared" si="86"/>
        <v>#DIV/0!</v>
      </c>
      <c r="M323" s="132" t="str">
        <f t="shared" si="87"/>
        <v>0</v>
      </c>
      <c r="N323" s="132" t="e">
        <f t="shared" si="88"/>
        <v>#DIV/0!</v>
      </c>
      <c r="O323" s="185" t="e">
        <f t="shared" si="89"/>
        <v>#DIV/0!</v>
      </c>
      <c r="P323" s="185" t="e">
        <f t="shared" si="90"/>
        <v>#DIV/0!</v>
      </c>
      <c r="Q323" s="132">
        <f t="shared" si="91"/>
        <v>4551765.380335331</v>
      </c>
      <c r="R323" s="132">
        <f t="shared" si="102"/>
        <v>5.859999999999963</v>
      </c>
      <c r="S323" s="164" t="e">
        <f t="shared" si="92"/>
        <v>#DIV/0!</v>
      </c>
      <c r="T323" s="132" t="e">
        <f t="shared" si="93"/>
        <v>#NUM!</v>
      </c>
      <c r="U323" s="138" t="e">
        <f t="shared" si="94"/>
        <v>#NUM!</v>
      </c>
      <c r="V323" s="132" t="e">
        <f t="shared" si="95"/>
        <v>#NUM!</v>
      </c>
      <c r="W323" s="132">
        <f t="shared" si="96"/>
        <v>30.381444669187424</v>
      </c>
      <c r="X323" s="138">
        <f t="shared" si="97"/>
        <v>-93.95365823254627</v>
      </c>
      <c r="Y323" s="128" t="str">
        <f t="shared" si="98"/>
        <v>-2.27826382790505-32.9638131218684i</v>
      </c>
      <c r="Z323" s="128" t="e">
        <f t="shared" si="99"/>
        <v>#NUM!</v>
      </c>
      <c r="AA323" s="128" t="e">
        <f t="shared" si="103"/>
        <v>#NUM!</v>
      </c>
      <c r="AB323" s="128" t="e">
        <f t="shared" si="104"/>
        <v>#NUM!</v>
      </c>
      <c r="AC323" s="128" t="e">
        <f t="shared" si="105"/>
        <v>#NUM!</v>
      </c>
      <c r="AD323" s="128" t="e">
        <f t="shared" si="106"/>
        <v>#NUM!</v>
      </c>
      <c r="AE323" s="128" t="e">
        <f t="shared" si="107"/>
        <v>#NUM!</v>
      </c>
      <c r="AF323" s="130"/>
      <c r="AG323" s="130"/>
      <c r="AH323" s="130"/>
      <c r="AI323" s="130"/>
      <c r="AJ323" s="130"/>
      <c r="AK323" s="130"/>
      <c r="AL323" s="130"/>
      <c r="AM323" s="130"/>
      <c r="AN323" s="130"/>
      <c r="AO323" s="130"/>
      <c r="AP323" s="130"/>
      <c r="AQ323" s="130"/>
      <c r="AR323" s="130"/>
      <c r="AS323" s="130"/>
    </row>
    <row r="324" spans="1:45" s="166" customFormat="1" ht="12.75">
      <c r="A324" s="132" t="e">
        <f t="shared" si="100"/>
        <v>#DIV/0!</v>
      </c>
      <c r="B324" s="132">
        <f t="shared" si="101"/>
        <v>5.8799999999999635</v>
      </c>
      <c r="C324" s="146">
        <f t="shared" si="81"/>
        <v>758577.5750291196</v>
      </c>
      <c r="D324" s="137" t="e">
        <f t="shared" si="82"/>
        <v>#DIV/0!</v>
      </c>
      <c r="E324" s="132" t="e">
        <f t="shared" si="83"/>
        <v>#DIV/0!</v>
      </c>
      <c r="G324" s="146"/>
      <c r="H324" s="184" t="str">
        <f t="shared" si="84"/>
        <v>1E+47-2.0980707620547E+49i</v>
      </c>
      <c r="I324" s="132" t="str">
        <f>IMSUM(IMDIV(1,COMPLEX(0,Q324*MLCC*10^-6)),MLCC_ESR*10^-3)</f>
        <v>1E+47-2.0980707620547E+49i</v>
      </c>
      <c r="J324" s="132" t="str">
        <f t="shared" si="85"/>
        <v>5E+46-1.04903538102735E+49i</v>
      </c>
      <c r="K324" s="132"/>
      <c r="L324" s="132" t="e">
        <f t="shared" si="86"/>
        <v>#DIV/0!</v>
      </c>
      <c r="M324" s="132" t="str">
        <f t="shared" si="87"/>
        <v>0</v>
      </c>
      <c r="N324" s="132" t="e">
        <f t="shared" si="88"/>
        <v>#DIV/0!</v>
      </c>
      <c r="O324" s="185" t="e">
        <f t="shared" si="89"/>
        <v>#DIV/0!</v>
      </c>
      <c r="P324" s="185" t="e">
        <f t="shared" si="90"/>
        <v>#DIV/0!</v>
      </c>
      <c r="Q324" s="132">
        <f t="shared" si="91"/>
        <v>4766283.473778885</v>
      </c>
      <c r="R324" s="132">
        <f t="shared" si="102"/>
        <v>5.879999999999963</v>
      </c>
      <c r="S324" s="164" t="e">
        <f t="shared" si="92"/>
        <v>#DIV/0!</v>
      </c>
      <c r="T324" s="132" t="e">
        <f t="shared" si="93"/>
        <v>#NUM!</v>
      </c>
      <c r="U324" s="138" t="e">
        <f t="shared" si="94"/>
        <v>#NUM!</v>
      </c>
      <c r="V324" s="132" t="e">
        <f t="shared" si="95"/>
        <v>#NUM!</v>
      </c>
      <c r="W324" s="132">
        <f t="shared" si="96"/>
        <v>29.979261953338863</v>
      </c>
      <c r="X324" s="138">
        <f t="shared" si="97"/>
        <v>-94.15674846725278</v>
      </c>
      <c r="Y324" s="128" t="str">
        <f t="shared" si="98"/>
        <v>-2.2867209455074-31.4643795160209i</v>
      </c>
      <c r="Z324" s="128" t="e">
        <f t="shared" si="99"/>
        <v>#NUM!</v>
      </c>
      <c r="AA324" s="128" t="e">
        <f t="shared" si="103"/>
        <v>#NUM!</v>
      </c>
      <c r="AB324" s="128" t="e">
        <f t="shared" si="104"/>
        <v>#NUM!</v>
      </c>
      <c r="AC324" s="128" t="e">
        <f t="shared" si="105"/>
        <v>#NUM!</v>
      </c>
      <c r="AD324" s="128" t="e">
        <f t="shared" si="106"/>
        <v>#NUM!</v>
      </c>
      <c r="AE324" s="128" t="e">
        <f t="shared" si="107"/>
        <v>#NUM!</v>
      </c>
      <c r="AF324" s="130"/>
      <c r="AG324" s="130"/>
      <c r="AH324" s="130"/>
      <c r="AI324" s="130"/>
      <c r="AJ324" s="130"/>
      <c r="AK324" s="130"/>
      <c r="AL324" s="130"/>
      <c r="AM324" s="130"/>
      <c r="AN324" s="130"/>
      <c r="AO324" s="130"/>
      <c r="AP324" s="130"/>
      <c r="AQ324" s="130"/>
      <c r="AR324" s="130"/>
      <c r="AS324" s="130"/>
    </row>
    <row r="325" spans="1:45" s="166" customFormat="1" ht="12.75">
      <c r="A325" s="132" t="e">
        <f t="shared" si="100"/>
        <v>#DIV/0!</v>
      </c>
      <c r="B325" s="132">
        <f t="shared" si="101"/>
        <v>5.899999999999962</v>
      </c>
      <c r="C325" s="146">
        <f t="shared" si="81"/>
        <v>794328.2347242128</v>
      </c>
      <c r="D325" s="137" t="e">
        <f t="shared" si="82"/>
        <v>#DIV/0!</v>
      </c>
      <c r="E325" s="132" t="e">
        <f t="shared" si="83"/>
        <v>#DIV/0!</v>
      </c>
      <c r="G325" s="146"/>
      <c r="H325" s="184" t="str">
        <f t="shared" si="84"/>
        <v>1E+47-2.00364202271059E+49i</v>
      </c>
      <c r="I325" s="132" t="str">
        <f>IMSUM(IMDIV(1,COMPLEX(0,Q325*MLCC*10^-6)),MLCC_ESR*10^-3)</f>
        <v>1E+47-2.00364202271059E+49i</v>
      </c>
      <c r="J325" s="132" t="str">
        <f t="shared" si="85"/>
        <v>5.00000000000001E+46-1.00182101135529E+49i</v>
      </c>
      <c r="K325" s="132"/>
      <c r="L325" s="132" t="e">
        <f t="shared" si="86"/>
        <v>#DIV/0!</v>
      </c>
      <c r="M325" s="132" t="str">
        <f t="shared" si="87"/>
        <v>0</v>
      </c>
      <c r="N325" s="132" t="e">
        <f t="shared" si="88"/>
        <v>#DIV/0!</v>
      </c>
      <c r="O325" s="185" t="e">
        <f t="shared" si="89"/>
        <v>#DIV/0!</v>
      </c>
      <c r="P325" s="185" t="e">
        <f t="shared" si="90"/>
        <v>#DIV/0!</v>
      </c>
      <c r="Q325" s="132">
        <f t="shared" si="91"/>
        <v>4990911.493497072</v>
      </c>
      <c r="R325" s="132">
        <f t="shared" si="102"/>
        <v>5.899999999999962</v>
      </c>
      <c r="S325" s="164" t="e">
        <f t="shared" si="92"/>
        <v>#DIV/0!</v>
      </c>
      <c r="T325" s="132" t="e">
        <f t="shared" si="93"/>
        <v>#NUM!</v>
      </c>
      <c r="U325" s="138" t="e">
        <f t="shared" si="94"/>
        <v>#NUM!</v>
      </c>
      <c r="V325" s="132" t="e">
        <f t="shared" si="95"/>
        <v>#NUM!</v>
      </c>
      <c r="W325" s="132">
        <f t="shared" si="96"/>
        <v>29.576869144387278</v>
      </c>
      <c r="X325" s="138">
        <f t="shared" si="97"/>
        <v>-94.36851549923749</v>
      </c>
      <c r="Y325" s="128" t="str">
        <f t="shared" si="98"/>
        <v>-2.29421356712693-30.0316981992326i</v>
      </c>
      <c r="Z325" s="128" t="e">
        <f t="shared" si="99"/>
        <v>#NUM!</v>
      </c>
      <c r="AA325" s="128" t="e">
        <f t="shared" si="103"/>
        <v>#NUM!</v>
      </c>
      <c r="AB325" s="128" t="e">
        <f t="shared" si="104"/>
        <v>#NUM!</v>
      </c>
      <c r="AC325" s="128" t="e">
        <f t="shared" si="105"/>
        <v>#NUM!</v>
      </c>
      <c r="AD325" s="128" t="e">
        <f t="shared" si="106"/>
        <v>#NUM!</v>
      </c>
      <c r="AE325" s="128" t="e">
        <f t="shared" si="107"/>
        <v>#NUM!</v>
      </c>
      <c r="AF325" s="130"/>
      <c r="AG325" s="130"/>
      <c r="AH325" s="130"/>
      <c r="AI325" s="130"/>
      <c r="AJ325" s="130"/>
      <c r="AK325" s="130"/>
      <c r="AL325" s="130"/>
      <c r="AM325" s="130"/>
      <c r="AN325" s="130"/>
      <c r="AO325" s="130"/>
      <c r="AP325" s="130"/>
      <c r="AQ325" s="130"/>
      <c r="AR325" s="130"/>
      <c r="AS325" s="130"/>
    </row>
    <row r="326" spans="1:45" s="166" customFormat="1" ht="12.75">
      <c r="A326" s="132" t="e">
        <f t="shared" si="100"/>
        <v>#DIV/0!</v>
      </c>
      <c r="B326" s="132">
        <f t="shared" si="101"/>
        <v>5.919999999999963</v>
      </c>
      <c r="C326" s="146">
        <f t="shared" si="81"/>
        <v>831763.7711025989</v>
      </c>
      <c r="D326" s="137" t="e">
        <f t="shared" si="82"/>
        <v>#DIV/0!</v>
      </c>
      <c r="E326" s="132" t="e">
        <f t="shared" si="83"/>
        <v>#DIV/0!</v>
      </c>
      <c r="G326" s="146"/>
      <c r="H326" s="184" t="str">
        <f t="shared" si="84"/>
        <v>1E+47-1.91346327672961E+49i</v>
      </c>
      <c r="I326" s="132" t="str">
        <f>IMSUM(IMDIV(1,COMPLEX(0,Q326*MLCC*10^-6)),MLCC_ESR*10^-3)</f>
        <v>1E+47-1.91346327672961E+49i</v>
      </c>
      <c r="J326" s="132" t="str">
        <f t="shared" si="85"/>
        <v>4.99999999999999E+46-9.56731638364806E+48i</v>
      </c>
      <c r="K326" s="132"/>
      <c r="L326" s="132" t="e">
        <f t="shared" si="86"/>
        <v>#DIV/0!</v>
      </c>
      <c r="M326" s="132" t="str">
        <f t="shared" si="87"/>
        <v>0</v>
      </c>
      <c r="N326" s="132" t="e">
        <f t="shared" si="88"/>
        <v>#DIV/0!</v>
      </c>
      <c r="O326" s="185" t="e">
        <f t="shared" si="89"/>
        <v>#DIV/0!</v>
      </c>
      <c r="P326" s="185" t="e">
        <f t="shared" si="90"/>
        <v>#DIV/0!</v>
      </c>
      <c r="Q326" s="132">
        <f t="shared" si="91"/>
        <v>5226125.905636134</v>
      </c>
      <c r="R326" s="132">
        <f t="shared" si="102"/>
        <v>5.919999999999962</v>
      </c>
      <c r="S326" s="164" t="e">
        <f t="shared" si="92"/>
        <v>#DIV/0!</v>
      </c>
      <c r="T326" s="132" t="e">
        <f t="shared" si="93"/>
        <v>#NUM!</v>
      </c>
      <c r="U326" s="138" t="e">
        <f t="shared" si="94"/>
        <v>#NUM!</v>
      </c>
      <c r="V326" s="132" t="e">
        <f t="shared" si="95"/>
        <v>#NUM!</v>
      </c>
      <c r="W326" s="132">
        <f t="shared" si="96"/>
        <v>29.174246295192255</v>
      </c>
      <c r="X326" s="138">
        <f t="shared" si="97"/>
        <v>-94.58938789754038</v>
      </c>
      <c r="Y326" s="128" t="str">
        <f t="shared" si="98"/>
        <v>-2.30080569440995-28.6627335171383i</v>
      </c>
      <c r="Z326" s="128" t="e">
        <f t="shared" si="99"/>
        <v>#NUM!</v>
      </c>
      <c r="AA326" s="128" t="e">
        <f t="shared" si="103"/>
        <v>#NUM!</v>
      </c>
      <c r="AB326" s="128" t="e">
        <f t="shared" si="104"/>
        <v>#NUM!</v>
      </c>
      <c r="AC326" s="128" t="e">
        <f t="shared" si="105"/>
        <v>#NUM!</v>
      </c>
      <c r="AD326" s="128" t="e">
        <f t="shared" si="106"/>
        <v>#NUM!</v>
      </c>
      <c r="AE326" s="128" t="e">
        <f t="shared" si="107"/>
        <v>#NUM!</v>
      </c>
      <c r="AF326" s="130"/>
      <c r="AG326" s="130"/>
      <c r="AH326" s="130"/>
      <c r="AI326" s="130"/>
      <c r="AJ326" s="130"/>
      <c r="AK326" s="130"/>
      <c r="AL326" s="130"/>
      <c r="AM326" s="130"/>
      <c r="AN326" s="130"/>
      <c r="AO326" s="130"/>
      <c r="AP326" s="130"/>
      <c r="AQ326" s="130"/>
      <c r="AR326" s="130"/>
      <c r="AS326" s="130"/>
    </row>
    <row r="327" spans="1:45" s="166" customFormat="1" ht="12.75">
      <c r="A327" s="132" t="e">
        <f t="shared" si="100"/>
        <v>#DIV/0!</v>
      </c>
      <c r="B327" s="132">
        <f t="shared" si="101"/>
        <v>5.939999999999962</v>
      </c>
      <c r="C327" s="146">
        <f t="shared" si="81"/>
        <v>870963.5899560049</v>
      </c>
      <c r="D327" s="137" t="e">
        <f t="shared" si="82"/>
        <v>#DIV/0!</v>
      </c>
      <c r="E327" s="132" t="e">
        <f t="shared" si="83"/>
        <v>#DIV/0!</v>
      </c>
      <c r="G327" s="146"/>
      <c r="H327" s="184" t="str">
        <f t="shared" si="84"/>
        <v>1E+47-1.82734324290106E+49i</v>
      </c>
      <c r="I327" s="132" t="str">
        <f>IMSUM(IMDIV(1,COMPLEX(0,Q327*MLCC*10^-6)),MLCC_ESR*10^-3)</f>
        <v>1E+47-1.82734324290106E+49i</v>
      </c>
      <c r="J327" s="132" t="str">
        <f t="shared" si="85"/>
        <v>5E+46-9.13671621450529E+48i</v>
      </c>
      <c r="K327" s="132"/>
      <c r="L327" s="132" t="e">
        <f t="shared" si="86"/>
        <v>#DIV/0!</v>
      </c>
      <c r="M327" s="132" t="str">
        <f t="shared" si="87"/>
        <v>0</v>
      </c>
      <c r="N327" s="132" t="e">
        <f t="shared" si="88"/>
        <v>#DIV/0!</v>
      </c>
      <c r="O327" s="185" t="e">
        <f t="shared" si="89"/>
        <v>#DIV/0!</v>
      </c>
      <c r="P327" s="185" t="e">
        <f t="shared" si="90"/>
        <v>#DIV/0!</v>
      </c>
      <c r="Q327" s="132">
        <f t="shared" si="91"/>
        <v>5472425.631499955</v>
      </c>
      <c r="R327" s="132">
        <f t="shared" si="102"/>
        <v>5.939999999999961</v>
      </c>
      <c r="S327" s="164" t="e">
        <f t="shared" si="92"/>
        <v>#DIV/0!</v>
      </c>
      <c r="T327" s="132" t="e">
        <f t="shared" si="93"/>
        <v>#NUM!</v>
      </c>
      <c r="U327" s="138" t="e">
        <f t="shared" si="94"/>
        <v>#NUM!</v>
      </c>
      <c r="V327" s="132" t="e">
        <f t="shared" si="95"/>
        <v>#NUM!</v>
      </c>
      <c r="W327" s="132">
        <f t="shared" si="96"/>
        <v>28.771371579042132</v>
      </c>
      <c r="X327" s="138">
        <f t="shared" si="97"/>
        <v>-94.81981053191222</v>
      </c>
      <c r="Y327" s="128" t="str">
        <f t="shared" si="98"/>
        <v>-2.30655376535263-27.3545852480195i</v>
      </c>
      <c r="Z327" s="128" t="e">
        <f t="shared" si="99"/>
        <v>#NUM!</v>
      </c>
      <c r="AA327" s="128" t="e">
        <f t="shared" si="103"/>
        <v>#NUM!</v>
      </c>
      <c r="AB327" s="128" t="e">
        <f t="shared" si="104"/>
        <v>#NUM!</v>
      </c>
      <c r="AC327" s="128" t="e">
        <f t="shared" si="105"/>
        <v>#NUM!</v>
      </c>
      <c r="AD327" s="128" t="e">
        <f t="shared" si="106"/>
        <v>#NUM!</v>
      </c>
      <c r="AE327" s="128" t="e">
        <f t="shared" si="107"/>
        <v>#NUM!</v>
      </c>
      <c r="AF327" s="130"/>
      <c r="AG327" s="130"/>
      <c r="AH327" s="130"/>
      <c r="AI327" s="130"/>
      <c r="AJ327" s="130"/>
      <c r="AK327" s="130"/>
      <c r="AL327" s="130"/>
      <c r="AM327" s="130"/>
      <c r="AN327" s="130"/>
      <c r="AO327" s="130"/>
      <c r="AP327" s="130"/>
      <c r="AQ327" s="130"/>
      <c r="AR327" s="130"/>
      <c r="AS327" s="130"/>
    </row>
    <row r="328" spans="1:45" s="166" customFormat="1" ht="12.75">
      <c r="A328" s="132" t="e">
        <f t="shared" si="100"/>
        <v>#DIV/0!</v>
      </c>
      <c r="B328" s="132">
        <f t="shared" si="101"/>
        <v>5.959999999999962</v>
      </c>
      <c r="C328" s="146">
        <f t="shared" si="81"/>
        <v>912010.8393558287</v>
      </c>
      <c r="D328" s="137" t="e">
        <f t="shared" si="82"/>
        <v>#DIV/0!</v>
      </c>
      <c r="E328" s="132" t="e">
        <f t="shared" si="83"/>
        <v>#DIV/0!</v>
      </c>
      <c r="G328" s="146"/>
      <c r="H328" s="184" t="str">
        <f t="shared" si="84"/>
        <v>1E+47-1.74509924908688E+49i</v>
      </c>
      <c r="I328" s="132" t="str">
        <f>IMSUM(IMDIV(1,COMPLEX(0,Q328*MLCC*10^-6)),MLCC_ESR*10^-3)</f>
        <v>1E+47-1.74509924908688E+49i</v>
      </c>
      <c r="J328" s="132" t="str">
        <f t="shared" si="85"/>
        <v>5E+46-8.72549624543439E+48i</v>
      </c>
      <c r="K328" s="132"/>
      <c r="L328" s="132" t="e">
        <f t="shared" si="86"/>
        <v>#DIV/0!</v>
      </c>
      <c r="M328" s="132" t="str">
        <f t="shared" si="87"/>
        <v>0</v>
      </c>
      <c r="N328" s="132" t="e">
        <f t="shared" si="88"/>
        <v>#DIV/0!</v>
      </c>
      <c r="O328" s="185" t="e">
        <f t="shared" si="89"/>
        <v>#DIV/0!</v>
      </c>
      <c r="P328" s="185" t="e">
        <f t="shared" si="90"/>
        <v>#DIV/0!</v>
      </c>
      <c r="Q328" s="132">
        <f t="shared" si="91"/>
        <v>5730333.105829065</v>
      </c>
      <c r="R328" s="132">
        <f t="shared" si="102"/>
        <v>5.959999999999961</v>
      </c>
      <c r="S328" s="164" t="e">
        <f t="shared" si="92"/>
        <v>#DIV/0!</v>
      </c>
      <c r="T328" s="132" t="e">
        <f t="shared" si="93"/>
        <v>#NUM!</v>
      </c>
      <c r="U328" s="138" t="e">
        <f t="shared" si="94"/>
        <v>#NUM!</v>
      </c>
      <c r="V328" s="132" t="e">
        <f t="shared" si="95"/>
        <v>#NUM!</v>
      </c>
      <c r="W328" s="132">
        <f t="shared" si="96"/>
        <v>28.368221118967327</v>
      </c>
      <c r="X328" s="138">
        <f t="shared" si="97"/>
        <v>-95.06024508054053</v>
      </c>
      <c r="Y328" s="128" t="str">
        <f t="shared" si="98"/>
        <v>-2.31150714910379-26.1044825153661i</v>
      </c>
      <c r="Z328" s="128" t="e">
        <f t="shared" si="99"/>
        <v>#NUM!</v>
      </c>
      <c r="AA328" s="128" t="e">
        <f t="shared" si="103"/>
        <v>#NUM!</v>
      </c>
      <c r="AB328" s="128" t="e">
        <f t="shared" si="104"/>
        <v>#NUM!</v>
      </c>
      <c r="AC328" s="128" t="e">
        <f t="shared" si="105"/>
        <v>#NUM!</v>
      </c>
      <c r="AD328" s="128" t="e">
        <f t="shared" si="106"/>
        <v>#NUM!</v>
      </c>
      <c r="AE328" s="128" t="e">
        <f t="shared" si="107"/>
        <v>#NUM!</v>
      </c>
      <c r="AF328" s="130"/>
      <c r="AG328" s="130"/>
      <c r="AH328" s="130"/>
      <c r="AI328" s="130"/>
      <c r="AJ328" s="130"/>
      <c r="AK328" s="130"/>
      <c r="AL328" s="130"/>
      <c r="AM328" s="130"/>
      <c r="AN328" s="130"/>
      <c r="AO328" s="130"/>
      <c r="AP328" s="130"/>
      <c r="AQ328" s="130"/>
      <c r="AR328" s="130"/>
      <c r="AS328" s="130"/>
    </row>
    <row r="329" spans="1:45" s="166" customFormat="1" ht="12.75">
      <c r="A329" s="132" t="e">
        <f t="shared" si="100"/>
        <v>#DIV/0!</v>
      </c>
      <c r="B329" s="132">
        <f t="shared" si="101"/>
        <v>5.979999999999961</v>
      </c>
      <c r="C329" s="146">
        <f t="shared" si="81"/>
        <v>954992.5860213508</v>
      </c>
      <c r="D329" s="137" t="e">
        <f t="shared" si="82"/>
        <v>#DIV/0!</v>
      </c>
      <c r="E329" s="132" t="e">
        <f t="shared" si="83"/>
        <v>#DIV/0!</v>
      </c>
      <c r="G329" s="146"/>
      <c r="H329" s="184" t="str">
        <f t="shared" si="84"/>
        <v>1E+47-1.66655684474955E+49i</v>
      </c>
      <c r="I329" s="132" t="str">
        <f>IMSUM(IMDIV(1,COMPLEX(0,Q329*MLCC*10^-6)),MLCC_ESR*10^-3)</f>
        <v>1E+47-1.66655684474955E+49i</v>
      </c>
      <c r="J329" s="132" t="str">
        <f t="shared" si="85"/>
        <v>4.99999999999999E+46-8.33278422374776E+48i</v>
      </c>
      <c r="K329" s="132"/>
      <c r="L329" s="132" t="e">
        <f t="shared" si="86"/>
        <v>#DIV/0!</v>
      </c>
      <c r="M329" s="132" t="str">
        <f t="shared" si="87"/>
        <v>0</v>
      </c>
      <c r="N329" s="132" t="e">
        <f t="shared" si="88"/>
        <v>#DIV/0!</v>
      </c>
      <c r="O329" s="185" t="e">
        <f t="shared" si="89"/>
        <v>#DIV/0!</v>
      </c>
      <c r="P329" s="185" t="e">
        <f t="shared" si="90"/>
        <v>#DIV/0!</v>
      </c>
      <c r="Q329" s="132">
        <f t="shared" si="91"/>
        <v>6000395.384954789</v>
      </c>
      <c r="R329" s="132">
        <f t="shared" si="102"/>
        <v>5.9799999999999605</v>
      </c>
      <c r="S329" s="164" t="e">
        <f t="shared" si="92"/>
        <v>#DIV/0!</v>
      </c>
      <c r="T329" s="132" t="e">
        <f t="shared" si="93"/>
        <v>#NUM!</v>
      </c>
      <c r="U329" s="138" t="e">
        <f t="shared" si="94"/>
        <v>#NUM!</v>
      </c>
      <c r="V329" s="132" t="e">
        <f t="shared" si="95"/>
        <v>#NUM!</v>
      </c>
      <c r="W329" s="132">
        <f t="shared" si="96"/>
        <v>27.964768802535094</v>
      </c>
      <c r="X329" s="138">
        <f t="shared" si="97"/>
        <v>-95.31117051153308</v>
      </c>
      <c r="Y329" s="128" t="str">
        <f t="shared" si="98"/>
        <v>-2.31570858387047-24.9097779805714i</v>
      </c>
      <c r="Z329" s="128" t="e">
        <f t="shared" si="99"/>
        <v>#NUM!</v>
      </c>
      <c r="AA329" s="128" t="e">
        <f t="shared" si="103"/>
        <v>#NUM!</v>
      </c>
      <c r="AB329" s="128" t="e">
        <f t="shared" si="104"/>
        <v>#NUM!</v>
      </c>
      <c r="AC329" s="128" t="e">
        <f t="shared" si="105"/>
        <v>#NUM!</v>
      </c>
      <c r="AD329" s="128" t="e">
        <f t="shared" si="106"/>
        <v>#NUM!</v>
      </c>
      <c r="AE329" s="128" t="e">
        <f t="shared" si="107"/>
        <v>#NUM!</v>
      </c>
      <c r="AF329" s="130"/>
      <c r="AG329" s="130"/>
      <c r="AH329" s="130"/>
      <c r="AI329" s="130"/>
      <c r="AJ329" s="130"/>
      <c r="AK329" s="130"/>
      <c r="AL329" s="130"/>
      <c r="AM329" s="130"/>
      <c r="AN329" s="130"/>
      <c r="AO329" s="130"/>
      <c r="AP329" s="130"/>
      <c r="AQ329" s="130"/>
      <c r="AR329" s="130"/>
      <c r="AS329" s="130"/>
    </row>
    <row r="330" spans="1:45" s="166" customFormat="1" ht="12.75">
      <c r="A330" s="132" t="e">
        <f t="shared" si="100"/>
        <v>#DIV/0!</v>
      </c>
      <c r="B330" s="132">
        <f t="shared" si="101"/>
        <v>5.99999999999996</v>
      </c>
      <c r="C330" s="132">
        <f t="shared" si="81"/>
        <v>999999.999999909</v>
      </c>
      <c r="D330" s="137" t="e">
        <f t="shared" si="82"/>
        <v>#DIV/0!</v>
      </c>
      <c r="E330" s="132" t="e">
        <f t="shared" si="83"/>
        <v>#DIV/0!</v>
      </c>
      <c r="G330" s="132"/>
      <c r="H330" s="184" t="str">
        <f t="shared" si="84"/>
        <v>1E+47-1.5915494309191E+49i</v>
      </c>
      <c r="I330" s="132" t="str">
        <f>IMSUM(IMDIV(1,COMPLEX(0,Q330*MLCC*10^-6)),MLCC_ESR*10^-3)</f>
        <v>1E+47-1.5915494309191E+49i</v>
      </c>
      <c r="J330" s="132" t="str">
        <f t="shared" si="85"/>
        <v>5E+46-7.9577471545955E+48i</v>
      </c>
      <c r="K330" s="132"/>
      <c r="L330" s="132" t="e">
        <f t="shared" si="86"/>
        <v>#DIV/0!</v>
      </c>
      <c r="M330" s="132" t="str">
        <f t="shared" si="87"/>
        <v>0</v>
      </c>
      <c r="N330" s="132" t="e">
        <f t="shared" si="88"/>
        <v>#DIV/0!</v>
      </c>
      <c r="O330" s="185" t="e">
        <f t="shared" si="89"/>
        <v>#DIV/0!</v>
      </c>
      <c r="P330" s="185" t="e">
        <f t="shared" si="90"/>
        <v>#DIV/0!</v>
      </c>
      <c r="Q330" s="132">
        <f t="shared" si="91"/>
        <v>6283185.307179014</v>
      </c>
      <c r="R330" s="132">
        <f t="shared" si="102"/>
        <v>5.99999999999996</v>
      </c>
      <c r="S330" s="164" t="e">
        <f t="shared" si="92"/>
        <v>#DIV/0!</v>
      </c>
      <c r="T330" s="132" t="e">
        <f t="shared" si="93"/>
        <v>#NUM!</v>
      </c>
      <c r="U330" s="138" t="e">
        <f t="shared" si="94"/>
        <v>#NUM!</v>
      </c>
      <c r="V330" s="132" t="e">
        <f t="shared" si="95"/>
        <v>#NUM!</v>
      </c>
      <c r="W330" s="132">
        <f t="shared" si="96"/>
        <v>27.560986081116372</v>
      </c>
      <c r="X330" s="138">
        <f t="shared" si="97"/>
        <v>-95.57308353068575</v>
      </c>
      <c r="Y330" s="128" t="str">
        <f t="shared" si="98"/>
        <v>-2.31919456223139-23.7679423045753i</v>
      </c>
      <c r="Z330" s="128" t="e">
        <f t="shared" si="99"/>
        <v>#NUM!</v>
      </c>
      <c r="AA330" s="128" t="e">
        <f t="shared" si="103"/>
        <v>#NUM!</v>
      </c>
      <c r="AB330" s="128" t="e">
        <f t="shared" si="104"/>
        <v>#NUM!</v>
      </c>
      <c r="AC330" s="128" t="e">
        <f t="shared" si="105"/>
        <v>#NUM!</v>
      </c>
      <c r="AD330" s="128" t="e">
        <f t="shared" si="106"/>
        <v>#NUM!</v>
      </c>
      <c r="AE330" s="128" t="e">
        <f t="shared" si="107"/>
        <v>#NUM!</v>
      </c>
      <c r="AF330" s="130"/>
      <c r="AG330" s="130"/>
      <c r="AH330" s="130"/>
      <c r="AI330" s="130"/>
      <c r="AJ330" s="130"/>
      <c r="AK330" s="130"/>
      <c r="AL330" s="130"/>
      <c r="AM330" s="130"/>
      <c r="AN330" s="130"/>
      <c r="AO330" s="130"/>
      <c r="AP330" s="130"/>
      <c r="AQ330" s="130"/>
      <c r="AR330" s="130"/>
      <c r="AS330" s="130"/>
    </row>
    <row r="331" spans="17:65" s="166" customFormat="1" ht="12.75">
      <c r="Q331" s="128"/>
      <c r="R331" s="128"/>
      <c r="S331" s="128"/>
      <c r="T331" s="128"/>
      <c r="U331" s="128"/>
      <c r="V331" s="128"/>
      <c r="W331" s="138"/>
      <c r="X331" s="128"/>
      <c r="Y331" s="128"/>
      <c r="Z331" s="138"/>
      <c r="AA331" s="128" t="e">
        <f t="shared" si="103"/>
        <v>#NUM!</v>
      </c>
      <c r="AB331" s="128" t="e">
        <f t="shared" si="104"/>
        <v>#NUM!</v>
      </c>
      <c r="AC331" s="128" t="e">
        <f t="shared" si="105"/>
        <v>#NUM!</v>
      </c>
      <c r="AD331" s="128" t="e">
        <f t="shared" si="106"/>
        <v>#NUM!</v>
      </c>
      <c r="AE331" s="128" t="e">
        <f t="shared" si="107"/>
        <v>#NUM!</v>
      </c>
      <c r="AF331" s="128"/>
      <c r="AG331" s="128"/>
      <c r="AH331" s="128"/>
      <c r="AI331" s="128"/>
      <c r="AJ331" s="128"/>
      <c r="AK331" s="128"/>
      <c r="AL331" s="130"/>
      <c r="AM331" s="130"/>
      <c r="AN331" s="130"/>
      <c r="AO331" s="130"/>
      <c r="AP331" s="130"/>
      <c r="AQ331" s="130"/>
      <c r="AR331" s="130"/>
      <c r="AS331" s="130"/>
      <c r="AT331" s="130"/>
      <c r="AU331" s="130"/>
      <c r="AV331" s="130"/>
      <c r="AW331" s="130"/>
      <c r="AX331" s="130"/>
      <c r="AY331" s="130"/>
      <c r="AZ331" s="130"/>
      <c r="BA331" s="130"/>
      <c r="BB331" s="130"/>
      <c r="BC331" s="130"/>
      <c r="BD331" s="130"/>
      <c r="BE331" s="130"/>
      <c r="BF331" s="130"/>
      <c r="BG331" s="130"/>
      <c r="BH331" s="130"/>
      <c r="BI331" s="130"/>
      <c r="BJ331" s="130"/>
      <c r="BK331" s="130"/>
      <c r="BL331" s="130"/>
      <c r="BM331" s="130"/>
    </row>
    <row r="332" spans="17:100" s="166" customFormat="1" ht="12.75">
      <c r="Q332" s="128"/>
      <c r="R332" s="128"/>
      <c r="S332" s="128"/>
      <c r="T332" s="128"/>
      <c r="U332" s="128"/>
      <c r="V332" s="128"/>
      <c r="W332" s="128"/>
      <c r="X332" s="128"/>
      <c r="Y332" s="128"/>
      <c r="Z332" s="138"/>
      <c r="AA332" s="128" t="e">
        <f t="shared" si="103"/>
        <v>#NUM!</v>
      </c>
      <c r="AB332" s="128" t="e">
        <f t="shared" si="104"/>
        <v>#NUM!</v>
      </c>
      <c r="AC332" s="128" t="e">
        <f t="shared" si="105"/>
        <v>#NUM!</v>
      </c>
      <c r="AD332" s="128" t="e">
        <f t="shared" si="106"/>
        <v>#NUM!</v>
      </c>
      <c r="AE332" s="128" t="e">
        <f t="shared" si="107"/>
        <v>#NUM!</v>
      </c>
      <c r="AF332" s="128"/>
      <c r="AG332" s="128"/>
      <c r="AH332" s="128"/>
      <c r="AI332" s="128"/>
      <c r="AJ332" s="128"/>
      <c r="AK332" s="128"/>
      <c r="AL332" s="130"/>
      <c r="AM332" s="130"/>
      <c r="AN332" s="130"/>
      <c r="AO332" s="130"/>
      <c r="AP332" s="130"/>
      <c r="AQ332" s="130"/>
      <c r="AR332" s="130"/>
      <c r="AS332" s="130"/>
      <c r="AT332" s="130"/>
      <c r="AU332" s="130"/>
      <c r="AV332" s="130"/>
      <c r="AW332" s="130"/>
      <c r="AX332" s="130"/>
      <c r="AY332" s="130"/>
      <c r="AZ332" s="130"/>
      <c r="BA332" s="130"/>
      <c r="BB332" s="130"/>
      <c r="BC332" s="130"/>
      <c r="BD332" s="130"/>
      <c r="BE332" s="130"/>
      <c r="BF332" s="130"/>
      <c r="BG332" s="130"/>
      <c r="BH332" s="130"/>
      <c r="BI332" s="130"/>
      <c r="BJ332" s="130"/>
      <c r="BK332" s="130"/>
      <c r="BL332" s="130"/>
      <c r="BM332" s="130"/>
      <c r="CA332" s="188"/>
      <c r="CB332" s="188"/>
      <c r="CC332" s="188"/>
      <c r="CD332" s="188"/>
      <c r="CE332" s="188"/>
      <c r="CF332" s="188"/>
      <c r="CG332" s="188"/>
      <c r="CH332" s="188"/>
      <c r="CI332" s="188"/>
      <c r="CJ332" s="188"/>
      <c r="CK332" s="188"/>
      <c r="CL332" s="188"/>
      <c r="CM332" s="188"/>
      <c r="CN332" s="188"/>
      <c r="CO332" s="188"/>
      <c r="CP332" s="188"/>
      <c r="CQ332" s="188"/>
      <c r="CR332" s="188"/>
      <c r="CS332" s="188"/>
      <c r="CT332" s="188"/>
      <c r="CU332" s="188"/>
      <c r="CV332" s="188"/>
    </row>
    <row r="333" spans="4:100" s="166" customFormat="1" ht="12.75">
      <c r="D333" s="131"/>
      <c r="H333" s="131"/>
      <c r="N333" s="186"/>
      <c r="Q333" s="128"/>
      <c r="R333" s="128"/>
      <c r="S333" s="131"/>
      <c r="T333" s="128"/>
      <c r="U333" s="131"/>
      <c r="V333" s="130"/>
      <c r="W333" s="130"/>
      <c r="X333" s="130"/>
      <c r="Y333" s="130"/>
      <c r="Z333" s="130"/>
      <c r="AA333" s="128" t="e">
        <f t="shared" si="103"/>
        <v>#NUM!</v>
      </c>
      <c r="AB333" s="128" t="e">
        <f t="shared" si="104"/>
        <v>#NUM!</v>
      </c>
      <c r="AC333" s="128" t="e">
        <f t="shared" si="105"/>
        <v>#NUM!</v>
      </c>
      <c r="AD333" s="128" t="e">
        <f t="shared" si="106"/>
        <v>#NUM!</v>
      </c>
      <c r="AE333" s="128" t="e">
        <f t="shared" si="107"/>
        <v>#NUM!</v>
      </c>
      <c r="AF333" s="130"/>
      <c r="AG333" s="130"/>
      <c r="AH333" s="130"/>
      <c r="AI333" s="130"/>
      <c r="AJ333" s="130"/>
      <c r="AK333" s="130"/>
      <c r="AL333" s="130"/>
      <c r="AM333" s="130"/>
      <c r="AN333" s="130"/>
      <c r="AO333" s="130"/>
      <c r="AP333" s="130"/>
      <c r="AQ333" s="130"/>
      <c r="AR333" s="130"/>
      <c r="AS333" s="130"/>
      <c r="AT333" s="130"/>
      <c r="AU333" s="130"/>
      <c r="AV333" s="130"/>
      <c r="AW333" s="130"/>
      <c r="AX333" s="130"/>
      <c r="AY333" s="130"/>
      <c r="AZ333" s="130"/>
      <c r="BA333" s="130"/>
      <c r="CA333" s="188"/>
      <c r="CB333" s="188"/>
      <c r="CC333" s="188"/>
      <c r="CD333" s="188"/>
      <c r="CE333" s="188"/>
      <c r="CF333" s="188"/>
      <c r="CG333" s="188"/>
      <c r="CH333" s="188"/>
      <c r="CI333" s="188"/>
      <c r="CJ333" s="188"/>
      <c r="CK333" s="188"/>
      <c r="CL333" s="188"/>
      <c r="CM333" s="188"/>
      <c r="CN333" s="188"/>
      <c r="CO333" s="188"/>
      <c r="CP333" s="188"/>
      <c r="CQ333" s="188"/>
      <c r="CR333" s="188"/>
      <c r="CS333" s="188"/>
      <c r="CT333" s="188"/>
      <c r="CU333" s="188"/>
      <c r="CV333" s="188"/>
    </row>
    <row r="334" spans="1:100" s="188" customFormat="1" ht="12.75">
      <c r="A334" s="189"/>
      <c r="B334" s="189"/>
      <c r="C334" s="189"/>
      <c r="D334" s="162"/>
      <c r="E334" s="162"/>
      <c r="F334" s="189"/>
      <c r="G334" s="189"/>
      <c r="H334" s="162"/>
      <c r="I334" s="189"/>
      <c r="J334" s="189"/>
      <c r="K334" s="189"/>
      <c r="L334" s="189"/>
      <c r="M334" s="189"/>
      <c r="N334" s="189"/>
      <c r="O334" s="189"/>
      <c r="P334" s="189"/>
      <c r="Q334" s="161"/>
      <c r="R334" s="161"/>
      <c r="S334" s="161"/>
      <c r="T334" s="162"/>
      <c r="U334" s="161"/>
      <c r="V334" s="162"/>
      <c r="W334" s="162"/>
      <c r="X334" s="162"/>
      <c r="Y334" s="161"/>
      <c r="Z334" s="128"/>
      <c r="AA334" s="128" t="e">
        <f t="shared" si="103"/>
        <v>#NUM!</v>
      </c>
      <c r="AB334" s="128" t="e">
        <f t="shared" si="104"/>
        <v>#NUM!</v>
      </c>
      <c r="AC334" s="128" t="e">
        <f t="shared" si="105"/>
        <v>#NUM!</v>
      </c>
      <c r="AD334" s="128" t="e">
        <f t="shared" si="106"/>
        <v>#NUM!</v>
      </c>
      <c r="AE334" s="128" t="e">
        <f t="shared" si="107"/>
        <v>#NUM!</v>
      </c>
      <c r="AF334" s="131"/>
      <c r="AG334" s="131"/>
      <c r="AH334" s="129"/>
      <c r="AI334" s="129"/>
      <c r="AJ334" s="129"/>
      <c r="AK334" s="129"/>
      <c r="AL334" s="129"/>
      <c r="AM334" s="129"/>
      <c r="AN334" s="129"/>
      <c r="AO334" s="129"/>
      <c r="AP334" s="129"/>
      <c r="AQ334" s="129"/>
      <c r="AR334" s="129"/>
      <c r="AS334" s="129"/>
      <c r="CA334" s="166"/>
      <c r="CB334" s="166"/>
      <c r="CC334" s="166"/>
      <c r="CD334" s="166"/>
      <c r="CE334" s="166"/>
      <c r="CF334" s="166"/>
      <c r="CG334" s="166"/>
      <c r="CH334" s="166"/>
      <c r="CI334" s="166"/>
      <c r="CJ334" s="166"/>
      <c r="CK334" s="166"/>
      <c r="CL334" s="166"/>
      <c r="CM334" s="166"/>
      <c r="CN334" s="166"/>
      <c r="CO334" s="166"/>
      <c r="CP334" s="166"/>
      <c r="CQ334" s="166"/>
      <c r="CR334" s="166"/>
      <c r="CS334" s="166"/>
      <c r="CT334" s="166"/>
      <c r="CU334" s="166"/>
      <c r="CV334" s="166"/>
    </row>
    <row r="335" spans="1:100" s="188" customFormat="1" ht="12.75">
      <c r="A335" s="189"/>
      <c r="B335" s="189"/>
      <c r="C335" s="162"/>
      <c r="D335" s="162"/>
      <c r="E335" s="162"/>
      <c r="F335" s="162"/>
      <c r="G335" s="131"/>
      <c r="H335" s="132"/>
      <c r="I335" s="162"/>
      <c r="J335" s="162"/>
      <c r="K335" s="162"/>
      <c r="L335" s="162"/>
      <c r="M335" s="162"/>
      <c r="N335" s="162"/>
      <c r="O335" s="162"/>
      <c r="P335" s="162"/>
      <c r="Q335" s="162"/>
      <c r="R335" s="162"/>
      <c r="S335" s="161"/>
      <c r="T335" s="162"/>
      <c r="U335" s="161"/>
      <c r="V335" s="132"/>
      <c r="W335" s="132"/>
      <c r="X335" s="132"/>
      <c r="Y335" s="131"/>
      <c r="Z335" s="131"/>
      <c r="AA335" s="128" t="e">
        <f t="shared" si="103"/>
        <v>#NUM!</v>
      </c>
      <c r="AB335" s="128" t="e">
        <f t="shared" si="104"/>
        <v>#NUM!</v>
      </c>
      <c r="AC335" s="128" t="e">
        <f t="shared" si="105"/>
        <v>#NUM!</v>
      </c>
      <c r="AD335" s="128" t="e">
        <f t="shared" si="106"/>
        <v>#NUM!</v>
      </c>
      <c r="AE335" s="128" t="e">
        <f t="shared" si="107"/>
        <v>#NUM!</v>
      </c>
      <c r="AF335" s="131"/>
      <c r="AG335" s="131"/>
      <c r="AH335" s="129"/>
      <c r="AI335" s="129"/>
      <c r="AJ335" s="129"/>
      <c r="AK335" s="129"/>
      <c r="AL335" s="129"/>
      <c r="AM335" s="129"/>
      <c r="AN335" s="129"/>
      <c r="AO335" s="129"/>
      <c r="AP335" s="129"/>
      <c r="AQ335" s="129"/>
      <c r="AR335" s="129"/>
      <c r="AS335" s="129"/>
      <c r="CA335" s="166"/>
      <c r="CB335" s="166"/>
      <c r="CC335" s="166"/>
      <c r="CD335" s="166"/>
      <c r="CE335" s="166"/>
      <c r="CF335" s="166"/>
      <c r="CG335" s="166"/>
      <c r="CH335" s="166"/>
      <c r="CI335" s="166"/>
      <c r="CJ335" s="166"/>
      <c r="CK335" s="166"/>
      <c r="CL335" s="166"/>
      <c r="CM335" s="166"/>
      <c r="CN335" s="166"/>
      <c r="CO335" s="166"/>
      <c r="CP335" s="166"/>
      <c r="CQ335" s="166"/>
      <c r="CR335" s="166"/>
      <c r="CS335" s="166"/>
      <c r="CT335" s="166"/>
      <c r="CU335" s="166"/>
      <c r="CV335" s="166"/>
    </row>
    <row r="336" spans="1:45" s="166" customFormat="1" ht="12.75">
      <c r="A336" s="132"/>
      <c r="B336" s="132"/>
      <c r="C336" s="146"/>
      <c r="D336" s="137"/>
      <c r="F336" s="137"/>
      <c r="G336" s="164"/>
      <c r="H336" s="138"/>
      <c r="I336" s="132"/>
      <c r="J336" s="132"/>
      <c r="K336" s="132"/>
      <c r="L336" s="132"/>
      <c r="M336" s="132"/>
      <c r="N336" s="132"/>
      <c r="O336" s="185"/>
      <c r="P336" s="185"/>
      <c r="Q336" s="132"/>
      <c r="R336" s="132"/>
      <c r="S336" s="128"/>
      <c r="T336" s="132"/>
      <c r="U336" s="128"/>
      <c r="V336" s="132"/>
      <c r="W336" s="132"/>
      <c r="X336" s="138"/>
      <c r="Y336" s="128"/>
      <c r="Z336" s="128"/>
      <c r="AA336" s="128" t="e">
        <f t="shared" si="103"/>
        <v>#NUM!</v>
      </c>
      <c r="AB336" s="128" t="e">
        <f t="shared" si="104"/>
        <v>#NUM!</v>
      </c>
      <c r="AC336" s="128" t="e">
        <f t="shared" si="105"/>
        <v>#NUM!</v>
      </c>
      <c r="AD336" s="128" t="e">
        <f t="shared" si="106"/>
        <v>#NUM!</v>
      </c>
      <c r="AE336" s="128" t="e">
        <f t="shared" si="107"/>
        <v>#NUM!</v>
      </c>
      <c r="AF336" s="130"/>
      <c r="AG336" s="130"/>
      <c r="AH336" s="130"/>
      <c r="AI336" s="130"/>
      <c r="AJ336" s="130"/>
      <c r="AK336" s="130"/>
      <c r="AL336" s="130"/>
      <c r="AM336" s="130"/>
      <c r="AN336" s="130"/>
      <c r="AO336" s="130"/>
      <c r="AP336" s="130"/>
      <c r="AQ336" s="130"/>
      <c r="AR336" s="130"/>
      <c r="AS336" s="130"/>
    </row>
    <row r="337" spans="17:67" s="166" customFormat="1" ht="12.75">
      <c r="Q337" s="128"/>
      <c r="R337" s="130"/>
      <c r="S337" s="165"/>
      <c r="T337" s="130"/>
      <c r="U337" s="130"/>
      <c r="V337" s="130"/>
      <c r="W337" s="130"/>
      <c r="X337" s="130"/>
      <c r="Y337" s="130"/>
      <c r="Z337" s="130"/>
      <c r="AA337" s="128" t="e">
        <f t="shared" si="103"/>
        <v>#NUM!</v>
      </c>
      <c r="AB337" s="128" t="e">
        <f t="shared" si="104"/>
        <v>#NUM!</v>
      </c>
      <c r="AC337" s="128" t="e">
        <f t="shared" si="105"/>
        <v>#NUM!</v>
      </c>
      <c r="AD337" s="128" t="e">
        <f t="shared" si="106"/>
        <v>#NUM!</v>
      </c>
      <c r="AE337" s="128" t="e">
        <f t="shared" si="107"/>
        <v>#NUM!</v>
      </c>
      <c r="AF337" s="130"/>
      <c r="AG337" s="130"/>
      <c r="AH337" s="130"/>
      <c r="AI337" s="130"/>
      <c r="AJ337" s="130"/>
      <c r="AK337" s="130"/>
      <c r="AL337" s="130"/>
      <c r="AM337" s="130"/>
      <c r="AN337" s="130"/>
      <c r="AO337" s="130"/>
      <c r="AP337" s="130"/>
      <c r="AQ337" s="130"/>
      <c r="AR337" s="130"/>
      <c r="AS337" s="130"/>
      <c r="AT337" s="130"/>
      <c r="AU337" s="130"/>
      <c r="AV337" s="130"/>
      <c r="AW337" s="130"/>
      <c r="AX337" s="130"/>
      <c r="AY337" s="130"/>
      <c r="AZ337" s="130"/>
      <c r="BA337" s="130"/>
      <c r="BB337" s="130"/>
      <c r="BC337" s="130"/>
      <c r="BD337" s="130"/>
      <c r="BE337" s="130"/>
      <c r="BF337" s="130"/>
      <c r="BG337" s="130"/>
      <c r="BH337" s="130"/>
      <c r="BI337" s="130"/>
      <c r="BJ337" s="130"/>
      <c r="BK337" s="130"/>
      <c r="BL337" s="130"/>
      <c r="BM337" s="130"/>
      <c r="BN337" s="130"/>
      <c r="BO337" s="130"/>
    </row>
    <row r="338" spans="17:67" s="166" customFormat="1" ht="12.75">
      <c r="Q338" s="128"/>
      <c r="R338" s="130"/>
      <c r="S338" s="165"/>
      <c r="T338" s="130"/>
      <c r="U338" s="130"/>
      <c r="V338" s="130"/>
      <c r="W338" s="130"/>
      <c r="X338" s="130"/>
      <c r="Y338" s="130"/>
      <c r="Z338" s="130"/>
      <c r="AA338" s="128" t="e">
        <f t="shared" si="103"/>
        <v>#NUM!</v>
      </c>
      <c r="AB338" s="128" t="e">
        <f t="shared" si="104"/>
        <v>#NUM!</v>
      </c>
      <c r="AC338" s="128" t="e">
        <f t="shared" si="105"/>
        <v>#NUM!</v>
      </c>
      <c r="AD338" s="128" t="e">
        <f t="shared" si="106"/>
        <v>#NUM!</v>
      </c>
      <c r="AE338" s="128" t="e">
        <f t="shared" si="107"/>
        <v>#NUM!</v>
      </c>
      <c r="AF338" s="130"/>
      <c r="AG338" s="130"/>
      <c r="AH338" s="130"/>
      <c r="AI338" s="130"/>
      <c r="AJ338" s="130"/>
      <c r="AK338" s="130"/>
      <c r="AL338" s="130"/>
      <c r="AM338" s="130"/>
      <c r="AN338" s="130"/>
      <c r="AO338" s="130"/>
      <c r="AP338" s="130"/>
      <c r="AQ338" s="130"/>
      <c r="AR338" s="130"/>
      <c r="AS338" s="130"/>
      <c r="AT338" s="130"/>
      <c r="AU338" s="130"/>
      <c r="AV338" s="130"/>
      <c r="AW338" s="130"/>
      <c r="AX338" s="130"/>
      <c r="AY338" s="130"/>
      <c r="AZ338" s="130"/>
      <c r="BA338" s="130"/>
      <c r="BB338" s="130"/>
      <c r="BC338" s="130"/>
      <c r="BD338" s="130"/>
      <c r="BE338" s="130"/>
      <c r="BF338" s="130"/>
      <c r="BG338" s="130"/>
      <c r="BH338" s="130"/>
      <c r="BI338" s="130"/>
      <c r="BJ338" s="130"/>
      <c r="BK338" s="130"/>
      <c r="BL338" s="130"/>
      <c r="BM338" s="130"/>
      <c r="BN338" s="130"/>
      <c r="BO338" s="130"/>
    </row>
    <row r="339" spans="17:67" s="166" customFormat="1" ht="12.75">
      <c r="Q339" s="128"/>
      <c r="R339" s="130"/>
      <c r="S339" s="165"/>
      <c r="T339" s="130"/>
      <c r="U339" s="130"/>
      <c r="V339" s="130"/>
      <c r="W339" s="130"/>
      <c r="X339" s="130"/>
      <c r="Y339" s="130"/>
      <c r="Z339" s="130"/>
      <c r="AA339" s="128" t="e">
        <f t="shared" si="103"/>
        <v>#NUM!</v>
      </c>
      <c r="AB339" s="128" t="e">
        <f t="shared" si="104"/>
        <v>#NUM!</v>
      </c>
      <c r="AC339" s="128" t="e">
        <f t="shared" si="105"/>
        <v>#NUM!</v>
      </c>
      <c r="AD339" s="128" t="e">
        <f t="shared" si="106"/>
        <v>#NUM!</v>
      </c>
      <c r="AE339" s="128" t="e">
        <f t="shared" si="107"/>
        <v>#NUM!</v>
      </c>
      <c r="AF339" s="130"/>
      <c r="AG339" s="130"/>
      <c r="AH339" s="130"/>
      <c r="AI339" s="130"/>
      <c r="AJ339" s="130"/>
      <c r="AK339" s="130"/>
      <c r="AL339" s="130"/>
      <c r="AM339" s="130"/>
      <c r="AN339" s="130"/>
      <c r="AO339" s="130"/>
      <c r="AP339" s="130"/>
      <c r="AQ339" s="130"/>
      <c r="AR339" s="130"/>
      <c r="AS339" s="130"/>
      <c r="AT339" s="130"/>
      <c r="AU339" s="130"/>
      <c r="AV339" s="130"/>
      <c r="AW339" s="130"/>
      <c r="AX339" s="130"/>
      <c r="AY339" s="130"/>
      <c r="AZ339" s="130"/>
      <c r="BA339" s="130"/>
      <c r="BB339" s="130"/>
      <c r="BC339" s="130"/>
      <c r="BD339" s="130"/>
      <c r="BE339" s="130"/>
      <c r="BF339" s="130"/>
      <c r="BG339" s="130"/>
      <c r="BH339" s="130"/>
      <c r="BI339" s="130"/>
      <c r="BJ339" s="130"/>
      <c r="BK339" s="130"/>
      <c r="BL339" s="130"/>
      <c r="BM339" s="130"/>
      <c r="BN339" s="130"/>
      <c r="BO339" s="130"/>
    </row>
    <row r="340" spans="17:67" s="166" customFormat="1" ht="12.75">
      <c r="Q340" s="128"/>
      <c r="R340" s="130"/>
      <c r="S340" s="165"/>
      <c r="T340" s="130"/>
      <c r="U340" s="130"/>
      <c r="V340" s="130"/>
      <c r="W340" s="130"/>
      <c r="X340" s="130"/>
      <c r="Y340" s="130"/>
      <c r="Z340" s="130"/>
      <c r="AA340" s="138"/>
      <c r="AB340" s="138"/>
      <c r="AC340" s="128"/>
      <c r="AD340" s="128"/>
      <c r="AE340" s="128"/>
      <c r="AF340" s="130"/>
      <c r="AG340" s="130"/>
      <c r="AH340" s="130"/>
      <c r="AI340" s="130"/>
      <c r="AJ340" s="130"/>
      <c r="AK340" s="130"/>
      <c r="AL340" s="130"/>
      <c r="AM340" s="130"/>
      <c r="AN340" s="130"/>
      <c r="AO340" s="130"/>
      <c r="AP340" s="130"/>
      <c r="AQ340" s="130"/>
      <c r="AR340" s="130"/>
      <c r="AS340" s="130"/>
      <c r="AT340" s="130"/>
      <c r="AU340" s="130"/>
      <c r="AV340" s="130"/>
      <c r="AW340" s="130"/>
      <c r="AX340" s="130"/>
      <c r="AY340" s="130"/>
      <c r="AZ340" s="130"/>
      <c r="BA340" s="130"/>
      <c r="BB340" s="130"/>
      <c r="BC340" s="130"/>
      <c r="BD340" s="130"/>
      <c r="BE340" s="130"/>
      <c r="BF340" s="130"/>
      <c r="BG340" s="130"/>
      <c r="BH340" s="130"/>
      <c r="BI340" s="130"/>
      <c r="BJ340" s="130"/>
      <c r="BK340" s="130"/>
      <c r="BL340" s="130"/>
      <c r="BM340" s="130"/>
      <c r="BN340" s="130"/>
      <c r="BO340" s="130"/>
    </row>
    <row r="341" spans="17:67" s="166" customFormat="1" ht="12.75">
      <c r="Q341" s="128"/>
      <c r="R341" s="130"/>
      <c r="S341" s="165"/>
      <c r="T341" s="130"/>
      <c r="U341" s="130"/>
      <c r="V341" s="130"/>
      <c r="W341" s="130"/>
      <c r="X341" s="130"/>
      <c r="Y341" s="130"/>
      <c r="Z341" s="130"/>
      <c r="AA341" s="138"/>
      <c r="AB341" s="138"/>
      <c r="AC341" s="128"/>
      <c r="AD341" s="128"/>
      <c r="AE341" s="128"/>
      <c r="AF341" s="130"/>
      <c r="AG341" s="130"/>
      <c r="AH341" s="130"/>
      <c r="AI341" s="130"/>
      <c r="AJ341" s="130"/>
      <c r="AK341" s="130"/>
      <c r="AL341" s="130"/>
      <c r="AM341" s="130"/>
      <c r="AN341" s="130"/>
      <c r="AO341" s="130"/>
      <c r="AP341" s="130"/>
      <c r="AQ341" s="130"/>
      <c r="AR341" s="130"/>
      <c r="AS341" s="130"/>
      <c r="AT341" s="130"/>
      <c r="AU341" s="130"/>
      <c r="AV341" s="130"/>
      <c r="AW341" s="130"/>
      <c r="AX341" s="130"/>
      <c r="AY341" s="130"/>
      <c r="AZ341" s="130"/>
      <c r="BA341" s="130"/>
      <c r="BB341" s="130"/>
      <c r="BC341" s="130"/>
      <c r="BD341" s="130"/>
      <c r="BE341" s="130"/>
      <c r="BF341" s="130"/>
      <c r="BG341" s="130"/>
      <c r="BH341" s="130"/>
      <c r="BI341" s="130"/>
      <c r="BJ341" s="130"/>
      <c r="BK341" s="130"/>
      <c r="BL341" s="130"/>
      <c r="BM341" s="130"/>
      <c r="BN341" s="130"/>
      <c r="BO341" s="130"/>
    </row>
    <row r="342" spans="17:67" s="166" customFormat="1" ht="12.75">
      <c r="Q342" s="128"/>
      <c r="R342" s="130"/>
      <c r="S342" s="165"/>
      <c r="T342" s="130"/>
      <c r="U342" s="130"/>
      <c r="V342" s="130"/>
      <c r="W342" s="130"/>
      <c r="X342" s="130"/>
      <c r="Y342" s="130"/>
      <c r="Z342" s="130"/>
      <c r="AA342" s="128"/>
      <c r="AB342" s="130"/>
      <c r="AC342" s="130"/>
      <c r="AD342" s="130"/>
      <c r="AE342" s="130"/>
      <c r="AF342" s="130"/>
      <c r="AG342" s="130"/>
      <c r="AH342" s="130"/>
      <c r="AI342" s="130"/>
      <c r="AJ342" s="130"/>
      <c r="AK342" s="130"/>
      <c r="AL342" s="130"/>
      <c r="AM342" s="130"/>
      <c r="AN342" s="130"/>
      <c r="AO342" s="130"/>
      <c r="AP342" s="130"/>
      <c r="AQ342" s="130"/>
      <c r="AR342" s="130"/>
      <c r="AS342" s="130"/>
      <c r="AT342" s="130"/>
      <c r="AU342" s="130"/>
      <c r="AV342" s="130"/>
      <c r="AW342" s="130"/>
      <c r="AX342" s="130"/>
      <c r="AY342" s="130"/>
      <c r="AZ342" s="130"/>
      <c r="BA342" s="130"/>
      <c r="BB342" s="130"/>
      <c r="BC342" s="130"/>
      <c r="BD342" s="130"/>
      <c r="BE342" s="130"/>
      <c r="BF342" s="130"/>
      <c r="BG342" s="130"/>
      <c r="BH342" s="130"/>
      <c r="BI342" s="130"/>
      <c r="BJ342" s="130"/>
      <c r="BK342" s="130"/>
      <c r="BL342" s="130"/>
      <c r="BM342" s="130"/>
      <c r="BN342" s="130"/>
      <c r="BO342" s="130"/>
    </row>
    <row r="343" spans="17:67" s="166" customFormat="1" ht="12.75">
      <c r="Q343" s="128"/>
      <c r="R343" s="130"/>
      <c r="S343" s="165"/>
      <c r="T343" s="130"/>
      <c r="U343" s="130"/>
      <c r="V343" s="130"/>
      <c r="W343" s="130"/>
      <c r="X343" s="130"/>
      <c r="Y343" s="130"/>
      <c r="Z343" s="130"/>
      <c r="AA343" s="128"/>
      <c r="AB343" s="128"/>
      <c r="AC343" s="128"/>
      <c r="AD343" s="128"/>
      <c r="AE343" s="128"/>
      <c r="AF343" s="130"/>
      <c r="AG343" s="130"/>
      <c r="AH343" s="130"/>
      <c r="AI343" s="130"/>
      <c r="AJ343" s="130"/>
      <c r="AK343" s="130"/>
      <c r="AL343" s="130"/>
      <c r="AM343" s="130"/>
      <c r="AN343" s="130"/>
      <c r="AO343" s="130"/>
      <c r="AP343" s="130"/>
      <c r="AQ343" s="130"/>
      <c r="AR343" s="130"/>
      <c r="AS343" s="130"/>
      <c r="AT343" s="130"/>
      <c r="AU343" s="130"/>
      <c r="AV343" s="130"/>
      <c r="AW343" s="130"/>
      <c r="AX343" s="130"/>
      <c r="AY343" s="130"/>
      <c r="AZ343" s="130"/>
      <c r="BA343" s="130"/>
      <c r="BB343" s="130"/>
      <c r="BC343" s="130"/>
      <c r="BD343" s="130"/>
      <c r="BE343" s="130"/>
      <c r="BF343" s="130"/>
      <c r="BG343" s="130"/>
      <c r="BH343" s="130"/>
      <c r="BI343" s="130"/>
      <c r="BJ343" s="130"/>
      <c r="BK343" s="130"/>
      <c r="BL343" s="130"/>
      <c r="BM343" s="130"/>
      <c r="BN343" s="130"/>
      <c r="BO343" s="130"/>
    </row>
    <row r="344" spans="17:67" s="166" customFormat="1" ht="12.75">
      <c r="Q344" s="128"/>
      <c r="R344" s="130"/>
      <c r="S344" s="165"/>
      <c r="T344" s="130"/>
      <c r="U344" s="130"/>
      <c r="V344" s="130"/>
      <c r="W344" s="130"/>
      <c r="X344" s="130"/>
      <c r="Y344" s="130"/>
      <c r="Z344" s="130"/>
      <c r="AA344" s="131"/>
      <c r="AB344" s="131"/>
      <c r="AC344" s="131"/>
      <c r="AD344" s="131"/>
      <c r="AE344" s="131"/>
      <c r="AF344" s="130"/>
      <c r="AG344" s="130"/>
      <c r="AH344" s="130"/>
      <c r="AI344" s="130"/>
      <c r="AJ344" s="130"/>
      <c r="AK344" s="130"/>
      <c r="AL344" s="130"/>
      <c r="AM344" s="130"/>
      <c r="AN344" s="130"/>
      <c r="AO344" s="130"/>
      <c r="AP344" s="130"/>
      <c r="AQ344" s="130"/>
      <c r="AR344" s="130"/>
      <c r="AS344" s="130"/>
      <c r="AT344" s="130"/>
      <c r="AU344" s="130"/>
      <c r="AV344" s="130"/>
      <c r="AW344" s="130"/>
      <c r="AX344" s="130"/>
      <c r="AY344" s="130"/>
      <c r="AZ344" s="130"/>
      <c r="BA344" s="130"/>
      <c r="BB344" s="130"/>
      <c r="BC344" s="130"/>
      <c r="BD344" s="130"/>
      <c r="BE344" s="130"/>
      <c r="BF344" s="130"/>
      <c r="BG344" s="130"/>
      <c r="BH344" s="130"/>
      <c r="BI344" s="130"/>
      <c r="BJ344" s="130"/>
      <c r="BK344" s="130"/>
      <c r="BL344" s="130"/>
      <c r="BM344" s="130"/>
      <c r="BN344" s="130"/>
      <c r="BO344" s="130"/>
    </row>
    <row r="345" spans="17:67" s="166" customFormat="1" ht="12.75">
      <c r="Q345" s="128"/>
      <c r="R345" s="130"/>
      <c r="S345" s="165"/>
      <c r="T345" s="130"/>
      <c r="U345" s="130"/>
      <c r="V345" s="130"/>
      <c r="W345" s="130"/>
      <c r="X345" s="130"/>
      <c r="Y345" s="130"/>
      <c r="Z345" s="130"/>
      <c r="AA345" s="128"/>
      <c r="AB345" s="128"/>
      <c r="AC345" s="128"/>
      <c r="AD345" s="128"/>
      <c r="AE345" s="128"/>
      <c r="AF345" s="130"/>
      <c r="AG345" s="130"/>
      <c r="AH345" s="130"/>
      <c r="AI345" s="130"/>
      <c r="AJ345" s="130"/>
      <c r="AK345" s="130"/>
      <c r="AL345" s="130"/>
      <c r="AM345" s="130"/>
      <c r="AN345" s="130"/>
      <c r="AO345" s="130"/>
      <c r="AP345" s="130"/>
      <c r="AQ345" s="130"/>
      <c r="AR345" s="130"/>
      <c r="AS345" s="130"/>
      <c r="AT345" s="130"/>
      <c r="AU345" s="130"/>
      <c r="AV345" s="130"/>
      <c r="AW345" s="130"/>
      <c r="AX345" s="130"/>
      <c r="AY345" s="130"/>
      <c r="AZ345" s="130"/>
      <c r="BA345" s="130"/>
      <c r="BB345" s="130"/>
      <c r="BC345" s="130"/>
      <c r="BD345" s="130"/>
      <c r="BE345" s="130"/>
      <c r="BF345" s="130"/>
      <c r="BG345" s="130"/>
      <c r="BH345" s="130"/>
      <c r="BI345" s="130"/>
      <c r="BJ345" s="130"/>
      <c r="BK345" s="130"/>
      <c r="BL345" s="130"/>
      <c r="BM345" s="130"/>
      <c r="BN345" s="130"/>
      <c r="BO345" s="130"/>
    </row>
    <row r="346" spans="17:67" s="166" customFormat="1" ht="12.75">
      <c r="Q346" s="128"/>
      <c r="R346" s="130"/>
      <c r="S346" s="165"/>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c r="AR346" s="130"/>
      <c r="AS346" s="130"/>
      <c r="AT346" s="130"/>
      <c r="AU346" s="130"/>
      <c r="AV346" s="130"/>
      <c r="AW346" s="130"/>
      <c r="AX346" s="130"/>
      <c r="AY346" s="130"/>
      <c r="AZ346" s="130"/>
      <c r="BA346" s="130"/>
      <c r="BB346" s="130"/>
      <c r="BC346" s="130"/>
      <c r="BD346" s="130"/>
      <c r="BE346" s="130"/>
      <c r="BF346" s="130"/>
      <c r="BG346" s="130"/>
      <c r="BH346" s="130"/>
      <c r="BI346" s="130"/>
      <c r="BJ346" s="130"/>
      <c r="BK346" s="130"/>
      <c r="BL346" s="130"/>
      <c r="BM346" s="130"/>
      <c r="BN346" s="130"/>
      <c r="BO346" s="130"/>
    </row>
    <row r="347" spans="17:67" s="166" customFormat="1" ht="12.75">
      <c r="Q347" s="128"/>
      <c r="R347" s="130"/>
      <c r="S347" s="165"/>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c r="AR347" s="130"/>
      <c r="AS347" s="130"/>
      <c r="AT347" s="130"/>
      <c r="AU347" s="130"/>
      <c r="AV347" s="130"/>
      <c r="AW347" s="130"/>
      <c r="AX347" s="130"/>
      <c r="AY347" s="130"/>
      <c r="AZ347" s="130"/>
      <c r="BA347" s="130"/>
      <c r="BB347" s="130"/>
      <c r="BC347" s="130"/>
      <c r="BD347" s="130"/>
      <c r="BE347" s="130"/>
      <c r="BF347" s="130"/>
      <c r="BG347" s="130"/>
      <c r="BH347" s="130"/>
      <c r="BI347" s="130"/>
      <c r="BJ347" s="130"/>
      <c r="BK347" s="130"/>
      <c r="BL347" s="130"/>
      <c r="BM347" s="130"/>
      <c r="BN347" s="130"/>
      <c r="BO347" s="130"/>
    </row>
    <row r="348" spans="17:67" s="166" customFormat="1" ht="12.75">
      <c r="Q348" s="128"/>
      <c r="R348" s="130"/>
      <c r="S348" s="165"/>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90"/>
      <c r="AR348" s="190"/>
      <c r="AS348" s="190"/>
      <c r="AT348" s="190"/>
      <c r="AU348" s="190"/>
      <c r="AV348" s="190"/>
      <c r="AW348" s="190"/>
      <c r="AX348" s="130"/>
      <c r="AY348" s="130"/>
      <c r="AZ348" s="130"/>
      <c r="BA348" s="130"/>
      <c r="BB348" s="130"/>
      <c r="BC348" s="130"/>
      <c r="BD348" s="130"/>
      <c r="BE348" s="130"/>
      <c r="BF348" s="130"/>
      <c r="BG348" s="130"/>
      <c r="BH348" s="130"/>
      <c r="BI348" s="130"/>
      <c r="BJ348" s="130"/>
      <c r="BK348" s="130"/>
      <c r="BL348" s="130"/>
      <c r="BM348" s="130"/>
      <c r="BN348" s="130"/>
      <c r="BO348" s="130"/>
    </row>
    <row r="349" spans="17:67" s="166" customFormat="1" ht="12.75">
      <c r="Q349" s="128"/>
      <c r="R349" s="130"/>
      <c r="S349" s="165"/>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90"/>
      <c r="AR349" s="190"/>
      <c r="AS349" s="190"/>
      <c r="AT349" s="190"/>
      <c r="AU349" s="190"/>
      <c r="AV349" s="190"/>
      <c r="AW349" s="190"/>
      <c r="AX349" s="130"/>
      <c r="AY349" s="130"/>
      <c r="AZ349" s="130"/>
      <c r="BA349" s="130"/>
      <c r="BB349" s="130"/>
      <c r="BC349" s="130"/>
      <c r="BD349" s="130"/>
      <c r="BE349" s="130"/>
      <c r="BF349" s="130"/>
      <c r="BG349" s="130"/>
      <c r="BH349" s="130"/>
      <c r="BI349" s="130"/>
      <c r="BJ349" s="130"/>
      <c r="BK349" s="130"/>
      <c r="BL349" s="130"/>
      <c r="BM349" s="130"/>
      <c r="BN349" s="130"/>
      <c r="BO349" s="130"/>
    </row>
    <row r="350" spans="17:67" s="166" customFormat="1" ht="12.75">
      <c r="Q350" s="128"/>
      <c r="R350" s="130"/>
      <c r="S350" s="165"/>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90"/>
      <c r="AR350" s="190"/>
      <c r="AS350" s="190"/>
      <c r="AT350" s="190"/>
      <c r="AU350" s="190"/>
      <c r="AV350" s="190"/>
      <c r="AW350" s="190"/>
      <c r="AX350" s="130"/>
      <c r="AY350" s="130"/>
      <c r="AZ350" s="130"/>
      <c r="BA350" s="130"/>
      <c r="BB350" s="130"/>
      <c r="BC350" s="130"/>
      <c r="BD350" s="130"/>
      <c r="BE350" s="130"/>
      <c r="BF350" s="130"/>
      <c r="BG350" s="130"/>
      <c r="BH350" s="130"/>
      <c r="BI350" s="130"/>
      <c r="BJ350" s="130"/>
      <c r="BK350" s="130"/>
      <c r="BL350" s="130"/>
      <c r="BM350" s="130"/>
      <c r="BN350" s="130"/>
      <c r="BO350" s="130"/>
    </row>
    <row r="351" spans="17:67" s="166" customFormat="1" ht="12.75">
      <c r="Q351" s="128"/>
      <c r="R351" s="130"/>
      <c r="S351" s="165"/>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90"/>
      <c r="AR351" s="190"/>
      <c r="AS351" s="190"/>
      <c r="AT351" s="190"/>
      <c r="AU351" s="190"/>
      <c r="AV351" s="190"/>
      <c r="AW351" s="190"/>
      <c r="AX351" s="130"/>
      <c r="AY351" s="130"/>
      <c r="AZ351" s="130"/>
      <c r="BA351" s="130"/>
      <c r="BB351" s="130"/>
      <c r="BC351" s="130"/>
      <c r="BD351" s="130"/>
      <c r="BE351" s="130"/>
      <c r="BF351" s="130"/>
      <c r="BG351" s="130"/>
      <c r="BH351" s="130"/>
      <c r="BI351" s="130"/>
      <c r="BJ351" s="130"/>
      <c r="BK351" s="130"/>
      <c r="BL351" s="130"/>
      <c r="BM351" s="130"/>
      <c r="BN351" s="130"/>
      <c r="BO351" s="130"/>
    </row>
    <row r="352" spans="16:67" s="166" customFormat="1" ht="12.75">
      <c r="P352" s="191"/>
      <c r="Q352" s="128"/>
      <c r="R352" s="130"/>
      <c r="S352" s="165"/>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90"/>
      <c r="AR352" s="190"/>
      <c r="AS352" s="190"/>
      <c r="AT352" s="190"/>
      <c r="AU352" s="190"/>
      <c r="AV352" s="190"/>
      <c r="AW352" s="190"/>
      <c r="AX352" s="130"/>
      <c r="AY352" s="130"/>
      <c r="AZ352" s="130"/>
      <c r="BA352" s="130"/>
      <c r="BB352" s="130"/>
      <c r="BC352" s="130"/>
      <c r="BD352" s="130"/>
      <c r="BE352" s="130"/>
      <c r="BF352" s="130"/>
      <c r="BG352" s="130"/>
      <c r="BH352" s="130"/>
      <c r="BI352" s="130"/>
      <c r="BJ352" s="130"/>
      <c r="BK352" s="130"/>
      <c r="BL352" s="130"/>
      <c r="BM352" s="130"/>
      <c r="BN352" s="130"/>
      <c r="BO352" s="130"/>
    </row>
    <row r="353" spans="16:67" s="166" customFormat="1" ht="12.75">
      <c r="P353" s="191"/>
      <c r="Q353" s="128"/>
      <c r="R353" s="130"/>
      <c r="S353" s="165"/>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90"/>
      <c r="AR353" s="190"/>
      <c r="AS353" s="190"/>
      <c r="AT353" s="190"/>
      <c r="AU353" s="190"/>
      <c r="AV353" s="190"/>
      <c r="AW353" s="190"/>
      <c r="AX353" s="130"/>
      <c r="AY353" s="130"/>
      <c r="AZ353" s="130"/>
      <c r="BA353" s="130"/>
      <c r="BB353" s="130"/>
      <c r="BC353" s="130"/>
      <c r="BD353" s="130"/>
      <c r="BE353" s="130"/>
      <c r="BF353" s="130"/>
      <c r="BG353" s="130"/>
      <c r="BH353" s="130"/>
      <c r="BI353" s="130"/>
      <c r="BJ353" s="130"/>
      <c r="BK353" s="130"/>
      <c r="BL353" s="130"/>
      <c r="BM353" s="130"/>
      <c r="BN353" s="130"/>
      <c r="BO353" s="130"/>
    </row>
    <row r="354" spans="16:67" s="166" customFormat="1" ht="12.75">
      <c r="P354" s="191"/>
      <c r="Q354" s="128"/>
      <c r="R354" s="130"/>
      <c r="S354" s="165"/>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90"/>
      <c r="AR354" s="190"/>
      <c r="AS354" s="190"/>
      <c r="AT354" s="190"/>
      <c r="AU354" s="190"/>
      <c r="AV354" s="190"/>
      <c r="AW354" s="190"/>
      <c r="AX354" s="130"/>
      <c r="AY354" s="130"/>
      <c r="AZ354" s="130"/>
      <c r="BA354" s="130"/>
      <c r="BB354" s="130"/>
      <c r="BC354" s="130"/>
      <c r="BD354" s="130"/>
      <c r="BE354" s="130"/>
      <c r="BF354" s="130"/>
      <c r="BG354" s="130"/>
      <c r="BH354" s="130"/>
      <c r="BI354" s="130"/>
      <c r="BJ354" s="130"/>
      <c r="BK354" s="130"/>
      <c r="BL354" s="130"/>
      <c r="BM354" s="130"/>
      <c r="BN354" s="130"/>
      <c r="BO354" s="130"/>
    </row>
    <row r="355" spans="16:67" s="166" customFormat="1" ht="12.75">
      <c r="P355" s="191"/>
      <c r="Q355" s="128"/>
      <c r="R355" s="130"/>
      <c r="S355" s="165"/>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90"/>
      <c r="AR355" s="190"/>
      <c r="AS355" s="190"/>
      <c r="AT355" s="190"/>
      <c r="AU355" s="190"/>
      <c r="AV355" s="190"/>
      <c r="AW355" s="190"/>
      <c r="AX355" s="130"/>
      <c r="AY355" s="130"/>
      <c r="AZ355" s="130"/>
      <c r="BA355" s="130"/>
      <c r="BB355" s="130"/>
      <c r="BC355" s="130"/>
      <c r="BD355" s="130"/>
      <c r="BE355" s="130"/>
      <c r="BF355" s="130"/>
      <c r="BG355" s="130"/>
      <c r="BH355" s="130"/>
      <c r="BI355" s="130"/>
      <c r="BJ355" s="130"/>
      <c r="BK355" s="130"/>
      <c r="BL355" s="130"/>
      <c r="BM355" s="130"/>
      <c r="BN355" s="130"/>
      <c r="BO355" s="130"/>
    </row>
    <row r="356" spans="16:67" s="166" customFormat="1" ht="12.75">
      <c r="P356" s="191"/>
      <c r="Q356" s="128"/>
      <c r="R356" s="130"/>
      <c r="S356" s="165"/>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90"/>
      <c r="AR356" s="190"/>
      <c r="AS356" s="190"/>
      <c r="AT356" s="190"/>
      <c r="AU356" s="190"/>
      <c r="AV356" s="190"/>
      <c r="AW356" s="190"/>
      <c r="AX356" s="130"/>
      <c r="AY356" s="130"/>
      <c r="AZ356" s="130"/>
      <c r="BA356" s="130"/>
      <c r="BB356" s="130"/>
      <c r="BC356" s="130"/>
      <c r="BD356" s="130"/>
      <c r="BE356" s="130"/>
      <c r="BF356" s="130"/>
      <c r="BG356" s="130"/>
      <c r="BH356" s="130"/>
      <c r="BI356" s="130"/>
      <c r="BJ356" s="130"/>
      <c r="BK356" s="130"/>
      <c r="BL356" s="130"/>
      <c r="BM356" s="130"/>
      <c r="BN356" s="130"/>
      <c r="BO356" s="130"/>
    </row>
    <row r="357" spans="16:67" s="166" customFormat="1" ht="12.75">
      <c r="P357" s="191"/>
      <c r="Q357" s="128"/>
      <c r="R357" s="130"/>
      <c r="S357" s="165"/>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90"/>
      <c r="AR357" s="190"/>
      <c r="AS357" s="190"/>
      <c r="AT357" s="190"/>
      <c r="AU357" s="190"/>
      <c r="AV357" s="190"/>
      <c r="AW357" s="190"/>
      <c r="AX357" s="130"/>
      <c r="AY357" s="130"/>
      <c r="AZ357" s="130"/>
      <c r="BA357" s="130"/>
      <c r="BB357" s="130"/>
      <c r="BC357" s="130"/>
      <c r="BD357" s="130"/>
      <c r="BE357" s="130"/>
      <c r="BF357" s="130"/>
      <c r="BG357" s="130"/>
      <c r="BH357" s="130"/>
      <c r="BI357" s="130"/>
      <c r="BJ357" s="130"/>
      <c r="BK357" s="130"/>
      <c r="BL357" s="130"/>
      <c r="BM357" s="130"/>
      <c r="BN357" s="130"/>
      <c r="BO357" s="130"/>
    </row>
    <row r="358" spans="16:67" s="166" customFormat="1" ht="12.75">
      <c r="P358" s="191"/>
      <c r="Q358" s="128"/>
      <c r="R358" s="130"/>
      <c r="S358" s="165"/>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90"/>
      <c r="AR358" s="190"/>
      <c r="AS358" s="190"/>
      <c r="AT358" s="190"/>
      <c r="AU358" s="190"/>
      <c r="AV358" s="190"/>
      <c r="AW358" s="190"/>
      <c r="AX358" s="130"/>
      <c r="AY358" s="130"/>
      <c r="AZ358" s="130"/>
      <c r="BA358" s="130"/>
      <c r="BB358" s="130"/>
      <c r="BC358" s="130"/>
      <c r="BD358" s="130"/>
      <c r="BE358" s="130"/>
      <c r="BF358" s="130"/>
      <c r="BG358" s="130"/>
      <c r="BH358" s="130"/>
      <c r="BI358" s="130"/>
      <c r="BJ358" s="130"/>
      <c r="BK358" s="130"/>
      <c r="BL358" s="130"/>
      <c r="BM358" s="130"/>
      <c r="BN358" s="130"/>
      <c r="BO358" s="130"/>
    </row>
    <row r="359" spans="16:67" s="166" customFormat="1" ht="12.75">
      <c r="P359" s="191"/>
      <c r="Q359" s="128"/>
      <c r="R359" s="130"/>
      <c r="S359" s="165"/>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90"/>
      <c r="AR359" s="190"/>
      <c r="AS359" s="190"/>
      <c r="AT359" s="190"/>
      <c r="AU359" s="190"/>
      <c r="AV359" s="190"/>
      <c r="AW359" s="190"/>
      <c r="AX359" s="130"/>
      <c r="AY359" s="130"/>
      <c r="AZ359" s="130"/>
      <c r="BA359" s="130"/>
      <c r="BB359" s="130"/>
      <c r="BC359" s="130"/>
      <c r="BD359" s="130"/>
      <c r="BE359" s="130"/>
      <c r="BF359" s="130"/>
      <c r="BG359" s="130"/>
      <c r="BH359" s="130"/>
      <c r="BI359" s="130"/>
      <c r="BJ359" s="130"/>
      <c r="BK359" s="130"/>
      <c r="BL359" s="130"/>
      <c r="BM359" s="130"/>
      <c r="BN359" s="130"/>
      <c r="BO359" s="130"/>
    </row>
    <row r="360" spans="16:67" s="166" customFormat="1" ht="12.75">
      <c r="P360" s="191"/>
      <c r="Q360" s="128"/>
      <c r="R360" s="130"/>
      <c r="S360" s="165"/>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90"/>
      <c r="AR360" s="190"/>
      <c r="AS360" s="190"/>
      <c r="AT360" s="190"/>
      <c r="AU360" s="190"/>
      <c r="AV360" s="190"/>
      <c r="AW360" s="190"/>
      <c r="AX360" s="130"/>
      <c r="AY360" s="130"/>
      <c r="AZ360" s="130"/>
      <c r="BA360" s="130"/>
      <c r="BB360" s="130"/>
      <c r="BC360" s="130"/>
      <c r="BD360" s="130"/>
      <c r="BE360" s="130"/>
      <c r="BF360" s="130"/>
      <c r="BG360" s="130"/>
      <c r="BH360" s="130"/>
      <c r="BI360" s="130"/>
      <c r="BJ360" s="130"/>
      <c r="BK360" s="130"/>
      <c r="BL360" s="130"/>
      <c r="BM360" s="130"/>
      <c r="BN360" s="130"/>
      <c r="BO360" s="130"/>
    </row>
    <row r="361" spans="16:67" s="166" customFormat="1" ht="12.75">
      <c r="P361" s="191"/>
      <c r="Q361" s="128"/>
      <c r="R361" s="130"/>
      <c r="S361" s="165"/>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90"/>
      <c r="AR361" s="190"/>
      <c r="AS361" s="190"/>
      <c r="AT361" s="190"/>
      <c r="AU361" s="190"/>
      <c r="AV361" s="190"/>
      <c r="AW361" s="190"/>
      <c r="AX361" s="130"/>
      <c r="AY361" s="130"/>
      <c r="AZ361" s="130"/>
      <c r="BA361" s="130"/>
      <c r="BB361" s="130"/>
      <c r="BC361" s="130"/>
      <c r="BD361" s="130"/>
      <c r="BE361" s="130"/>
      <c r="BF361" s="130"/>
      <c r="BG361" s="130"/>
      <c r="BH361" s="130"/>
      <c r="BI361" s="130"/>
      <c r="BJ361" s="130"/>
      <c r="BK361" s="130"/>
      <c r="BL361" s="130"/>
      <c r="BM361" s="130"/>
      <c r="BN361" s="130"/>
      <c r="BO361" s="130"/>
    </row>
    <row r="362" spans="16:67" s="166" customFormat="1" ht="12.75">
      <c r="P362" s="191"/>
      <c r="Q362" s="128"/>
      <c r="R362" s="130"/>
      <c r="S362" s="165"/>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90"/>
      <c r="AR362" s="190"/>
      <c r="AS362" s="190"/>
      <c r="AT362" s="190"/>
      <c r="AU362" s="190"/>
      <c r="AV362" s="190"/>
      <c r="AW362" s="190"/>
      <c r="AX362" s="130"/>
      <c r="AY362" s="130"/>
      <c r="AZ362" s="130"/>
      <c r="BA362" s="130"/>
      <c r="BB362" s="130"/>
      <c r="BC362" s="130"/>
      <c r="BD362" s="130"/>
      <c r="BE362" s="130"/>
      <c r="BF362" s="130"/>
      <c r="BG362" s="130"/>
      <c r="BH362" s="130"/>
      <c r="BI362" s="130"/>
      <c r="BJ362" s="130"/>
      <c r="BK362" s="130"/>
      <c r="BL362" s="130"/>
      <c r="BM362" s="130"/>
      <c r="BN362" s="130"/>
      <c r="BO362" s="130"/>
    </row>
    <row r="363" spans="16:67" s="166" customFormat="1" ht="12.75">
      <c r="P363" s="191"/>
      <c r="Q363" s="128"/>
      <c r="R363" s="130"/>
      <c r="S363" s="165"/>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90"/>
      <c r="AR363" s="190"/>
      <c r="AS363" s="190"/>
      <c r="AT363" s="190"/>
      <c r="AU363" s="190"/>
      <c r="AV363" s="190"/>
      <c r="AW363" s="190"/>
      <c r="AX363" s="130"/>
      <c r="AY363" s="130"/>
      <c r="AZ363" s="130"/>
      <c r="BA363" s="130"/>
      <c r="BB363" s="130"/>
      <c r="BC363" s="130"/>
      <c r="BD363" s="130"/>
      <c r="BE363" s="130"/>
      <c r="BF363" s="130"/>
      <c r="BG363" s="130"/>
      <c r="BH363" s="130"/>
      <c r="BI363" s="130"/>
      <c r="BJ363" s="130"/>
      <c r="BK363" s="130"/>
      <c r="BL363" s="130"/>
      <c r="BM363" s="130"/>
      <c r="BN363" s="130"/>
      <c r="BO363" s="130"/>
    </row>
    <row r="364" spans="16:67" s="166" customFormat="1" ht="12.75">
      <c r="P364" s="191"/>
      <c r="Q364" s="128"/>
      <c r="R364" s="130"/>
      <c r="S364" s="165"/>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90"/>
      <c r="AR364" s="190"/>
      <c r="AS364" s="190"/>
      <c r="AT364" s="190"/>
      <c r="AU364" s="190"/>
      <c r="AV364" s="190"/>
      <c r="AW364" s="190"/>
      <c r="AX364" s="130"/>
      <c r="AY364" s="130"/>
      <c r="AZ364" s="130"/>
      <c r="BA364" s="130"/>
      <c r="BB364" s="130"/>
      <c r="BC364" s="130"/>
      <c r="BD364" s="130"/>
      <c r="BE364" s="130"/>
      <c r="BF364" s="130"/>
      <c r="BG364" s="130"/>
      <c r="BH364" s="130"/>
      <c r="BI364" s="130"/>
      <c r="BJ364" s="130"/>
      <c r="BK364" s="130"/>
      <c r="BL364" s="130"/>
      <c r="BM364" s="130"/>
      <c r="BN364" s="130"/>
      <c r="BO364" s="130"/>
    </row>
    <row r="365" spans="16:67" s="166" customFormat="1" ht="12.75">
      <c r="P365" s="191"/>
      <c r="Q365" s="128"/>
      <c r="R365" s="130"/>
      <c r="S365" s="165"/>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90"/>
      <c r="AR365" s="190"/>
      <c r="AS365" s="190"/>
      <c r="AT365" s="190"/>
      <c r="AU365" s="190"/>
      <c r="AV365" s="190"/>
      <c r="AW365" s="190"/>
      <c r="AX365" s="130"/>
      <c r="AY365" s="130"/>
      <c r="AZ365" s="130"/>
      <c r="BA365" s="130"/>
      <c r="BB365" s="130"/>
      <c r="BC365" s="130"/>
      <c r="BD365" s="130"/>
      <c r="BE365" s="130"/>
      <c r="BF365" s="130"/>
      <c r="BG365" s="130"/>
      <c r="BH365" s="130"/>
      <c r="BI365" s="130"/>
      <c r="BJ365" s="130"/>
      <c r="BK365" s="130"/>
      <c r="BL365" s="130"/>
      <c r="BM365" s="130"/>
      <c r="BN365" s="130"/>
      <c r="BO365" s="130"/>
    </row>
    <row r="366" spans="16:67" s="166" customFormat="1" ht="12.75">
      <c r="P366" s="191"/>
      <c r="Q366" s="128"/>
      <c r="R366" s="130"/>
      <c r="S366" s="165"/>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90"/>
      <c r="AR366" s="190"/>
      <c r="AS366" s="190"/>
      <c r="AT366" s="190"/>
      <c r="AU366" s="190"/>
      <c r="AV366" s="190"/>
      <c r="AW366" s="190"/>
      <c r="AX366" s="130"/>
      <c r="AY366" s="130"/>
      <c r="AZ366" s="130"/>
      <c r="BA366" s="130"/>
      <c r="BB366" s="130"/>
      <c r="BC366" s="130"/>
      <c r="BD366" s="130"/>
      <c r="BE366" s="130"/>
      <c r="BF366" s="130"/>
      <c r="BG366" s="130"/>
      <c r="BH366" s="130"/>
      <c r="BI366" s="130"/>
      <c r="BJ366" s="130"/>
      <c r="BK366" s="130"/>
      <c r="BL366" s="130"/>
      <c r="BM366" s="130"/>
      <c r="BN366" s="130"/>
      <c r="BO366" s="130"/>
    </row>
    <row r="367" spans="16:67" s="166" customFormat="1" ht="12.75">
      <c r="P367" s="191"/>
      <c r="Q367" s="128"/>
      <c r="R367" s="130"/>
      <c r="S367" s="165"/>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90"/>
      <c r="AR367" s="190"/>
      <c r="AS367" s="190"/>
      <c r="AT367" s="190"/>
      <c r="AU367" s="190"/>
      <c r="AV367" s="190"/>
      <c r="AW367" s="190"/>
      <c r="AX367" s="130"/>
      <c r="AY367" s="130"/>
      <c r="AZ367" s="130"/>
      <c r="BA367" s="130"/>
      <c r="BB367" s="130"/>
      <c r="BC367" s="130"/>
      <c r="BD367" s="130"/>
      <c r="BE367" s="130"/>
      <c r="BF367" s="130"/>
      <c r="BG367" s="130"/>
      <c r="BH367" s="130"/>
      <c r="BI367" s="130"/>
      <c r="BJ367" s="130"/>
      <c r="BK367" s="130"/>
      <c r="BL367" s="130"/>
      <c r="BM367" s="130"/>
      <c r="BN367" s="130"/>
      <c r="BO367" s="130"/>
    </row>
    <row r="368" spans="16:67" s="166" customFormat="1" ht="12.75">
      <c r="P368" s="191"/>
      <c r="Q368" s="128"/>
      <c r="R368" s="130"/>
      <c r="S368" s="165"/>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90"/>
      <c r="AR368" s="190"/>
      <c r="AS368" s="190"/>
      <c r="AT368" s="190"/>
      <c r="AU368" s="190"/>
      <c r="AV368" s="190"/>
      <c r="AW368" s="190"/>
      <c r="AX368" s="130"/>
      <c r="AY368" s="130"/>
      <c r="AZ368" s="130"/>
      <c r="BA368" s="130"/>
      <c r="BB368" s="130"/>
      <c r="BC368" s="130"/>
      <c r="BD368" s="130"/>
      <c r="BE368" s="130"/>
      <c r="BF368" s="130"/>
      <c r="BG368" s="130"/>
      <c r="BH368" s="130"/>
      <c r="BI368" s="130"/>
      <c r="BJ368" s="130"/>
      <c r="BK368" s="130"/>
      <c r="BL368" s="130"/>
      <c r="BM368" s="130"/>
      <c r="BN368" s="130"/>
      <c r="BO368" s="130"/>
    </row>
    <row r="369" spans="16:67" s="166" customFormat="1" ht="12.75">
      <c r="P369" s="191"/>
      <c r="Q369" s="128"/>
      <c r="R369" s="130"/>
      <c r="S369" s="165"/>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90"/>
      <c r="AR369" s="190"/>
      <c r="AS369" s="190"/>
      <c r="AT369" s="190"/>
      <c r="AU369" s="190"/>
      <c r="AV369" s="190"/>
      <c r="AW369" s="190"/>
      <c r="AX369" s="130"/>
      <c r="AY369" s="130"/>
      <c r="AZ369" s="130"/>
      <c r="BA369" s="130"/>
      <c r="BB369" s="130"/>
      <c r="BC369" s="130"/>
      <c r="BD369" s="130"/>
      <c r="BE369" s="130"/>
      <c r="BF369" s="130"/>
      <c r="BG369" s="130"/>
      <c r="BH369" s="130"/>
      <c r="BI369" s="130"/>
      <c r="BJ369" s="130"/>
      <c r="BK369" s="130"/>
      <c r="BL369" s="130"/>
      <c r="BM369" s="130"/>
      <c r="BN369" s="130"/>
      <c r="BO369" s="130"/>
    </row>
    <row r="370" spans="16:67" s="166" customFormat="1" ht="12.75">
      <c r="P370" s="191"/>
      <c r="Q370" s="128"/>
      <c r="R370" s="130"/>
      <c r="S370" s="165"/>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90"/>
      <c r="AR370" s="190"/>
      <c r="AS370" s="190"/>
      <c r="AT370" s="190"/>
      <c r="AU370" s="190"/>
      <c r="AV370" s="190"/>
      <c r="AW370" s="190"/>
      <c r="AX370" s="130"/>
      <c r="AY370" s="130"/>
      <c r="AZ370" s="130"/>
      <c r="BA370" s="130"/>
      <c r="BB370" s="130"/>
      <c r="BC370" s="130"/>
      <c r="BD370" s="130"/>
      <c r="BE370" s="130"/>
      <c r="BF370" s="130"/>
      <c r="BG370" s="130"/>
      <c r="BH370" s="130"/>
      <c r="BI370" s="130"/>
      <c r="BJ370" s="130"/>
      <c r="BK370" s="130"/>
      <c r="BL370" s="130"/>
      <c r="BM370" s="130"/>
      <c r="BN370" s="130"/>
      <c r="BO370" s="130"/>
    </row>
    <row r="371" spans="16:67" s="166" customFormat="1" ht="12.75">
      <c r="P371" s="191"/>
      <c r="Q371" s="128"/>
      <c r="R371" s="130"/>
      <c r="S371" s="165"/>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90"/>
      <c r="AR371" s="190"/>
      <c r="AS371" s="190"/>
      <c r="AT371" s="190"/>
      <c r="AU371" s="190"/>
      <c r="AV371" s="190"/>
      <c r="AW371" s="190"/>
      <c r="AX371" s="130"/>
      <c r="AY371" s="130"/>
      <c r="AZ371" s="130"/>
      <c r="BA371" s="130"/>
      <c r="BB371" s="130"/>
      <c r="BC371" s="130"/>
      <c r="BD371" s="130"/>
      <c r="BE371" s="130"/>
      <c r="BF371" s="130"/>
      <c r="BG371" s="130"/>
      <c r="BH371" s="130"/>
      <c r="BI371" s="130"/>
      <c r="BJ371" s="130"/>
      <c r="BK371" s="130"/>
      <c r="BL371" s="130"/>
      <c r="BM371" s="130"/>
      <c r="BN371" s="130"/>
      <c r="BO371" s="130"/>
    </row>
    <row r="372" spans="16:67" s="166" customFormat="1" ht="12.75">
      <c r="P372" s="191"/>
      <c r="Q372" s="128"/>
      <c r="R372" s="130"/>
      <c r="S372" s="165"/>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90"/>
      <c r="AR372" s="190"/>
      <c r="AS372" s="190"/>
      <c r="AT372" s="190"/>
      <c r="AU372" s="190"/>
      <c r="AV372" s="190"/>
      <c r="AW372" s="190"/>
      <c r="AX372" s="130"/>
      <c r="AY372" s="130"/>
      <c r="AZ372" s="130"/>
      <c r="BA372" s="130"/>
      <c r="BB372" s="130"/>
      <c r="BC372" s="130"/>
      <c r="BD372" s="130"/>
      <c r="BE372" s="130"/>
      <c r="BF372" s="130"/>
      <c r="BG372" s="130"/>
      <c r="BH372" s="130"/>
      <c r="BI372" s="130"/>
      <c r="BJ372" s="130"/>
      <c r="BK372" s="130"/>
      <c r="BL372" s="130"/>
      <c r="BM372" s="130"/>
      <c r="BN372" s="130"/>
      <c r="BO372" s="130"/>
    </row>
    <row r="373" spans="16:67" s="166" customFormat="1" ht="12.75">
      <c r="P373" s="191"/>
      <c r="Q373" s="128"/>
      <c r="R373" s="130"/>
      <c r="S373" s="165"/>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90"/>
      <c r="AR373" s="190"/>
      <c r="AS373" s="190"/>
      <c r="AT373" s="190"/>
      <c r="AU373" s="190"/>
      <c r="AV373" s="190"/>
      <c r="AW373" s="190"/>
      <c r="AX373" s="130"/>
      <c r="AY373" s="130"/>
      <c r="AZ373" s="130"/>
      <c r="BA373" s="130"/>
      <c r="BB373" s="130"/>
      <c r="BC373" s="130"/>
      <c r="BD373" s="130"/>
      <c r="BE373" s="130"/>
      <c r="BF373" s="130"/>
      <c r="BG373" s="130"/>
      <c r="BH373" s="130"/>
      <c r="BI373" s="130"/>
      <c r="BJ373" s="130"/>
      <c r="BK373" s="130"/>
      <c r="BL373" s="130"/>
      <c r="BM373" s="130"/>
      <c r="BN373" s="130"/>
      <c r="BO373" s="130"/>
    </row>
    <row r="374" spans="16:67" s="166" customFormat="1" ht="12.75">
      <c r="P374" s="191"/>
      <c r="Q374" s="128"/>
      <c r="R374" s="130"/>
      <c r="S374" s="165"/>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90"/>
      <c r="AR374" s="190"/>
      <c r="AS374" s="190"/>
      <c r="AT374" s="190"/>
      <c r="AU374" s="190"/>
      <c r="AV374" s="190"/>
      <c r="AW374" s="190"/>
      <c r="AX374" s="130"/>
      <c r="AY374" s="130"/>
      <c r="AZ374" s="130"/>
      <c r="BA374" s="130"/>
      <c r="BB374" s="130"/>
      <c r="BC374" s="130"/>
      <c r="BD374" s="130"/>
      <c r="BE374" s="130"/>
      <c r="BF374" s="130"/>
      <c r="BG374" s="130"/>
      <c r="BH374" s="130"/>
      <c r="BI374" s="130"/>
      <c r="BJ374" s="130"/>
      <c r="BK374" s="130"/>
      <c r="BL374" s="130"/>
      <c r="BM374" s="130"/>
      <c r="BN374" s="130"/>
      <c r="BO374" s="130"/>
    </row>
    <row r="375" spans="16:67" s="166" customFormat="1" ht="12.75">
      <c r="P375" s="191"/>
      <c r="Q375" s="128"/>
      <c r="R375" s="130"/>
      <c r="S375" s="165"/>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90"/>
      <c r="AR375" s="190"/>
      <c r="AS375" s="190"/>
      <c r="AT375" s="190"/>
      <c r="AU375" s="190"/>
      <c r="AV375" s="190"/>
      <c r="AW375" s="190"/>
      <c r="AX375" s="130"/>
      <c r="AY375" s="130"/>
      <c r="AZ375" s="130"/>
      <c r="BA375" s="130"/>
      <c r="BB375" s="130"/>
      <c r="BC375" s="130"/>
      <c r="BD375" s="130"/>
      <c r="BE375" s="130"/>
      <c r="BF375" s="130"/>
      <c r="BG375" s="130"/>
      <c r="BH375" s="130"/>
      <c r="BI375" s="130"/>
      <c r="BJ375" s="130"/>
      <c r="BK375" s="130"/>
      <c r="BL375" s="130"/>
      <c r="BM375" s="130"/>
      <c r="BN375" s="130"/>
      <c r="BO375" s="130"/>
    </row>
    <row r="376" spans="16:67" s="166" customFormat="1" ht="12.75">
      <c r="P376" s="191"/>
      <c r="Q376" s="128"/>
      <c r="R376" s="130"/>
      <c r="S376" s="165"/>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90"/>
      <c r="AR376" s="190"/>
      <c r="AS376" s="190"/>
      <c r="AT376" s="190"/>
      <c r="AU376" s="190"/>
      <c r="AV376" s="190"/>
      <c r="AW376" s="190"/>
      <c r="AX376" s="130"/>
      <c r="AY376" s="130"/>
      <c r="AZ376" s="130"/>
      <c r="BA376" s="130"/>
      <c r="BB376" s="130"/>
      <c r="BC376" s="130"/>
      <c r="BD376" s="130"/>
      <c r="BE376" s="130"/>
      <c r="BF376" s="130"/>
      <c r="BG376" s="130"/>
      <c r="BH376" s="130"/>
      <c r="BI376" s="130"/>
      <c r="BJ376" s="130"/>
      <c r="BK376" s="130"/>
      <c r="BL376" s="130"/>
      <c r="BM376" s="130"/>
      <c r="BN376" s="130"/>
      <c r="BO376" s="130"/>
    </row>
    <row r="377" spans="16:67" s="166" customFormat="1" ht="12.75">
      <c r="P377" s="191"/>
      <c r="Q377" s="128"/>
      <c r="R377" s="130"/>
      <c r="S377" s="165"/>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90"/>
      <c r="AR377" s="190"/>
      <c r="AS377" s="190"/>
      <c r="AT377" s="190"/>
      <c r="AU377" s="190"/>
      <c r="AV377" s="190"/>
      <c r="AW377" s="190"/>
      <c r="AX377" s="130"/>
      <c r="AY377" s="130"/>
      <c r="AZ377" s="130"/>
      <c r="BA377" s="130"/>
      <c r="BB377" s="130"/>
      <c r="BC377" s="130"/>
      <c r="BD377" s="130"/>
      <c r="BE377" s="130"/>
      <c r="BF377" s="130"/>
      <c r="BG377" s="130"/>
      <c r="BH377" s="130"/>
      <c r="BI377" s="130"/>
      <c r="BJ377" s="130"/>
      <c r="BK377" s="130"/>
      <c r="BL377" s="130"/>
      <c r="BM377" s="130"/>
      <c r="BN377" s="130"/>
      <c r="BO377" s="130"/>
    </row>
    <row r="378" spans="16:67" s="166" customFormat="1" ht="12.75">
      <c r="P378" s="191"/>
      <c r="Q378" s="128"/>
      <c r="R378" s="130"/>
      <c r="S378" s="165"/>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90"/>
      <c r="AR378" s="190"/>
      <c r="AS378" s="190"/>
      <c r="AT378" s="190"/>
      <c r="AU378" s="190"/>
      <c r="AV378" s="190"/>
      <c r="AW378" s="190"/>
      <c r="AX378" s="130"/>
      <c r="AY378" s="130"/>
      <c r="AZ378" s="130"/>
      <c r="BA378" s="130"/>
      <c r="BB378" s="130"/>
      <c r="BC378" s="130"/>
      <c r="BD378" s="130"/>
      <c r="BE378" s="130"/>
      <c r="BF378" s="130"/>
      <c r="BG378" s="130"/>
      <c r="BH378" s="130"/>
      <c r="BI378" s="130"/>
      <c r="BJ378" s="130"/>
      <c r="BK378" s="130"/>
      <c r="BL378" s="130"/>
      <c r="BM378" s="130"/>
      <c r="BN378" s="130"/>
      <c r="BO378" s="130"/>
    </row>
    <row r="379" spans="16:67" s="166" customFormat="1" ht="12.75">
      <c r="P379" s="191"/>
      <c r="Q379" s="128"/>
      <c r="R379" s="130"/>
      <c r="S379" s="165"/>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90"/>
      <c r="AR379" s="190"/>
      <c r="AS379" s="190"/>
      <c r="AT379" s="190"/>
      <c r="AU379" s="190"/>
      <c r="AV379" s="190"/>
      <c r="AW379" s="190"/>
      <c r="AX379" s="130"/>
      <c r="AY379" s="130"/>
      <c r="AZ379" s="130"/>
      <c r="BA379" s="130"/>
      <c r="BB379" s="130"/>
      <c r="BC379" s="130"/>
      <c r="BD379" s="130"/>
      <c r="BE379" s="130"/>
      <c r="BF379" s="130"/>
      <c r="BG379" s="130"/>
      <c r="BH379" s="130"/>
      <c r="BI379" s="130"/>
      <c r="BJ379" s="130"/>
      <c r="BK379" s="130"/>
      <c r="BL379" s="130"/>
      <c r="BM379" s="130"/>
      <c r="BN379" s="130"/>
      <c r="BO379" s="130"/>
    </row>
    <row r="380" spans="16:67" s="166" customFormat="1" ht="12.75">
      <c r="P380" s="191"/>
      <c r="Q380" s="128"/>
      <c r="R380" s="130"/>
      <c r="S380" s="165"/>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90"/>
      <c r="AR380" s="190"/>
      <c r="AS380" s="190"/>
      <c r="AT380" s="190"/>
      <c r="AU380" s="190"/>
      <c r="AV380" s="190"/>
      <c r="AW380" s="190"/>
      <c r="AX380" s="130"/>
      <c r="AY380" s="130"/>
      <c r="AZ380" s="130"/>
      <c r="BA380" s="130"/>
      <c r="BB380" s="130"/>
      <c r="BC380" s="130"/>
      <c r="BD380" s="130"/>
      <c r="BE380" s="130"/>
      <c r="BF380" s="130"/>
      <c r="BG380" s="130"/>
      <c r="BH380" s="130"/>
      <c r="BI380" s="130"/>
      <c r="BJ380" s="130"/>
      <c r="BK380" s="130"/>
      <c r="BL380" s="130"/>
      <c r="BM380" s="130"/>
      <c r="BN380" s="130"/>
      <c r="BO380" s="130"/>
    </row>
    <row r="381" spans="16:67" s="166" customFormat="1" ht="12.75">
      <c r="P381" s="191"/>
      <c r="Q381" s="128"/>
      <c r="R381" s="130"/>
      <c r="S381" s="165"/>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90"/>
      <c r="AR381" s="190"/>
      <c r="AS381" s="190"/>
      <c r="AT381" s="190"/>
      <c r="AU381" s="190"/>
      <c r="AV381" s="190"/>
      <c r="AW381" s="190"/>
      <c r="AX381" s="130"/>
      <c r="AY381" s="130"/>
      <c r="AZ381" s="130"/>
      <c r="BA381" s="130"/>
      <c r="BB381" s="130"/>
      <c r="BC381" s="130"/>
      <c r="BD381" s="130"/>
      <c r="BE381" s="130"/>
      <c r="BF381" s="130"/>
      <c r="BG381" s="130"/>
      <c r="BH381" s="130"/>
      <c r="BI381" s="130"/>
      <c r="BJ381" s="130"/>
      <c r="BK381" s="130"/>
      <c r="BL381" s="130"/>
      <c r="BM381" s="130"/>
      <c r="BN381" s="130"/>
      <c r="BO381" s="130"/>
    </row>
    <row r="382" spans="16:67" s="166" customFormat="1" ht="12.75">
      <c r="P382" s="191"/>
      <c r="Q382" s="128"/>
      <c r="R382" s="130"/>
      <c r="S382" s="165"/>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c r="AO382" s="130"/>
      <c r="AP382" s="130"/>
      <c r="AQ382" s="190"/>
      <c r="AR382" s="190"/>
      <c r="AS382" s="190"/>
      <c r="AT382" s="190"/>
      <c r="AU382" s="190"/>
      <c r="AV382" s="190"/>
      <c r="AW382" s="190"/>
      <c r="AX382" s="130"/>
      <c r="AY382" s="130"/>
      <c r="AZ382" s="130"/>
      <c r="BA382" s="130"/>
      <c r="BB382" s="130"/>
      <c r="BC382" s="130"/>
      <c r="BD382" s="130"/>
      <c r="BE382" s="130"/>
      <c r="BF382" s="130"/>
      <c r="BG382" s="130"/>
      <c r="BH382" s="130"/>
      <c r="BI382" s="130"/>
      <c r="BJ382" s="130"/>
      <c r="BK382" s="130"/>
      <c r="BL382" s="130"/>
      <c r="BM382" s="130"/>
      <c r="BN382" s="130"/>
      <c r="BO382" s="130"/>
    </row>
    <row r="383" spans="16:67" s="166" customFormat="1" ht="12.75">
      <c r="P383" s="191"/>
      <c r="Q383" s="128"/>
      <c r="R383" s="130"/>
      <c r="S383" s="165"/>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c r="AO383" s="130"/>
      <c r="AP383" s="130"/>
      <c r="AQ383" s="190"/>
      <c r="AR383" s="190"/>
      <c r="AS383" s="190"/>
      <c r="AT383" s="190"/>
      <c r="AU383" s="190"/>
      <c r="AV383" s="190"/>
      <c r="AW383" s="190"/>
      <c r="AX383" s="130"/>
      <c r="AY383" s="130"/>
      <c r="AZ383" s="130"/>
      <c r="BA383" s="130"/>
      <c r="BB383" s="130"/>
      <c r="BC383" s="130"/>
      <c r="BD383" s="130"/>
      <c r="BE383" s="130"/>
      <c r="BF383" s="130"/>
      <c r="BG383" s="130"/>
      <c r="BH383" s="130"/>
      <c r="BI383" s="130"/>
      <c r="BJ383" s="130"/>
      <c r="BK383" s="130"/>
      <c r="BL383" s="130"/>
      <c r="BM383" s="130"/>
      <c r="BN383" s="130"/>
      <c r="BO383" s="130"/>
    </row>
    <row r="384" spans="16:67" s="166" customFormat="1" ht="12.75">
      <c r="P384" s="191"/>
      <c r="Q384" s="128"/>
      <c r="R384" s="130"/>
      <c r="S384" s="165"/>
      <c r="T384" s="130"/>
      <c r="U384" s="130"/>
      <c r="V384" s="130"/>
      <c r="W384" s="130"/>
      <c r="X384" s="130"/>
      <c r="Y384" s="130"/>
      <c r="Z384" s="130"/>
      <c r="AA384" s="130"/>
      <c r="AB384" s="130"/>
      <c r="AC384" s="130"/>
      <c r="AD384" s="130"/>
      <c r="AE384" s="130"/>
      <c r="AF384" s="130"/>
      <c r="AG384" s="130"/>
      <c r="AH384" s="130"/>
      <c r="AI384" s="130"/>
      <c r="AJ384" s="130"/>
      <c r="AK384" s="130"/>
      <c r="AL384" s="130"/>
      <c r="AM384" s="130"/>
      <c r="AN384" s="130"/>
      <c r="AO384" s="130"/>
      <c r="AP384" s="130"/>
      <c r="AQ384" s="190"/>
      <c r="AR384" s="190"/>
      <c r="AS384" s="190"/>
      <c r="AT384" s="190"/>
      <c r="AU384" s="190"/>
      <c r="AV384" s="190"/>
      <c r="AW384" s="190"/>
      <c r="AX384" s="130"/>
      <c r="AY384" s="130"/>
      <c r="AZ384" s="130"/>
      <c r="BA384" s="130"/>
      <c r="BB384" s="130"/>
      <c r="BC384" s="130"/>
      <c r="BD384" s="130"/>
      <c r="BE384" s="130"/>
      <c r="BF384" s="130"/>
      <c r="BG384" s="130"/>
      <c r="BH384" s="130"/>
      <c r="BI384" s="130"/>
      <c r="BJ384" s="130"/>
      <c r="BK384" s="130"/>
      <c r="BL384" s="130"/>
      <c r="BM384" s="130"/>
      <c r="BN384" s="130"/>
      <c r="BO384" s="130"/>
    </row>
    <row r="385" spans="16:67" s="166" customFormat="1" ht="12.75">
      <c r="P385" s="191"/>
      <c r="Q385" s="128"/>
      <c r="R385" s="130"/>
      <c r="S385" s="165"/>
      <c r="T385" s="130"/>
      <c r="U385" s="130"/>
      <c r="V385" s="130"/>
      <c r="W385" s="130"/>
      <c r="X385" s="130"/>
      <c r="Y385" s="130"/>
      <c r="Z385" s="130"/>
      <c r="AA385" s="130"/>
      <c r="AB385" s="130"/>
      <c r="AC385" s="130"/>
      <c r="AD385" s="130"/>
      <c r="AE385" s="130"/>
      <c r="AF385" s="130"/>
      <c r="AG385" s="130"/>
      <c r="AH385" s="130"/>
      <c r="AI385" s="130"/>
      <c r="AJ385" s="130"/>
      <c r="AK385" s="130"/>
      <c r="AL385" s="130"/>
      <c r="AM385" s="130"/>
      <c r="AN385" s="130"/>
      <c r="AO385" s="130"/>
      <c r="AP385" s="130"/>
      <c r="AQ385" s="190"/>
      <c r="AR385" s="190"/>
      <c r="AS385" s="190"/>
      <c r="AT385" s="190"/>
      <c r="AU385" s="190"/>
      <c r="AV385" s="190"/>
      <c r="AW385" s="190"/>
      <c r="AX385" s="130"/>
      <c r="AY385" s="130"/>
      <c r="AZ385" s="130"/>
      <c r="BA385" s="130"/>
      <c r="BB385" s="130"/>
      <c r="BC385" s="130"/>
      <c r="BD385" s="130"/>
      <c r="BE385" s="130"/>
      <c r="BF385" s="130"/>
      <c r="BG385" s="130"/>
      <c r="BH385" s="130"/>
      <c r="BI385" s="130"/>
      <c r="BJ385" s="130"/>
      <c r="BK385" s="130"/>
      <c r="BL385" s="130"/>
      <c r="BM385" s="130"/>
      <c r="BN385" s="130"/>
      <c r="BO385" s="130"/>
    </row>
    <row r="386" spans="16:67" s="166" customFormat="1" ht="12.75">
      <c r="P386" s="191"/>
      <c r="Q386" s="128"/>
      <c r="R386" s="130"/>
      <c r="S386" s="165"/>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c r="AO386" s="130"/>
      <c r="AP386" s="130"/>
      <c r="AQ386" s="190"/>
      <c r="AR386" s="190"/>
      <c r="AS386" s="190"/>
      <c r="AT386" s="190"/>
      <c r="AU386" s="190"/>
      <c r="AV386" s="190"/>
      <c r="AW386" s="190"/>
      <c r="AX386" s="130"/>
      <c r="AY386" s="130"/>
      <c r="AZ386" s="130"/>
      <c r="BA386" s="130"/>
      <c r="BB386" s="130"/>
      <c r="BC386" s="130"/>
      <c r="BD386" s="130"/>
      <c r="BE386" s="130"/>
      <c r="BF386" s="130"/>
      <c r="BG386" s="130"/>
      <c r="BH386" s="130"/>
      <c r="BI386" s="130"/>
      <c r="BJ386" s="130"/>
      <c r="BK386" s="130"/>
      <c r="BL386" s="130"/>
      <c r="BM386" s="130"/>
      <c r="BN386" s="130"/>
      <c r="BO386" s="130"/>
    </row>
    <row r="387" spans="16:67" s="166" customFormat="1" ht="12.75">
      <c r="P387" s="191"/>
      <c r="Q387" s="128"/>
      <c r="R387" s="130"/>
      <c r="S387" s="165"/>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c r="AO387" s="130"/>
      <c r="AP387" s="130"/>
      <c r="AQ387" s="190"/>
      <c r="AR387" s="190"/>
      <c r="AS387" s="190"/>
      <c r="AT387" s="190"/>
      <c r="AU387" s="190"/>
      <c r="AV387" s="190"/>
      <c r="AW387" s="190"/>
      <c r="AX387" s="130"/>
      <c r="AY387" s="130"/>
      <c r="AZ387" s="130"/>
      <c r="BA387" s="130"/>
      <c r="BB387" s="130"/>
      <c r="BC387" s="130"/>
      <c r="BD387" s="130"/>
      <c r="BE387" s="130"/>
      <c r="BF387" s="130"/>
      <c r="BG387" s="130"/>
      <c r="BH387" s="130"/>
      <c r="BI387" s="130"/>
      <c r="BJ387" s="130"/>
      <c r="BK387" s="130"/>
      <c r="BL387" s="130"/>
      <c r="BM387" s="130"/>
      <c r="BN387" s="130"/>
      <c r="BO387" s="130"/>
    </row>
    <row r="388" spans="16:67" s="166" customFormat="1" ht="12.75">
      <c r="P388" s="191"/>
      <c r="Q388" s="128"/>
      <c r="R388" s="130"/>
      <c r="S388" s="165"/>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c r="AO388" s="130"/>
      <c r="AP388" s="130"/>
      <c r="AQ388" s="190"/>
      <c r="AR388" s="190"/>
      <c r="AS388" s="190"/>
      <c r="AT388" s="190"/>
      <c r="AU388" s="190"/>
      <c r="AV388" s="190"/>
      <c r="AW388" s="190"/>
      <c r="AX388" s="130"/>
      <c r="AY388" s="130"/>
      <c r="AZ388" s="130"/>
      <c r="BA388" s="130"/>
      <c r="BB388" s="130"/>
      <c r="BC388" s="130"/>
      <c r="BD388" s="130"/>
      <c r="BE388" s="130"/>
      <c r="BF388" s="130"/>
      <c r="BG388" s="130"/>
      <c r="BH388" s="130"/>
      <c r="BI388" s="130"/>
      <c r="BJ388" s="130"/>
      <c r="BK388" s="130"/>
      <c r="BL388" s="130"/>
      <c r="BM388" s="130"/>
      <c r="BN388" s="130"/>
      <c r="BO388" s="130"/>
    </row>
    <row r="389" spans="16:67" s="166" customFormat="1" ht="12.75">
      <c r="P389" s="191"/>
      <c r="Q389" s="128"/>
      <c r="R389" s="130"/>
      <c r="S389" s="165"/>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90"/>
      <c r="AR389" s="190"/>
      <c r="AS389" s="190"/>
      <c r="AT389" s="190"/>
      <c r="AU389" s="190"/>
      <c r="AV389" s="190"/>
      <c r="AW389" s="190"/>
      <c r="AX389" s="130"/>
      <c r="AY389" s="130"/>
      <c r="AZ389" s="130"/>
      <c r="BA389" s="130"/>
      <c r="BB389" s="130"/>
      <c r="BC389" s="130"/>
      <c r="BD389" s="130"/>
      <c r="BE389" s="130"/>
      <c r="BF389" s="130"/>
      <c r="BG389" s="130"/>
      <c r="BH389" s="130"/>
      <c r="BI389" s="130"/>
      <c r="BJ389" s="130"/>
      <c r="BK389" s="130"/>
      <c r="BL389" s="130"/>
      <c r="BM389" s="130"/>
      <c r="BN389" s="130"/>
      <c r="BO389" s="130"/>
    </row>
    <row r="390" spans="16:67" s="166" customFormat="1" ht="12.75">
      <c r="P390" s="191"/>
      <c r="Q390" s="128"/>
      <c r="R390" s="130"/>
      <c r="S390" s="165"/>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c r="AO390" s="130"/>
      <c r="AP390" s="130"/>
      <c r="AQ390" s="190"/>
      <c r="AR390" s="190"/>
      <c r="AS390" s="190"/>
      <c r="AT390" s="190"/>
      <c r="AU390" s="190"/>
      <c r="AV390" s="190"/>
      <c r="AW390" s="190"/>
      <c r="AX390" s="130"/>
      <c r="AY390" s="130"/>
      <c r="AZ390" s="130"/>
      <c r="BA390" s="130"/>
      <c r="BB390" s="130"/>
      <c r="BC390" s="130"/>
      <c r="BD390" s="130"/>
      <c r="BE390" s="130"/>
      <c r="BF390" s="130"/>
      <c r="BG390" s="130"/>
      <c r="BH390" s="130"/>
      <c r="BI390" s="130"/>
      <c r="BJ390" s="130"/>
      <c r="BK390" s="130"/>
      <c r="BL390" s="130"/>
      <c r="BM390" s="130"/>
      <c r="BN390" s="130"/>
      <c r="BO390" s="130"/>
    </row>
    <row r="391" spans="16:67" s="166" customFormat="1" ht="12.75">
      <c r="P391" s="191"/>
      <c r="Q391" s="128"/>
      <c r="R391" s="130"/>
      <c r="S391" s="165"/>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90"/>
      <c r="AR391" s="190"/>
      <c r="AS391" s="190"/>
      <c r="AT391" s="190"/>
      <c r="AU391" s="190"/>
      <c r="AV391" s="190"/>
      <c r="AW391" s="190"/>
      <c r="AX391" s="130"/>
      <c r="AY391" s="130"/>
      <c r="AZ391" s="130"/>
      <c r="BA391" s="130"/>
      <c r="BB391" s="130"/>
      <c r="BC391" s="130"/>
      <c r="BD391" s="130"/>
      <c r="BE391" s="130"/>
      <c r="BF391" s="130"/>
      <c r="BG391" s="130"/>
      <c r="BH391" s="130"/>
      <c r="BI391" s="130"/>
      <c r="BJ391" s="130"/>
      <c r="BK391" s="130"/>
      <c r="BL391" s="130"/>
      <c r="BM391" s="130"/>
      <c r="BN391" s="130"/>
      <c r="BO391" s="130"/>
    </row>
    <row r="392" spans="16:67" s="166" customFormat="1" ht="12.75">
      <c r="P392" s="191"/>
      <c r="Q392" s="128"/>
      <c r="R392" s="130"/>
      <c r="S392" s="165"/>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c r="AO392" s="130"/>
      <c r="AP392" s="130"/>
      <c r="AQ392" s="190"/>
      <c r="AR392" s="190"/>
      <c r="AS392" s="190"/>
      <c r="AT392" s="190"/>
      <c r="AU392" s="190"/>
      <c r="AV392" s="190"/>
      <c r="AW392" s="190"/>
      <c r="AX392" s="130"/>
      <c r="AY392" s="130"/>
      <c r="AZ392" s="130"/>
      <c r="BA392" s="130"/>
      <c r="BB392" s="130"/>
      <c r="BC392" s="130"/>
      <c r="BD392" s="130"/>
      <c r="BE392" s="130"/>
      <c r="BF392" s="130"/>
      <c r="BG392" s="130"/>
      <c r="BH392" s="130"/>
      <c r="BI392" s="130"/>
      <c r="BJ392" s="130"/>
      <c r="BK392" s="130"/>
      <c r="BL392" s="130"/>
      <c r="BM392" s="130"/>
      <c r="BN392" s="130"/>
      <c r="BO392" s="130"/>
    </row>
    <row r="393" spans="16:67" s="166" customFormat="1" ht="12.75">
      <c r="P393" s="191"/>
      <c r="Q393" s="128"/>
      <c r="R393" s="130"/>
      <c r="S393" s="165"/>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90"/>
      <c r="AR393" s="190"/>
      <c r="AS393" s="190"/>
      <c r="AT393" s="190"/>
      <c r="AU393" s="190"/>
      <c r="AV393" s="190"/>
      <c r="AW393" s="190"/>
      <c r="AX393" s="130"/>
      <c r="AY393" s="130"/>
      <c r="AZ393" s="130"/>
      <c r="BA393" s="130"/>
      <c r="BB393" s="130"/>
      <c r="BC393" s="130"/>
      <c r="BD393" s="130"/>
      <c r="BE393" s="130"/>
      <c r="BF393" s="130"/>
      <c r="BG393" s="130"/>
      <c r="BH393" s="130"/>
      <c r="BI393" s="130"/>
      <c r="BJ393" s="130"/>
      <c r="BK393" s="130"/>
      <c r="BL393" s="130"/>
      <c r="BM393" s="130"/>
      <c r="BN393" s="130"/>
      <c r="BO393" s="130"/>
    </row>
    <row r="394" spans="16:67" s="166" customFormat="1" ht="12.75">
      <c r="P394" s="191"/>
      <c r="Q394" s="128"/>
      <c r="R394" s="130"/>
      <c r="S394" s="165"/>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c r="AO394" s="130"/>
      <c r="AP394" s="130"/>
      <c r="AQ394" s="190"/>
      <c r="AR394" s="190"/>
      <c r="AS394" s="190"/>
      <c r="AT394" s="190"/>
      <c r="AU394" s="190"/>
      <c r="AV394" s="190"/>
      <c r="AW394" s="190"/>
      <c r="AX394" s="130"/>
      <c r="AY394" s="130"/>
      <c r="AZ394" s="130"/>
      <c r="BA394" s="130"/>
      <c r="BB394" s="130"/>
      <c r="BC394" s="130"/>
      <c r="BD394" s="130"/>
      <c r="BE394" s="130"/>
      <c r="BF394" s="130"/>
      <c r="BG394" s="130"/>
      <c r="BH394" s="130"/>
      <c r="BI394" s="130"/>
      <c r="BJ394" s="130"/>
      <c r="BK394" s="130"/>
      <c r="BL394" s="130"/>
      <c r="BM394" s="130"/>
      <c r="BN394" s="130"/>
      <c r="BO394" s="130"/>
    </row>
    <row r="395" spans="16:67" s="166" customFormat="1" ht="12.75">
      <c r="P395" s="191"/>
      <c r="Q395" s="128"/>
      <c r="R395" s="130"/>
      <c r="S395" s="165"/>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90"/>
      <c r="AR395" s="190"/>
      <c r="AS395" s="190"/>
      <c r="AT395" s="190"/>
      <c r="AU395" s="190"/>
      <c r="AV395" s="190"/>
      <c r="AW395" s="190"/>
      <c r="AX395" s="130"/>
      <c r="AY395" s="130"/>
      <c r="AZ395" s="130"/>
      <c r="BA395" s="130"/>
      <c r="BB395" s="130"/>
      <c r="BC395" s="130"/>
      <c r="BD395" s="130"/>
      <c r="BE395" s="130"/>
      <c r="BF395" s="130"/>
      <c r="BG395" s="130"/>
      <c r="BH395" s="130"/>
      <c r="BI395" s="130"/>
      <c r="BJ395" s="130"/>
      <c r="BK395" s="130"/>
      <c r="BL395" s="130"/>
      <c r="BM395" s="130"/>
      <c r="BN395" s="130"/>
      <c r="BO395" s="130"/>
    </row>
    <row r="396" spans="16:67" s="166" customFormat="1" ht="12.75">
      <c r="P396" s="191"/>
      <c r="Q396" s="128"/>
      <c r="R396" s="130"/>
      <c r="S396" s="165"/>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c r="AO396" s="130"/>
      <c r="AP396" s="130"/>
      <c r="AQ396" s="190"/>
      <c r="AR396" s="190"/>
      <c r="AS396" s="190"/>
      <c r="AT396" s="190"/>
      <c r="AU396" s="190"/>
      <c r="AV396" s="190"/>
      <c r="AW396" s="190"/>
      <c r="AX396" s="130"/>
      <c r="AY396" s="130"/>
      <c r="AZ396" s="130"/>
      <c r="BA396" s="130"/>
      <c r="BB396" s="130"/>
      <c r="BC396" s="130"/>
      <c r="BD396" s="130"/>
      <c r="BE396" s="130"/>
      <c r="BF396" s="130"/>
      <c r="BG396" s="130"/>
      <c r="BH396" s="130"/>
      <c r="BI396" s="130"/>
      <c r="BJ396" s="130"/>
      <c r="BK396" s="130"/>
      <c r="BL396" s="130"/>
      <c r="BM396" s="130"/>
      <c r="BN396" s="130"/>
      <c r="BO396" s="130"/>
    </row>
    <row r="397" spans="16:67" s="166" customFormat="1" ht="12.75">
      <c r="P397" s="191"/>
      <c r="Q397" s="128"/>
      <c r="R397" s="130"/>
      <c r="S397" s="165"/>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90"/>
      <c r="AR397" s="190"/>
      <c r="AS397" s="190"/>
      <c r="AT397" s="190"/>
      <c r="AU397" s="190"/>
      <c r="AV397" s="190"/>
      <c r="AW397" s="190"/>
      <c r="AX397" s="130"/>
      <c r="AY397" s="130"/>
      <c r="AZ397" s="130"/>
      <c r="BA397" s="130"/>
      <c r="BB397" s="130"/>
      <c r="BC397" s="130"/>
      <c r="BD397" s="130"/>
      <c r="BE397" s="130"/>
      <c r="BF397" s="130"/>
      <c r="BG397" s="130"/>
      <c r="BH397" s="130"/>
      <c r="BI397" s="130"/>
      <c r="BJ397" s="130"/>
      <c r="BK397" s="130"/>
      <c r="BL397" s="130"/>
      <c r="BM397" s="130"/>
      <c r="BN397" s="130"/>
      <c r="BO397" s="130"/>
    </row>
    <row r="398" spans="16:67" s="166" customFormat="1" ht="12.75">
      <c r="P398" s="191"/>
      <c r="Q398" s="128"/>
      <c r="R398" s="130"/>
      <c r="S398" s="165"/>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c r="AO398" s="130"/>
      <c r="AP398" s="130"/>
      <c r="AQ398" s="190"/>
      <c r="AR398" s="190"/>
      <c r="AS398" s="190"/>
      <c r="AT398" s="190"/>
      <c r="AU398" s="190"/>
      <c r="AV398" s="190"/>
      <c r="AW398" s="190"/>
      <c r="AX398" s="130"/>
      <c r="AY398" s="130"/>
      <c r="AZ398" s="130"/>
      <c r="BA398" s="130"/>
      <c r="BB398" s="130"/>
      <c r="BC398" s="130"/>
      <c r="BD398" s="130"/>
      <c r="BE398" s="130"/>
      <c r="BF398" s="130"/>
      <c r="BG398" s="130"/>
      <c r="BH398" s="130"/>
      <c r="BI398" s="130"/>
      <c r="BJ398" s="130"/>
      <c r="BK398" s="130"/>
      <c r="BL398" s="130"/>
      <c r="BM398" s="130"/>
      <c r="BN398" s="130"/>
      <c r="BO398" s="130"/>
    </row>
    <row r="399" spans="16:67" s="166" customFormat="1" ht="12.75">
      <c r="P399" s="191"/>
      <c r="Q399" s="128"/>
      <c r="R399" s="130"/>
      <c r="S399" s="165"/>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90"/>
      <c r="AR399" s="190"/>
      <c r="AS399" s="190"/>
      <c r="AT399" s="190"/>
      <c r="AU399" s="190"/>
      <c r="AV399" s="190"/>
      <c r="AW399" s="190"/>
      <c r="AX399" s="130"/>
      <c r="AY399" s="130"/>
      <c r="AZ399" s="130"/>
      <c r="BA399" s="130"/>
      <c r="BB399" s="130"/>
      <c r="BC399" s="130"/>
      <c r="BD399" s="130"/>
      <c r="BE399" s="130"/>
      <c r="BF399" s="130"/>
      <c r="BG399" s="130"/>
      <c r="BH399" s="130"/>
      <c r="BI399" s="130"/>
      <c r="BJ399" s="130"/>
      <c r="BK399" s="130"/>
      <c r="BL399" s="130"/>
      <c r="BM399" s="130"/>
      <c r="BN399" s="130"/>
      <c r="BO399" s="130"/>
    </row>
    <row r="400" spans="16:67" s="166" customFormat="1" ht="12.75">
      <c r="P400" s="191"/>
      <c r="Q400" s="128"/>
      <c r="R400" s="130"/>
      <c r="S400" s="165"/>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c r="AO400" s="130"/>
      <c r="AP400" s="130"/>
      <c r="AQ400" s="190"/>
      <c r="AR400" s="190"/>
      <c r="AS400" s="190"/>
      <c r="AT400" s="190"/>
      <c r="AU400" s="190"/>
      <c r="AV400" s="190"/>
      <c r="AW400" s="190"/>
      <c r="AX400" s="130"/>
      <c r="AY400" s="130"/>
      <c r="AZ400" s="130"/>
      <c r="BA400" s="130"/>
      <c r="BB400" s="130"/>
      <c r="BC400" s="130"/>
      <c r="BD400" s="130"/>
      <c r="BE400" s="130"/>
      <c r="BF400" s="130"/>
      <c r="BG400" s="130"/>
      <c r="BH400" s="130"/>
      <c r="BI400" s="130"/>
      <c r="BJ400" s="130"/>
      <c r="BK400" s="130"/>
      <c r="BL400" s="130"/>
      <c r="BM400" s="130"/>
      <c r="BN400" s="130"/>
      <c r="BO400" s="130"/>
    </row>
    <row r="401" spans="16:67" s="166" customFormat="1" ht="12.75">
      <c r="P401" s="191"/>
      <c r="Q401" s="128"/>
      <c r="R401" s="130"/>
      <c r="S401" s="165"/>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90"/>
      <c r="AR401" s="190"/>
      <c r="AS401" s="190"/>
      <c r="AT401" s="190"/>
      <c r="AU401" s="190"/>
      <c r="AV401" s="190"/>
      <c r="AW401" s="190"/>
      <c r="AX401" s="130"/>
      <c r="AY401" s="130"/>
      <c r="AZ401" s="130"/>
      <c r="BA401" s="130"/>
      <c r="BB401" s="130"/>
      <c r="BC401" s="130"/>
      <c r="BD401" s="130"/>
      <c r="BE401" s="130"/>
      <c r="BF401" s="130"/>
      <c r="BG401" s="130"/>
      <c r="BH401" s="130"/>
      <c r="BI401" s="130"/>
      <c r="BJ401" s="130"/>
      <c r="BK401" s="130"/>
      <c r="BL401" s="130"/>
      <c r="BM401" s="130"/>
      <c r="BN401" s="130"/>
      <c r="BO401" s="130"/>
    </row>
    <row r="402" spans="16:67" s="166" customFormat="1" ht="12.75">
      <c r="P402" s="191"/>
      <c r="Q402" s="128"/>
      <c r="R402" s="130"/>
      <c r="S402" s="165"/>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c r="AO402" s="130"/>
      <c r="AP402" s="130"/>
      <c r="AQ402" s="190"/>
      <c r="AR402" s="190"/>
      <c r="AS402" s="190"/>
      <c r="AT402" s="190"/>
      <c r="AU402" s="190"/>
      <c r="AV402" s="190"/>
      <c r="AW402" s="190"/>
      <c r="AX402" s="130"/>
      <c r="AY402" s="130"/>
      <c r="AZ402" s="130"/>
      <c r="BA402" s="130"/>
      <c r="BB402" s="130"/>
      <c r="BC402" s="130"/>
      <c r="BD402" s="130"/>
      <c r="BE402" s="130"/>
      <c r="BF402" s="130"/>
      <c r="BG402" s="130"/>
      <c r="BH402" s="130"/>
      <c r="BI402" s="130"/>
      <c r="BJ402" s="130"/>
      <c r="BK402" s="130"/>
      <c r="BL402" s="130"/>
      <c r="BM402" s="130"/>
      <c r="BN402" s="130"/>
      <c r="BO402" s="130"/>
    </row>
    <row r="403" spans="16:67" s="166" customFormat="1" ht="12.75">
      <c r="P403" s="191"/>
      <c r="Q403" s="128"/>
      <c r="R403" s="130"/>
      <c r="S403" s="165"/>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90"/>
      <c r="AR403" s="190"/>
      <c r="AS403" s="190"/>
      <c r="AT403" s="190"/>
      <c r="AU403" s="190"/>
      <c r="AV403" s="190"/>
      <c r="AW403" s="190"/>
      <c r="AX403" s="130"/>
      <c r="AY403" s="130"/>
      <c r="AZ403" s="130"/>
      <c r="BA403" s="130"/>
      <c r="BB403" s="130"/>
      <c r="BC403" s="130"/>
      <c r="BD403" s="130"/>
      <c r="BE403" s="130"/>
      <c r="BF403" s="130"/>
      <c r="BG403" s="130"/>
      <c r="BH403" s="130"/>
      <c r="BI403" s="130"/>
      <c r="BJ403" s="130"/>
      <c r="BK403" s="130"/>
      <c r="BL403" s="130"/>
      <c r="BM403" s="130"/>
      <c r="BN403" s="130"/>
      <c r="BO403" s="130"/>
    </row>
    <row r="404" spans="16:67" s="166" customFormat="1" ht="12.75">
      <c r="P404" s="191"/>
      <c r="Q404" s="128"/>
      <c r="R404" s="130"/>
      <c r="S404" s="165"/>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c r="AO404" s="130"/>
      <c r="AP404" s="130"/>
      <c r="AQ404" s="190"/>
      <c r="AR404" s="190"/>
      <c r="AS404" s="190"/>
      <c r="AT404" s="190"/>
      <c r="AU404" s="190"/>
      <c r="AV404" s="190"/>
      <c r="AW404" s="190"/>
      <c r="AX404" s="130"/>
      <c r="AY404" s="130"/>
      <c r="AZ404" s="130"/>
      <c r="BA404" s="130"/>
      <c r="BB404" s="130"/>
      <c r="BC404" s="130"/>
      <c r="BD404" s="130"/>
      <c r="BE404" s="130"/>
      <c r="BF404" s="130"/>
      <c r="BG404" s="130"/>
      <c r="BH404" s="130"/>
      <c r="BI404" s="130"/>
      <c r="BJ404" s="130"/>
      <c r="BK404" s="130"/>
      <c r="BL404" s="130"/>
      <c r="BM404" s="130"/>
      <c r="BN404" s="130"/>
      <c r="BO404" s="130"/>
    </row>
    <row r="405" spans="16:67" s="166" customFormat="1" ht="12.75">
      <c r="P405" s="191"/>
      <c r="Q405" s="128"/>
      <c r="R405" s="130"/>
      <c r="S405" s="165"/>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c r="AO405" s="130"/>
      <c r="AP405" s="130"/>
      <c r="AQ405" s="190"/>
      <c r="AR405" s="190"/>
      <c r="AS405" s="190"/>
      <c r="AT405" s="190"/>
      <c r="AU405" s="190"/>
      <c r="AV405" s="190"/>
      <c r="AW405" s="190"/>
      <c r="AX405" s="130"/>
      <c r="AY405" s="130"/>
      <c r="AZ405" s="130"/>
      <c r="BA405" s="130"/>
      <c r="BB405" s="130"/>
      <c r="BC405" s="130"/>
      <c r="BD405" s="130"/>
      <c r="BE405" s="130"/>
      <c r="BF405" s="130"/>
      <c r="BG405" s="130"/>
      <c r="BH405" s="130"/>
      <c r="BI405" s="130"/>
      <c r="BJ405" s="130"/>
      <c r="BK405" s="130"/>
      <c r="BL405" s="130"/>
      <c r="BM405" s="130"/>
      <c r="BN405" s="130"/>
      <c r="BO405" s="130"/>
    </row>
    <row r="406" spans="16:67" s="166" customFormat="1" ht="12.75">
      <c r="P406" s="191"/>
      <c r="Q406" s="128"/>
      <c r="R406" s="130"/>
      <c r="S406" s="165"/>
      <c r="T406" s="130"/>
      <c r="U406" s="130"/>
      <c r="V406" s="130"/>
      <c r="W406" s="130"/>
      <c r="X406" s="130"/>
      <c r="Y406" s="130"/>
      <c r="Z406" s="130"/>
      <c r="AA406" s="130"/>
      <c r="AB406" s="130"/>
      <c r="AC406" s="130"/>
      <c r="AD406" s="130"/>
      <c r="AE406" s="130"/>
      <c r="AF406" s="130"/>
      <c r="AG406" s="130"/>
      <c r="AH406" s="130"/>
      <c r="AI406" s="130"/>
      <c r="AJ406" s="130"/>
      <c r="AK406" s="130"/>
      <c r="AL406" s="130"/>
      <c r="AM406" s="130"/>
      <c r="AN406" s="130"/>
      <c r="AO406" s="130"/>
      <c r="AP406" s="130"/>
      <c r="AQ406" s="190"/>
      <c r="AR406" s="190"/>
      <c r="AS406" s="190"/>
      <c r="AT406" s="190"/>
      <c r="AU406" s="190"/>
      <c r="AV406" s="190"/>
      <c r="AW406" s="190"/>
      <c r="AX406" s="130"/>
      <c r="AY406" s="130"/>
      <c r="AZ406" s="130"/>
      <c r="BA406" s="130"/>
      <c r="BB406" s="130"/>
      <c r="BC406" s="130"/>
      <c r="BD406" s="130"/>
      <c r="BE406" s="130"/>
      <c r="BF406" s="130"/>
      <c r="BG406" s="130"/>
      <c r="BH406" s="130"/>
      <c r="BI406" s="130"/>
      <c r="BJ406" s="130"/>
      <c r="BK406" s="130"/>
      <c r="BL406" s="130"/>
      <c r="BM406" s="130"/>
      <c r="BN406" s="130"/>
      <c r="BO406" s="130"/>
    </row>
    <row r="407" spans="16:67" s="166" customFormat="1" ht="12.75">
      <c r="P407" s="191"/>
      <c r="Q407" s="128"/>
      <c r="R407" s="130"/>
      <c r="S407" s="165"/>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90"/>
      <c r="AR407" s="190"/>
      <c r="AS407" s="190"/>
      <c r="AT407" s="190"/>
      <c r="AU407" s="190"/>
      <c r="AV407" s="190"/>
      <c r="AW407" s="190"/>
      <c r="AX407" s="130"/>
      <c r="AY407" s="130"/>
      <c r="AZ407" s="130"/>
      <c r="BA407" s="130"/>
      <c r="BB407" s="130"/>
      <c r="BC407" s="130"/>
      <c r="BD407" s="130"/>
      <c r="BE407" s="130"/>
      <c r="BF407" s="130"/>
      <c r="BG407" s="130"/>
      <c r="BH407" s="130"/>
      <c r="BI407" s="130"/>
      <c r="BJ407" s="130"/>
      <c r="BK407" s="130"/>
      <c r="BL407" s="130"/>
      <c r="BM407" s="130"/>
      <c r="BN407" s="130"/>
      <c r="BO407" s="130"/>
    </row>
    <row r="408" spans="16:67" s="166" customFormat="1" ht="12.75">
      <c r="P408" s="191"/>
      <c r="Q408" s="128"/>
      <c r="R408" s="130"/>
      <c r="S408" s="165"/>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90"/>
      <c r="AR408" s="190"/>
      <c r="AS408" s="190"/>
      <c r="AT408" s="190"/>
      <c r="AU408" s="190"/>
      <c r="AV408" s="190"/>
      <c r="AW408" s="190"/>
      <c r="AX408" s="130"/>
      <c r="AY408" s="130"/>
      <c r="AZ408" s="130"/>
      <c r="BA408" s="130"/>
      <c r="BB408" s="130"/>
      <c r="BC408" s="130"/>
      <c r="BD408" s="130"/>
      <c r="BE408" s="130"/>
      <c r="BF408" s="130"/>
      <c r="BG408" s="130"/>
      <c r="BH408" s="130"/>
      <c r="BI408" s="130"/>
      <c r="BJ408" s="130"/>
      <c r="BK408" s="130"/>
      <c r="BL408" s="130"/>
      <c r="BM408" s="130"/>
      <c r="BN408" s="130"/>
      <c r="BO408" s="130"/>
    </row>
    <row r="409" spans="16:67" s="166" customFormat="1" ht="12.75">
      <c r="P409" s="191"/>
      <c r="Q409" s="128"/>
      <c r="R409" s="130"/>
      <c r="S409" s="165"/>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90"/>
      <c r="AR409" s="190"/>
      <c r="AS409" s="190"/>
      <c r="AT409" s="190"/>
      <c r="AU409" s="190"/>
      <c r="AV409" s="190"/>
      <c r="AW409" s="190"/>
      <c r="AX409" s="130"/>
      <c r="AY409" s="130"/>
      <c r="AZ409" s="130"/>
      <c r="BA409" s="130"/>
      <c r="BB409" s="130"/>
      <c r="BC409" s="130"/>
      <c r="BD409" s="130"/>
      <c r="BE409" s="130"/>
      <c r="BF409" s="130"/>
      <c r="BG409" s="130"/>
      <c r="BH409" s="130"/>
      <c r="BI409" s="130"/>
      <c r="BJ409" s="130"/>
      <c r="BK409" s="130"/>
      <c r="BL409" s="130"/>
      <c r="BM409" s="130"/>
      <c r="BN409" s="130"/>
      <c r="BO409" s="130"/>
    </row>
    <row r="410" spans="16:67" s="166" customFormat="1" ht="12.75">
      <c r="P410" s="191"/>
      <c r="Q410" s="128"/>
      <c r="R410" s="130"/>
      <c r="S410" s="165"/>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90"/>
      <c r="AR410" s="190"/>
      <c r="AS410" s="190"/>
      <c r="AT410" s="190"/>
      <c r="AU410" s="190"/>
      <c r="AV410" s="190"/>
      <c r="AW410" s="190"/>
      <c r="AX410" s="130"/>
      <c r="AY410" s="130"/>
      <c r="AZ410" s="130"/>
      <c r="BA410" s="130"/>
      <c r="BB410" s="130"/>
      <c r="BC410" s="130"/>
      <c r="BD410" s="130"/>
      <c r="BE410" s="130"/>
      <c r="BF410" s="130"/>
      <c r="BG410" s="130"/>
      <c r="BH410" s="130"/>
      <c r="BI410" s="130"/>
      <c r="BJ410" s="130"/>
      <c r="BK410" s="130"/>
      <c r="BL410" s="130"/>
      <c r="BM410" s="130"/>
      <c r="BN410" s="130"/>
      <c r="BO410" s="130"/>
    </row>
    <row r="411" spans="16:67" s="166" customFormat="1" ht="12.75">
      <c r="P411" s="191"/>
      <c r="Q411" s="128"/>
      <c r="R411" s="130"/>
      <c r="S411" s="165"/>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c r="AO411" s="130"/>
      <c r="AP411" s="130"/>
      <c r="AQ411" s="190"/>
      <c r="AR411" s="190"/>
      <c r="AS411" s="190"/>
      <c r="AT411" s="190"/>
      <c r="AU411" s="190"/>
      <c r="AV411" s="190"/>
      <c r="AW411" s="190"/>
      <c r="AX411" s="130"/>
      <c r="AY411" s="130"/>
      <c r="AZ411" s="130"/>
      <c r="BA411" s="130"/>
      <c r="BB411" s="130"/>
      <c r="BC411" s="130"/>
      <c r="BD411" s="130"/>
      <c r="BE411" s="130"/>
      <c r="BF411" s="130"/>
      <c r="BG411" s="130"/>
      <c r="BH411" s="130"/>
      <c r="BI411" s="130"/>
      <c r="BJ411" s="130"/>
      <c r="BK411" s="130"/>
      <c r="BL411" s="130"/>
      <c r="BM411" s="130"/>
      <c r="BN411" s="130"/>
      <c r="BO411" s="130"/>
    </row>
    <row r="412" spans="16:67" s="166" customFormat="1" ht="12.75">
      <c r="P412" s="191"/>
      <c r="Q412" s="128"/>
      <c r="R412" s="130"/>
      <c r="S412" s="165"/>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c r="AO412" s="130"/>
      <c r="AP412" s="130"/>
      <c r="AQ412" s="190"/>
      <c r="AR412" s="190"/>
      <c r="AS412" s="190"/>
      <c r="AT412" s="190"/>
      <c r="AU412" s="190"/>
      <c r="AV412" s="190"/>
      <c r="AW412" s="190"/>
      <c r="AX412" s="130"/>
      <c r="AY412" s="130"/>
      <c r="AZ412" s="130"/>
      <c r="BA412" s="130"/>
      <c r="BB412" s="130"/>
      <c r="BC412" s="130"/>
      <c r="BD412" s="130"/>
      <c r="BE412" s="130"/>
      <c r="BF412" s="130"/>
      <c r="BG412" s="130"/>
      <c r="BH412" s="130"/>
      <c r="BI412" s="130"/>
      <c r="BJ412" s="130"/>
      <c r="BK412" s="130"/>
      <c r="BL412" s="130"/>
      <c r="BM412" s="130"/>
      <c r="BN412" s="130"/>
      <c r="BO412" s="130"/>
    </row>
    <row r="413" spans="16:67" s="166" customFormat="1" ht="12.75">
      <c r="P413" s="191"/>
      <c r="Q413" s="128"/>
      <c r="R413" s="130"/>
      <c r="S413" s="165"/>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c r="AO413" s="130"/>
      <c r="AP413" s="130"/>
      <c r="AQ413" s="190"/>
      <c r="AR413" s="190"/>
      <c r="AS413" s="190"/>
      <c r="AT413" s="190"/>
      <c r="AU413" s="190"/>
      <c r="AV413" s="190"/>
      <c r="AW413" s="190"/>
      <c r="AX413" s="130"/>
      <c r="AY413" s="130"/>
      <c r="AZ413" s="130"/>
      <c r="BA413" s="130"/>
      <c r="BB413" s="130"/>
      <c r="BC413" s="130"/>
      <c r="BD413" s="130"/>
      <c r="BE413" s="130"/>
      <c r="BF413" s="130"/>
      <c r="BG413" s="130"/>
      <c r="BH413" s="130"/>
      <c r="BI413" s="130"/>
      <c r="BJ413" s="130"/>
      <c r="BK413" s="130"/>
      <c r="BL413" s="130"/>
      <c r="BM413" s="130"/>
      <c r="BN413" s="130"/>
      <c r="BO413" s="130"/>
    </row>
    <row r="414" spans="16:67" s="166" customFormat="1" ht="12.75">
      <c r="P414" s="191"/>
      <c r="Q414" s="128"/>
      <c r="R414" s="130"/>
      <c r="S414" s="165"/>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c r="AO414" s="130"/>
      <c r="AP414" s="130"/>
      <c r="AQ414" s="190"/>
      <c r="AR414" s="190"/>
      <c r="AS414" s="190"/>
      <c r="AT414" s="190"/>
      <c r="AU414" s="190"/>
      <c r="AV414" s="190"/>
      <c r="AW414" s="190"/>
      <c r="AX414" s="130"/>
      <c r="AY414" s="130"/>
      <c r="AZ414" s="130"/>
      <c r="BA414" s="130"/>
      <c r="BB414" s="130"/>
      <c r="BC414" s="130"/>
      <c r="BD414" s="130"/>
      <c r="BE414" s="130"/>
      <c r="BF414" s="130"/>
      <c r="BG414" s="130"/>
      <c r="BH414" s="130"/>
      <c r="BI414" s="130"/>
      <c r="BJ414" s="130"/>
      <c r="BK414" s="130"/>
      <c r="BL414" s="130"/>
      <c r="BM414" s="130"/>
      <c r="BN414" s="130"/>
      <c r="BO414" s="130"/>
    </row>
    <row r="415" spans="16:67" s="166" customFormat="1" ht="12.75">
      <c r="P415" s="191"/>
      <c r="Q415" s="128"/>
      <c r="R415" s="130"/>
      <c r="S415" s="165"/>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90"/>
      <c r="AR415" s="190"/>
      <c r="AS415" s="190"/>
      <c r="AT415" s="190"/>
      <c r="AU415" s="190"/>
      <c r="AV415" s="190"/>
      <c r="AW415" s="190"/>
      <c r="AX415" s="130"/>
      <c r="AY415" s="130"/>
      <c r="AZ415" s="130"/>
      <c r="BA415" s="130"/>
      <c r="BB415" s="130"/>
      <c r="BC415" s="130"/>
      <c r="BD415" s="130"/>
      <c r="BE415" s="130"/>
      <c r="BF415" s="130"/>
      <c r="BG415" s="130"/>
      <c r="BH415" s="130"/>
      <c r="BI415" s="130"/>
      <c r="BJ415" s="130"/>
      <c r="BK415" s="130"/>
      <c r="BL415" s="130"/>
      <c r="BM415" s="130"/>
      <c r="BN415" s="130"/>
      <c r="BO415" s="130"/>
    </row>
    <row r="416" spans="16:67" s="166" customFormat="1" ht="12.75">
      <c r="P416" s="191"/>
      <c r="Q416" s="128"/>
      <c r="R416" s="130"/>
      <c r="S416" s="165"/>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c r="AO416" s="130"/>
      <c r="AP416" s="130"/>
      <c r="AQ416" s="190"/>
      <c r="AR416" s="190"/>
      <c r="AS416" s="190"/>
      <c r="AT416" s="190"/>
      <c r="AU416" s="190"/>
      <c r="AV416" s="190"/>
      <c r="AW416" s="190"/>
      <c r="AX416" s="130"/>
      <c r="AY416" s="130"/>
      <c r="AZ416" s="130"/>
      <c r="BA416" s="130"/>
      <c r="BB416" s="130"/>
      <c r="BC416" s="130"/>
      <c r="BD416" s="130"/>
      <c r="BE416" s="130"/>
      <c r="BF416" s="130"/>
      <c r="BG416" s="130"/>
      <c r="BH416" s="130"/>
      <c r="BI416" s="130"/>
      <c r="BJ416" s="130"/>
      <c r="BK416" s="130"/>
      <c r="BL416" s="130"/>
      <c r="BM416" s="130"/>
      <c r="BN416" s="130"/>
      <c r="BO416" s="130"/>
    </row>
    <row r="417" spans="16:68" s="166" customFormat="1" ht="12.75">
      <c r="P417" s="191"/>
      <c r="Q417" s="128"/>
      <c r="R417" s="128"/>
      <c r="S417" s="130"/>
      <c r="T417" s="165"/>
      <c r="U417" s="130"/>
      <c r="V417" s="130"/>
      <c r="W417" s="130"/>
      <c r="X417" s="130"/>
      <c r="Y417" s="130"/>
      <c r="Z417" s="130"/>
      <c r="AA417" s="130"/>
      <c r="AB417" s="130"/>
      <c r="AC417" s="130"/>
      <c r="AD417" s="130"/>
      <c r="AE417" s="130"/>
      <c r="AF417" s="130"/>
      <c r="AG417" s="130"/>
      <c r="AH417" s="130"/>
      <c r="AI417" s="130"/>
      <c r="AJ417" s="130"/>
      <c r="AK417" s="130"/>
      <c r="AL417" s="130"/>
      <c r="AM417" s="130"/>
      <c r="AN417" s="130"/>
      <c r="AO417" s="130"/>
      <c r="AP417" s="130"/>
      <c r="AQ417" s="190"/>
      <c r="AR417" s="190"/>
      <c r="AS417" s="190"/>
      <c r="AT417" s="190"/>
      <c r="AU417" s="190"/>
      <c r="AV417" s="190"/>
      <c r="AW417" s="190"/>
      <c r="AX417" s="130"/>
      <c r="AY417" s="130"/>
      <c r="AZ417" s="130"/>
      <c r="BA417" s="130"/>
      <c r="BB417" s="130"/>
      <c r="BC417" s="130"/>
      <c r="BD417" s="130"/>
      <c r="BE417" s="130"/>
      <c r="BF417" s="130"/>
      <c r="BG417" s="130"/>
      <c r="BH417" s="130"/>
      <c r="BI417" s="130"/>
      <c r="BJ417" s="130"/>
      <c r="BK417" s="130"/>
      <c r="BL417" s="130"/>
      <c r="BM417" s="130"/>
      <c r="BN417" s="130"/>
      <c r="BO417" s="130"/>
      <c r="BP417" s="130"/>
    </row>
    <row r="418" spans="16:68" s="166" customFormat="1" ht="12.75">
      <c r="P418" s="191"/>
      <c r="Q418" s="128"/>
      <c r="R418" s="128"/>
      <c r="S418" s="130"/>
      <c r="T418" s="165"/>
      <c r="U418" s="130"/>
      <c r="V418" s="130"/>
      <c r="W418" s="130"/>
      <c r="X418" s="130"/>
      <c r="Y418" s="130"/>
      <c r="Z418" s="130"/>
      <c r="AA418" s="130"/>
      <c r="AB418" s="130"/>
      <c r="AC418" s="130"/>
      <c r="AD418" s="130"/>
      <c r="AE418" s="130"/>
      <c r="AF418" s="130"/>
      <c r="AG418" s="130"/>
      <c r="AH418" s="130"/>
      <c r="AI418" s="130"/>
      <c r="AJ418" s="130"/>
      <c r="AK418" s="130"/>
      <c r="AL418" s="130"/>
      <c r="AM418" s="130"/>
      <c r="AN418" s="130"/>
      <c r="AO418" s="130"/>
      <c r="AP418" s="130"/>
      <c r="AQ418" s="190"/>
      <c r="AR418" s="190"/>
      <c r="AS418" s="190"/>
      <c r="AT418" s="190"/>
      <c r="AU418" s="190"/>
      <c r="AV418" s="190"/>
      <c r="AW418" s="190"/>
      <c r="AX418" s="130"/>
      <c r="AY418" s="130"/>
      <c r="AZ418" s="130"/>
      <c r="BA418" s="130"/>
      <c r="BB418" s="130"/>
      <c r="BC418" s="130"/>
      <c r="BD418" s="130"/>
      <c r="BE418" s="130"/>
      <c r="BF418" s="130"/>
      <c r="BG418" s="130"/>
      <c r="BH418" s="130"/>
      <c r="BI418" s="130"/>
      <c r="BJ418" s="130"/>
      <c r="BK418" s="130"/>
      <c r="BL418" s="130"/>
      <c r="BM418" s="130"/>
      <c r="BN418" s="130"/>
      <c r="BO418" s="130"/>
      <c r="BP418" s="130"/>
    </row>
    <row r="419" spans="16:68" s="166" customFormat="1" ht="12.75">
      <c r="P419" s="191"/>
      <c r="Q419" s="128"/>
      <c r="R419" s="128"/>
      <c r="S419" s="130"/>
      <c r="T419" s="165"/>
      <c r="U419" s="130"/>
      <c r="V419" s="130"/>
      <c r="W419" s="130"/>
      <c r="X419" s="130"/>
      <c r="Y419" s="130"/>
      <c r="Z419" s="130"/>
      <c r="AA419" s="130"/>
      <c r="AB419" s="130"/>
      <c r="AC419" s="130"/>
      <c r="AD419" s="130"/>
      <c r="AE419" s="130"/>
      <c r="AF419" s="130"/>
      <c r="AG419" s="130"/>
      <c r="AH419" s="130"/>
      <c r="AI419" s="130"/>
      <c r="AJ419" s="130"/>
      <c r="AK419" s="130"/>
      <c r="AL419" s="130"/>
      <c r="AM419" s="130"/>
      <c r="AN419" s="130"/>
      <c r="AO419" s="130"/>
      <c r="AP419" s="130"/>
      <c r="AQ419" s="190"/>
      <c r="AR419" s="190"/>
      <c r="AS419" s="190"/>
      <c r="AT419" s="190"/>
      <c r="AU419" s="190"/>
      <c r="AV419" s="190"/>
      <c r="AW419" s="190"/>
      <c r="AX419" s="130"/>
      <c r="AY419" s="130"/>
      <c r="AZ419" s="130"/>
      <c r="BA419" s="130"/>
      <c r="BB419" s="130"/>
      <c r="BC419" s="130"/>
      <c r="BD419" s="130"/>
      <c r="BE419" s="130"/>
      <c r="BF419" s="130"/>
      <c r="BG419" s="130"/>
      <c r="BH419" s="130"/>
      <c r="BI419" s="130"/>
      <c r="BJ419" s="130"/>
      <c r="BK419" s="130"/>
      <c r="BL419" s="130"/>
      <c r="BM419" s="130"/>
      <c r="BN419" s="130"/>
      <c r="BO419" s="130"/>
      <c r="BP419" s="130"/>
    </row>
    <row r="420" spans="16:68" s="166" customFormat="1" ht="12.75">
      <c r="P420" s="191"/>
      <c r="Q420" s="128"/>
      <c r="R420" s="128"/>
      <c r="S420" s="130"/>
      <c r="T420" s="165"/>
      <c r="U420" s="130"/>
      <c r="V420" s="130"/>
      <c r="W420" s="130"/>
      <c r="X420" s="130"/>
      <c r="Y420" s="130"/>
      <c r="Z420" s="130"/>
      <c r="AA420" s="130"/>
      <c r="AB420" s="130"/>
      <c r="AC420" s="130"/>
      <c r="AD420" s="130"/>
      <c r="AE420" s="130"/>
      <c r="AF420" s="130"/>
      <c r="AG420" s="130"/>
      <c r="AH420" s="130"/>
      <c r="AI420" s="130"/>
      <c r="AJ420" s="130"/>
      <c r="AK420" s="130"/>
      <c r="AL420" s="130"/>
      <c r="AM420" s="130"/>
      <c r="AN420" s="130"/>
      <c r="AO420" s="130"/>
      <c r="AP420" s="130"/>
      <c r="AQ420" s="190"/>
      <c r="AR420" s="190"/>
      <c r="AS420" s="190"/>
      <c r="AT420" s="190"/>
      <c r="AU420" s="190"/>
      <c r="AV420" s="190"/>
      <c r="AW420" s="190"/>
      <c r="AX420" s="130"/>
      <c r="AY420" s="130"/>
      <c r="AZ420" s="130"/>
      <c r="BA420" s="130"/>
      <c r="BB420" s="130"/>
      <c r="BC420" s="130"/>
      <c r="BD420" s="130"/>
      <c r="BE420" s="130"/>
      <c r="BF420" s="130"/>
      <c r="BG420" s="130"/>
      <c r="BH420" s="130"/>
      <c r="BI420" s="130"/>
      <c r="BJ420" s="130"/>
      <c r="BK420" s="130"/>
      <c r="BL420" s="130"/>
      <c r="BM420" s="130"/>
      <c r="BN420" s="130"/>
      <c r="BO420" s="130"/>
      <c r="BP420" s="130"/>
    </row>
    <row r="421" spans="16:68" s="166" customFormat="1" ht="12.75">
      <c r="P421" s="191"/>
      <c r="Q421" s="128"/>
      <c r="R421" s="128"/>
      <c r="S421" s="130"/>
      <c r="T421" s="165"/>
      <c r="U421" s="130"/>
      <c r="V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90"/>
      <c r="AR421" s="190"/>
      <c r="AS421" s="190"/>
      <c r="AT421" s="190"/>
      <c r="AU421" s="190"/>
      <c r="AV421" s="190"/>
      <c r="AW421" s="190"/>
      <c r="AX421" s="130"/>
      <c r="AY421" s="130"/>
      <c r="AZ421" s="130"/>
      <c r="BA421" s="130"/>
      <c r="BB421" s="130"/>
      <c r="BC421" s="130"/>
      <c r="BD421" s="130"/>
      <c r="BE421" s="130"/>
      <c r="BF421" s="130"/>
      <c r="BG421" s="130"/>
      <c r="BH421" s="130"/>
      <c r="BI421" s="130"/>
      <c r="BJ421" s="130"/>
      <c r="BK421" s="130"/>
      <c r="BL421" s="130"/>
      <c r="BM421" s="130"/>
      <c r="BN421" s="130"/>
      <c r="BO421" s="130"/>
      <c r="BP421" s="130"/>
    </row>
    <row r="422" spans="16:68" s="166" customFormat="1" ht="12.75">
      <c r="P422" s="191"/>
      <c r="Q422" s="128"/>
      <c r="R422" s="128"/>
      <c r="S422" s="130"/>
      <c r="T422" s="165"/>
      <c r="U422" s="130"/>
      <c r="V422" s="130"/>
      <c r="W422" s="130"/>
      <c r="X422" s="130"/>
      <c r="Y422" s="130"/>
      <c r="Z422" s="130"/>
      <c r="AA422" s="130"/>
      <c r="AB422" s="130"/>
      <c r="AC422" s="130"/>
      <c r="AD422" s="130"/>
      <c r="AE422" s="130"/>
      <c r="AF422" s="130"/>
      <c r="AG422" s="130"/>
      <c r="AH422" s="130"/>
      <c r="AI422" s="130"/>
      <c r="AJ422" s="130"/>
      <c r="AK422" s="130"/>
      <c r="AL422" s="130"/>
      <c r="AM422" s="130"/>
      <c r="AN422" s="130"/>
      <c r="AO422" s="130"/>
      <c r="AP422" s="130"/>
      <c r="AQ422" s="190"/>
      <c r="AR422" s="190"/>
      <c r="AS422" s="190"/>
      <c r="AT422" s="190"/>
      <c r="AU422" s="190"/>
      <c r="AV422" s="190"/>
      <c r="AW422" s="190"/>
      <c r="AX422" s="130"/>
      <c r="AY422" s="130"/>
      <c r="AZ422" s="130"/>
      <c r="BA422" s="130"/>
      <c r="BB422" s="130"/>
      <c r="BC422" s="130"/>
      <c r="BD422" s="130"/>
      <c r="BE422" s="130"/>
      <c r="BF422" s="130"/>
      <c r="BG422" s="130"/>
      <c r="BH422" s="130"/>
      <c r="BI422" s="130"/>
      <c r="BJ422" s="130"/>
      <c r="BK422" s="130"/>
      <c r="BL422" s="130"/>
      <c r="BM422" s="130"/>
      <c r="BN422" s="130"/>
      <c r="BO422" s="130"/>
      <c r="BP422" s="130"/>
    </row>
    <row r="423" spans="16:68" s="166" customFormat="1" ht="12.75">
      <c r="P423" s="191"/>
      <c r="Q423" s="128"/>
      <c r="R423" s="128"/>
      <c r="S423" s="130"/>
      <c r="T423" s="165"/>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90"/>
      <c r="AR423" s="190"/>
      <c r="AS423" s="190"/>
      <c r="AT423" s="190"/>
      <c r="AU423" s="190"/>
      <c r="AV423" s="190"/>
      <c r="AW423" s="190"/>
      <c r="AX423" s="130"/>
      <c r="AY423" s="130"/>
      <c r="AZ423" s="130"/>
      <c r="BA423" s="130"/>
      <c r="BB423" s="130"/>
      <c r="BC423" s="130"/>
      <c r="BD423" s="130"/>
      <c r="BE423" s="130"/>
      <c r="BF423" s="130"/>
      <c r="BG423" s="130"/>
      <c r="BH423" s="130"/>
      <c r="BI423" s="130"/>
      <c r="BJ423" s="130"/>
      <c r="BK423" s="130"/>
      <c r="BL423" s="130"/>
      <c r="BM423" s="130"/>
      <c r="BN423" s="130"/>
      <c r="BO423" s="130"/>
      <c r="BP423" s="130"/>
    </row>
    <row r="424" spans="16:68" s="166" customFormat="1" ht="12.75">
      <c r="P424" s="191"/>
      <c r="Q424" s="128"/>
      <c r="R424" s="128"/>
      <c r="S424" s="130"/>
      <c r="T424" s="165"/>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90"/>
      <c r="AR424" s="190"/>
      <c r="AS424" s="190"/>
      <c r="AT424" s="190"/>
      <c r="AU424" s="190"/>
      <c r="AV424" s="190"/>
      <c r="AW424" s="190"/>
      <c r="AX424" s="130"/>
      <c r="AY424" s="130"/>
      <c r="AZ424" s="130"/>
      <c r="BA424" s="130"/>
      <c r="BB424" s="130"/>
      <c r="BC424" s="130"/>
      <c r="BD424" s="130"/>
      <c r="BE424" s="130"/>
      <c r="BF424" s="130"/>
      <c r="BG424" s="130"/>
      <c r="BH424" s="130"/>
      <c r="BI424" s="130"/>
      <c r="BJ424" s="130"/>
      <c r="BK424" s="130"/>
      <c r="BL424" s="130"/>
      <c r="BM424" s="130"/>
      <c r="BN424" s="130"/>
      <c r="BO424" s="130"/>
      <c r="BP424" s="130"/>
    </row>
    <row r="425" spans="16:68" s="166" customFormat="1" ht="12.75">
      <c r="P425" s="191"/>
      <c r="Q425" s="128"/>
      <c r="R425" s="128"/>
      <c r="S425" s="130"/>
      <c r="T425" s="165"/>
      <c r="U425" s="130"/>
      <c r="V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90"/>
      <c r="AR425" s="190"/>
      <c r="AS425" s="190"/>
      <c r="AT425" s="190"/>
      <c r="AU425" s="190"/>
      <c r="AV425" s="190"/>
      <c r="AW425" s="190"/>
      <c r="AX425" s="130"/>
      <c r="AY425" s="130"/>
      <c r="AZ425" s="130"/>
      <c r="BA425" s="130"/>
      <c r="BB425" s="130"/>
      <c r="BC425" s="130"/>
      <c r="BD425" s="130"/>
      <c r="BE425" s="130"/>
      <c r="BF425" s="130"/>
      <c r="BG425" s="130"/>
      <c r="BH425" s="130"/>
      <c r="BI425" s="130"/>
      <c r="BJ425" s="130"/>
      <c r="BK425" s="130"/>
      <c r="BL425" s="130"/>
      <c r="BM425" s="130"/>
      <c r="BN425" s="130"/>
      <c r="BO425" s="130"/>
      <c r="BP425" s="130"/>
    </row>
    <row r="426" spans="16:68" s="166" customFormat="1" ht="12.75">
      <c r="P426" s="191"/>
      <c r="Q426" s="128"/>
      <c r="R426" s="128"/>
      <c r="S426" s="130"/>
      <c r="T426" s="165"/>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90"/>
      <c r="AR426" s="190"/>
      <c r="AS426" s="190"/>
      <c r="AT426" s="190"/>
      <c r="AU426" s="190"/>
      <c r="AV426" s="190"/>
      <c r="AW426" s="190"/>
      <c r="AX426" s="130"/>
      <c r="AY426" s="130"/>
      <c r="AZ426" s="130"/>
      <c r="BA426" s="130"/>
      <c r="BB426" s="130"/>
      <c r="BC426" s="130"/>
      <c r="BD426" s="130"/>
      <c r="BE426" s="130"/>
      <c r="BF426" s="130"/>
      <c r="BG426" s="130"/>
      <c r="BH426" s="130"/>
      <c r="BI426" s="130"/>
      <c r="BJ426" s="130"/>
      <c r="BK426" s="130"/>
      <c r="BL426" s="130"/>
      <c r="BM426" s="130"/>
      <c r="BN426" s="130"/>
      <c r="BO426" s="130"/>
      <c r="BP426" s="130"/>
    </row>
    <row r="427" spans="16:68" s="166" customFormat="1" ht="12.75">
      <c r="P427" s="191"/>
      <c r="Q427" s="128"/>
      <c r="R427" s="128"/>
      <c r="S427" s="130"/>
      <c r="T427" s="165"/>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90"/>
      <c r="AR427" s="190"/>
      <c r="AS427" s="190"/>
      <c r="AT427" s="190"/>
      <c r="AU427" s="190"/>
      <c r="AV427" s="190"/>
      <c r="AW427" s="190"/>
      <c r="AX427" s="130"/>
      <c r="AY427" s="130"/>
      <c r="AZ427" s="130"/>
      <c r="BA427" s="130"/>
      <c r="BB427" s="130"/>
      <c r="BC427" s="130"/>
      <c r="BD427" s="130"/>
      <c r="BE427" s="130"/>
      <c r="BF427" s="130"/>
      <c r="BG427" s="130"/>
      <c r="BH427" s="130"/>
      <c r="BI427" s="130"/>
      <c r="BJ427" s="130"/>
      <c r="BK427" s="130"/>
      <c r="BL427" s="130"/>
      <c r="BM427" s="130"/>
      <c r="BN427" s="130"/>
      <c r="BO427" s="130"/>
      <c r="BP427" s="130"/>
    </row>
    <row r="428" spans="16:68" s="166" customFormat="1" ht="12.75">
      <c r="P428" s="191"/>
      <c r="Q428" s="128"/>
      <c r="R428" s="128"/>
      <c r="S428" s="130"/>
      <c r="T428" s="165"/>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90"/>
      <c r="AR428" s="190"/>
      <c r="AS428" s="190"/>
      <c r="AT428" s="190"/>
      <c r="AU428" s="190"/>
      <c r="AV428" s="190"/>
      <c r="AW428" s="190"/>
      <c r="AX428" s="130"/>
      <c r="AY428" s="130"/>
      <c r="AZ428" s="130"/>
      <c r="BA428" s="130"/>
      <c r="BB428" s="130"/>
      <c r="BC428" s="130"/>
      <c r="BD428" s="130"/>
      <c r="BE428" s="130"/>
      <c r="BF428" s="130"/>
      <c r="BG428" s="130"/>
      <c r="BH428" s="130"/>
      <c r="BI428" s="130"/>
      <c r="BJ428" s="130"/>
      <c r="BK428" s="130"/>
      <c r="BL428" s="130"/>
      <c r="BM428" s="130"/>
      <c r="BN428" s="130"/>
      <c r="BO428" s="130"/>
      <c r="BP428" s="130"/>
    </row>
    <row r="429" spans="16:68" s="166" customFormat="1" ht="12.75">
      <c r="P429" s="191"/>
      <c r="Q429" s="128"/>
      <c r="R429" s="128"/>
      <c r="S429" s="130"/>
      <c r="T429" s="165"/>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90"/>
      <c r="AR429" s="190"/>
      <c r="AS429" s="190"/>
      <c r="AT429" s="190"/>
      <c r="AU429" s="190"/>
      <c r="AV429" s="190"/>
      <c r="AW429" s="190"/>
      <c r="AX429" s="130"/>
      <c r="AY429" s="130"/>
      <c r="AZ429" s="130"/>
      <c r="BA429" s="130"/>
      <c r="BB429" s="130"/>
      <c r="BC429" s="130"/>
      <c r="BD429" s="130"/>
      <c r="BE429" s="130"/>
      <c r="BF429" s="130"/>
      <c r="BG429" s="130"/>
      <c r="BH429" s="130"/>
      <c r="BI429" s="130"/>
      <c r="BJ429" s="130"/>
      <c r="BK429" s="130"/>
      <c r="BL429" s="130"/>
      <c r="BM429" s="130"/>
      <c r="BN429" s="130"/>
      <c r="BO429" s="130"/>
      <c r="BP429" s="130"/>
    </row>
    <row r="430" spans="16:68" s="166" customFormat="1" ht="12.75">
      <c r="P430" s="191"/>
      <c r="Q430" s="128"/>
      <c r="R430" s="128"/>
      <c r="S430" s="130"/>
      <c r="T430" s="165"/>
      <c r="U430" s="130"/>
      <c r="V430" s="130"/>
      <c r="W430" s="130"/>
      <c r="X430" s="130"/>
      <c r="Y430" s="130"/>
      <c r="Z430" s="130"/>
      <c r="AA430" s="130"/>
      <c r="AB430" s="130"/>
      <c r="AC430" s="130"/>
      <c r="AD430" s="130"/>
      <c r="AE430" s="130"/>
      <c r="AF430" s="130"/>
      <c r="AG430" s="130"/>
      <c r="AH430" s="130"/>
      <c r="AI430" s="130"/>
      <c r="AJ430" s="130"/>
      <c r="AK430" s="130"/>
      <c r="AL430" s="130"/>
      <c r="AM430" s="130"/>
      <c r="AN430" s="130"/>
      <c r="AO430" s="130"/>
      <c r="AP430" s="130"/>
      <c r="AQ430" s="190"/>
      <c r="AR430" s="190"/>
      <c r="AS430" s="190"/>
      <c r="AT430" s="190"/>
      <c r="AU430" s="190"/>
      <c r="AV430" s="190"/>
      <c r="AW430" s="190"/>
      <c r="AX430" s="130"/>
      <c r="AY430" s="130"/>
      <c r="AZ430" s="130"/>
      <c r="BA430" s="130"/>
      <c r="BB430" s="130"/>
      <c r="BC430" s="130"/>
      <c r="BD430" s="130"/>
      <c r="BE430" s="130"/>
      <c r="BF430" s="130"/>
      <c r="BG430" s="130"/>
      <c r="BH430" s="130"/>
      <c r="BI430" s="130"/>
      <c r="BJ430" s="130"/>
      <c r="BK430" s="130"/>
      <c r="BL430" s="130"/>
      <c r="BM430" s="130"/>
      <c r="BN430" s="130"/>
      <c r="BO430" s="130"/>
      <c r="BP430" s="130"/>
    </row>
    <row r="431" spans="16:68" s="18" customFormat="1" ht="12.75">
      <c r="P431" s="17"/>
      <c r="Q431" s="102"/>
      <c r="R431" s="128"/>
      <c r="S431" s="130"/>
      <c r="T431" s="165"/>
      <c r="U431" s="130"/>
      <c r="V431" s="130"/>
      <c r="W431" s="130"/>
      <c r="X431" s="130"/>
      <c r="Y431" s="130"/>
      <c r="Z431" s="130"/>
      <c r="AA431" s="130"/>
      <c r="AB431" s="130"/>
      <c r="AC431" s="130"/>
      <c r="AD431" s="130"/>
      <c r="AE431" s="130"/>
      <c r="AF431" s="13"/>
      <c r="AG431" s="13"/>
      <c r="AH431" s="13"/>
      <c r="AI431" s="13"/>
      <c r="AJ431" s="13"/>
      <c r="AK431" s="13"/>
      <c r="AL431" s="13"/>
      <c r="AM431" s="13"/>
      <c r="AN431" s="13"/>
      <c r="AO431" s="13"/>
      <c r="AP431" s="13"/>
      <c r="AQ431" s="23"/>
      <c r="AR431" s="23"/>
      <c r="AS431" s="23"/>
      <c r="AT431" s="23"/>
      <c r="AU431" s="23"/>
      <c r="AV431" s="23"/>
      <c r="AW431" s="23"/>
      <c r="AX431" s="13"/>
      <c r="AY431" s="13"/>
      <c r="AZ431" s="13"/>
      <c r="BA431" s="13"/>
      <c r="BB431" s="13"/>
      <c r="BC431" s="13"/>
      <c r="BD431" s="13"/>
      <c r="BE431" s="13"/>
      <c r="BF431" s="13"/>
      <c r="BG431" s="13"/>
      <c r="BH431" s="13"/>
      <c r="BI431" s="13"/>
      <c r="BJ431" s="13"/>
      <c r="BK431" s="13"/>
      <c r="BL431" s="13"/>
      <c r="BM431" s="13"/>
      <c r="BN431" s="13"/>
      <c r="BO431" s="13"/>
      <c r="BP431" s="13"/>
    </row>
    <row r="432" spans="16:68" s="18" customFormat="1" ht="12.75">
      <c r="P432" s="17"/>
      <c r="Q432" s="102"/>
      <c r="R432" s="128"/>
      <c r="S432" s="130"/>
      <c r="T432" s="165"/>
      <c r="U432" s="130"/>
      <c r="V432" s="130"/>
      <c r="W432" s="130"/>
      <c r="X432" s="130"/>
      <c r="Y432" s="130"/>
      <c r="Z432" s="130"/>
      <c r="AA432" s="130"/>
      <c r="AB432" s="130"/>
      <c r="AC432" s="130"/>
      <c r="AD432" s="130"/>
      <c r="AE432" s="130"/>
      <c r="AF432" s="13"/>
      <c r="AG432" s="13"/>
      <c r="AH432" s="13"/>
      <c r="AI432" s="13"/>
      <c r="AJ432" s="13"/>
      <c r="AK432" s="13"/>
      <c r="AL432" s="13"/>
      <c r="AM432" s="13"/>
      <c r="AN432" s="13"/>
      <c r="AO432" s="13"/>
      <c r="AP432" s="13"/>
      <c r="AQ432" s="23"/>
      <c r="AR432" s="23"/>
      <c r="AS432" s="23"/>
      <c r="AT432" s="23"/>
      <c r="AU432" s="23"/>
      <c r="AV432" s="23"/>
      <c r="AW432" s="23"/>
      <c r="AX432" s="13"/>
      <c r="AY432" s="13"/>
      <c r="AZ432" s="13"/>
      <c r="BA432" s="13"/>
      <c r="BB432" s="13"/>
      <c r="BC432" s="13"/>
      <c r="BD432" s="13"/>
      <c r="BE432" s="13"/>
      <c r="BF432" s="13"/>
      <c r="BG432" s="13"/>
      <c r="BH432" s="13"/>
      <c r="BI432" s="13"/>
      <c r="BJ432" s="13"/>
      <c r="BK432" s="13"/>
      <c r="BL432" s="13"/>
      <c r="BM432" s="13"/>
      <c r="BN432" s="13"/>
      <c r="BO432" s="13"/>
      <c r="BP432" s="13"/>
    </row>
    <row r="433" spans="16:68" s="18" customFormat="1" ht="12.75">
      <c r="P433" s="17"/>
      <c r="Q433" s="102"/>
      <c r="R433" s="128"/>
      <c r="S433" s="130"/>
      <c r="T433" s="165"/>
      <c r="U433" s="130"/>
      <c r="V433" s="130"/>
      <c r="W433" s="130"/>
      <c r="X433" s="130"/>
      <c r="Y433" s="130"/>
      <c r="Z433" s="130"/>
      <c r="AA433" s="130"/>
      <c r="AB433" s="130"/>
      <c r="AC433" s="130"/>
      <c r="AD433" s="130"/>
      <c r="AE433" s="130"/>
      <c r="AF433" s="13"/>
      <c r="AG433" s="13"/>
      <c r="AH433" s="13"/>
      <c r="AI433" s="13"/>
      <c r="AJ433" s="13"/>
      <c r="AK433" s="13"/>
      <c r="AL433" s="13"/>
      <c r="AM433" s="13"/>
      <c r="AN433" s="13"/>
      <c r="AO433" s="13"/>
      <c r="AP433" s="13"/>
      <c r="AQ433" s="23"/>
      <c r="AR433" s="23"/>
      <c r="AS433" s="23"/>
      <c r="AT433" s="23"/>
      <c r="AU433" s="23"/>
      <c r="AV433" s="23"/>
      <c r="AW433" s="23"/>
      <c r="AX433" s="13"/>
      <c r="AY433" s="13"/>
      <c r="AZ433" s="13"/>
      <c r="BA433" s="13"/>
      <c r="BB433" s="13"/>
      <c r="BC433" s="13"/>
      <c r="BD433" s="13"/>
      <c r="BE433" s="13"/>
      <c r="BF433" s="13"/>
      <c r="BG433" s="13"/>
      <c r="BH433" s="13"/>
      <c r="BI433" s="13"/>
      <c r="BJ433" s="13"/>
      <c r="BK433" s="13"/>
      <c r="BL433" s="13"/>
      <c r="BM433" s="13"/>
      <c r="BN433" s="13"/>
      <c r="BO433" s="13"/>
      <c r="BP433" s="13"/>
    </row>
    <row r="434" spans="16:68" s="18" customFormat="1" ht="12.75">
      <c r="P434" s="17"/>
      <c r="Q434" s="102"/>
      <c r="R434" s="128"/>
      <c r="S434" s="130"/>
      <c r="T434" s="165"/>
      <c r="U434" s="130"/>
      <c r="V434" s="130"/>
      <c r="W434" s="130"/>
      <c r="X434" s="130"/>
      <c r="Y434" s="130"/>
      <c r="Z434" s="130"/>
      <c r="AA434" s="130"/>
      <c r="AB434" s="130"/>
      <c r="AC434" s="130"/>
      <c r="AD434" s="130"/>
      <c r="AE434" s="130"/>
      <c r="AF434" s="13"/>
      <c r="AG434" s="13"/>
      <c r="AH434" s="13"/>
      <c r="AI434" s="13"/>
      <c r="AJ434" s="13"/>
      <c r="AK434" s="13"/>
      <c r="AL434" s="13"/>
      <c r="AM434" s="13"/>
      <c r="AN434" s="13"/>
      <c r="AO434" s="13"/>
      <c r="AP434" s="13"/>
      <c r="AQ434" s="23"/>
      <c r="AR434" s="23"/>
      <c r="AS434" s="23"/>
      <c r="AT434" s="23"/>
      <c r="AU434" s="23"/>
      <c r="AV434" s="23"/>
      <c r="AW434" s="23"/>
      <c r="AX434" s="13"/>
      <c r="AY434" s="13"/>
      <c r="AZ434" s="13"/>
      <c r="BA434" s="13"/>
      <c r="BB434" s="13"/>
      <c r="BC434" s="13"/>
      <c r="BD434" s="13"/>
      <c r="BE434" s="13"/>
      <c r="BF434" s="13"/>
      <c r="BG434" s="13"/>
      <c r="BH434" s="13"/>
      <c r="BI434" s="13"/>
      <c r="BJ434" s="13"/>
      <c r="BK434" s="13"/>
      <c r="BL434" s="13"/>
      <c r="BM434" s="13"/>
      <c r="BN434" s="13"/>
      <c r="BO434" s="13"/>
      <c r="BP434" s="13"/>
    </row>
    <row r="435" spans="16:68" s="18" customFormat="1" ht="12.75">
      <c r="P435" s="17"/>
      <c r="Q435" s="102"/>
      <c r="R435" s="128"/>
      <c r="S435" s="130"/>
      <c r="T435" s="165"/>
      <c r="U435" s="130"/>
      <c r="V435" s="130"/>
      <c r="W435" s="130"/>
      <c r="X435" s="130"/>
      <c r="Y435" s="130"/>
      <c r="Z435" s="130"/>
      <c r="AA435" s="130"/>
      <c r="AB435" s="130"/>
      <c r="AC435" s="130"/>
      <c r="AD435" s="130"/>
      <c r="AE435" s="130"/>
      <c r="AF435" s="13"/>
      <c r="AG435" s="13"/>
      <c r="AH435" s="13"/>
      <c r="AI435" s="13"/>
      <c r="AJ435" s="13"/>
      <c r="AK435" s="13"/>
      <c r="AL435" s="13"/>
      <c r="AM435" s="13"/>
      <c r="AN435" s="13"/>
      <c r="AO435" s="13"/>
      <c r="AP435" s="13"/>
      <c r="AQ435" s="23"/>
      <c r="AR435" s="23"/>
      <c r="AS435" s="23"/>
      <c r="AT435" s="23"/>
      <c r="AU435" s="23"/>
      <c r="AV435" s="23"/>
      <c r="AW435" s="23"/>
      <c r="AX435" s="13"/>
      <c r="AY435" s="13"/>
      <c r="AZ435" s="13"/>
      <c r="BA435" s="13"/>
      <c r="BB435" s="13"/>
      <c r="BC435" s="13"/>
      <c r="BD435" s="13"/>
      <c r="BE435" s="13"/>
      <c r="BF435" s="13"/>
      <c r="BG435" s="13"/>
      <c r="BH435" s="13"/>
      <c r="BI435" s="13"/>
      <c r="BJ435" s="13"/>
      <c r="BK435" s="13"/>
      <c r="BL435" s="13"/>
      <c r="BM435" s="13"/>
      <c r="BN435" s="13"/>
      <c r="BO435" s="13"/>
      <c r="BP435" s="13"/>
    </row>
    <row r="436" spans="16:68" s="18" customFormat="1" ht="12.75">
      <c r="P436" s="17"/>
      <c r="Q436" s="102"/>
      <c r="R436" s="128"/>
      <c r="S436" s="130"/>
      <c r="T436" s="165"/>
      <c r="U436" s="130"/>
      <c r="V436" s="130"/>
      <c r="W436" s="130"/>
      <c r="X436" s="130"/>
      <c r="Y436" s="130"/>
      <c r="Z436" s="130"/>
      <c r="AA436" s="130"/>
      <c r="AB436" s="130"/>
      <c r="AC436" s="130"/>
      <c r="AD436" s="130"/>
      <c r="AE436" s="130"/>
      <c r="AF436" s="13"/>
      <c r="AG436" s="13"/>
      <c r="AH436" s="13"/>
      <c r="AI436" s="13"/>
      <c r="AJ436" s="13"/>
      <c r="AK436" s="13"/>
      <c r="AL436" s="13"/>
      <c r="AM436" s="13"/>
      <c r="AN436" s="13"/>
      <c r="AO436" s="13"/>
      <c r="AP436" s="13"/>
      <c r="AQ436" s="23"/>
      <c r="AR436" s="23"/>
      <c r="AS436" s="23"/>
      <c r="AT436" s="23"/>
      <c r="AU436" s="23"/>
      <c r="AV436" s="23"/>
      <c r="AW436" s="23"/>
      <c r="AX436" s="13"/>
      <c r="AY436" s="13"/>
      <c r="AZ436" s="13"/>
      <c r="BA436" s="13"/>
      <c r="BB436" s="13"/>
      <c r="BC436" s="13"/>
      <c r="BD436" s="13"/>
      <c r="BE436" s="13"/>
      <c r="BF436" s="13"/>
      <c r="BG436" s="13"/>
      <c r="BH436" s="13"/>
      <c r="BI436" s="13"/>
      <c r="BJ436" s="13"/>
      <c r="BK436" s="13"/>
      <c r="BL436" s="13"/>
      <c r="BM436" s="13"/>
      <c r="BN436" s="13"/>
      <c r="BO436" s="13"/>
      <c r="BP436" s="13"/>
    </row>
    <row r="437" spans="16:68" s="18" customFormat="1" ht="12.75">
      <c r="P437" s="17"/>
      <c r="Q437" s="102"/>
      <c r="R437" s="128"/>
      <c r="S437" s="130"/>
      <c r="T437" s="165"/>
      <c r="U437" s="130"/>
      <c r="V437" s="130"/>
      <c r="W437" s="130"/>
      <c r="X437" s="130"/>
      <c r="Y437" s="130"/>
      <c r="Z437" s="130"/>
      <c r="AA437" s="130"/>
      <c r="AB437" s="130"/>
      <c r="AC437" s="130"/>
      <c r="AD437" s="130"/>
      <c r="AE437" s="130"/>
      <c r="AF437" s="13"/>
      <c r="AG437" s="13"/>
      <c r="AH437" s="13"/>
      <c r="AI437" s="13"/>
      <c r="AJ437" s="13"/>
      <c r="AK437" s="13"/>
      <c r="AL437" s="13"/>
      <c r="AM437" s="13"/>
      <c r="AN437" s="13"/>
      <c r="AO437" s="13"/>
      <c r="AP437" s="13"/>
      <c r="AQ437" s="23"/>
      <c r="AR437" s="23"/>
      <c r="AS437" s="23"/>
      <c r="AT437" s="23"/>
      <c r="AU437" s="23"/>
      <c r="AV437" s="23"/>
      <c r="AW437" s="23"/>
      <c r="AX437" s="13"/>
      <c r="AY437" s="13"/>
      <c r="AZ437" s="13"/>
      <c r="BA437" s="13"/>
      <c r="BB437" s="13"/>
      <c r="BC437" s="13"/>
      <c r="BD437" s="13"/>
      <c r="BE437" s="13"/>
      <c r="BF437" s="13"/>
      <c r="BG437" s="13"/>
      <c r="BH437" s="13"/>
      <c r="BI437" s="13"/>
      <c r="BJ437" s="13"/>
      <c r="BK437" s="13"/>
      <c r="BL437" s="13"/>
      <c r="BM437" s="13"/>
      <c r="BN437" s="13"/>
      <c r="BO437" s="13"/>
      <c r="BP437" s="13"/>
    </row>
    <row r="438" spans="16:68" s="18" customFormat="1" ht="12.75">
      <c r="P438" s="17"/>
      <c r="Q438" s="102"/>
      <c r="R438" s="128"/>
      <c r="S438" s="130"/>
      <c r="T438" s="165"/>
      <c r="U438" s="130"/>
      <c r="V438" s="130"/>
      <c r="W438" s="130"/>
      <c r="X438" s="130"/>
      <c r="Y438" s="130"/>
      <c r="Z438" s="130"/>
      <c r="AA438" s="130"/>
      <c r="AB438" s="130"/>
      <c r="AC438" s="130"/>
      <c r="AD438" s="130"/>
      <c r="AE438" s="130"/>
      <c r="AF438" s="13"/>
      <c r="AG438" s="13"/>
      <c r="AH438" s="13"/>
      <c r="AI438" s="13"/>
      <c r="AJ438" s="13"/>
      <c r="AK438" s="13"/>
      <c r="AL438" s="13"/>
      <c r="AM438" s="13"/>
      <c r="AN438" s="13"/>
      <c r="AO438" s="13"/>
      <c r="AP438" s="13"/>
      <c r="AQ438" s="23"/>
      <c r="AR438" s="23"/>
      <c r="AS438" s="23"/>
      <c r="AT438" s="23"/>
      <c r="AU438" s="23"/>
      <c r="AV438" s="23"/>
      <c r="AW438" s="23"/>
      <c r="AX438" s="13"/>
      <c r="AY438" s="13"/>
      <c r="AZ438" s="13"/>
      <c r="BA438" s="13"/>
      <c r="BB438" s="13"/>
      <c r="BC438" s="13"/>
      <c r="BD438" s="13"/>
      <c r="BE438" s="13"/>
      <c r="BF438" s="13"/>
      <c r="BG438" s="13"/>
      <c r="BH438" s="13"/>
      <c r="BI438" s="13"/>
      <c r="BJ438" s="13"/>
      <c r="BK438" s="13"/>
      <c r="BL438" s="13"/>
      <c r="BM438" s="13"/>
      <c r="BN438" s="13"/>
      <c r="BO438" s="13"/>
      <c r="BP438" s="13"/>
    </row>
    <row r="439" spans="16:68" s="18" customFormat="1" ht="12.75">
      <c r="P439" s="17"/>
      <c r="Q439" s="102"/>
      <c r="R439" s="128"/>
      <c r="S439" s="130"/>
      <c r="T439" s="165"/>
      <c r="U439" s="130"/>
      <c r="V439" s="130"/>
      <c r="W439" s="130"/>
      <c r="X439" s="130"/>
      <c r="Y439" s="130"/>
      <c r="Z439" s="130"/>
      <c r="AA439" s="130"/>
      <c r="AB439" s="130"/>
      <c r="AC439" s="130"/>
      <c r="AD439" s="130"/>
      <c r="AE439" s="130"/>
      <c r="AF439" s="13"/>
      <c r="AG439" s="13"/>
      <c r="AH439" s="13"/>
      <c r="AI439" s="13"/>
      <c r="AJ439" s="13"/>
      <c r="AK439" s="13"/>
      <c r="AL439" s="13"/>
      <c r="AM439" s="13"/>
      <c r="AN439" s="13"/>
      <c r="AO439" s="13"/>
      <c r="AP439" s="13"/>
      <c r="AQ439" s="23"/>
      <c r="AR439" s="23"/>
      <c r="AS439" s="23"/>
      <c r="AT439" s="23"/>
      <c r="AU439" s="23"/>
      <c r="AV439" s="23"/>
      <c r="AW439" s="23"/>
      <c r="AX439" s="13"/>
      <c r="AY439" s="13"/>
      <c r="AZ439" s="13"/>
      <c r="BA439" s="13"/>
      <c r="BB439" s="13"/>
      <c r="BC439" s="13"/>
      <c r="BD439" s="13"/>
      <c r="BE439" s="13"/>
      <c r="BF439" s="13"/>
      <c r="BG439" s="13"/>
      <c r="BH439" s="13"/>
      <c r="BI439" s="13"/>
      <c r="BJ439" s="13"/>
      <c r="BK439" s="13"/>
      <c r="BL439" s="13"/>
      <c r="BM439" s="13"/>
      <c r="BN439" s="13"/>
      <c r="BO439" s="13"/>
      <c r="BP439" s="13"/>
    </row>
    <row r="440" spans="16:68" s="18" customFormat="1" ht="12.75">
      <c r="P440" s="17"/>
      <c r="Q440" s="102"/>
      <c r="R440" s="128"/>
      <c r="S440" s="130"/>
      <c r="T440" s="165"/>
      <c r="U440" s="130"/>
      <c r="V440" s="130"/>
      <c r="W440" s="130"/>
      <c r="X440" s="130"/>
      <c r="Y440" s="130"/>
      <c r="Z440" s="130"/>
      <c r="AA440" s="130"/>
      <c r="AB440" s="130"/>
      <c r="AC440" s="130"/>
      <c r="AD440" s="130"/>
      <c r="AE440" s="130"/>
      <c r="AF440" s="13"/>
      <c r="AG440" s="13"/>
      <c r="AH440" s="13"/>
      <c r="AI440" s="13"/>
      <c r="AJ440" s="13"/>
      <c r="AK440" s="13"/>
      <c r="AL440" s="13"/>
      <c r="AM440" s="13"/>
      <c r="AN440" s="13"/>
      <c r="AO440" s="13"/>
      <c r="AP440" s="13"/>
      <c r="AQ440" s="23"/>
      <c r="AR440" s="23"/>
      <c r="AS440" s="23"/>
      <c r="AT440" s="23"/>
      <c r="AU440" s="23"/>
      <c r="AV440" s="23"/>
      <c r="AW440" s="23"/>
      <c r="AX440" s="13"/>
      <c r="AY440" s="13"/>
      <c r="AZ440" s="13"/>
      <c r="BA440" s="13"/>
      <c r="BB440" s="13"/>
      <c r="BC440" s="13"/>
      <c r="BD440" s="13"/>
      <c r="BE440" s="13"/>
      <c r="BF440" s="13"/>
      <c r="BG440" s="13"/>
      <c r="BH440" s="13"/>
      <c r="BI440" s="13"/>
      <c r="BJ440" s="13"/>
      <c r="BK440" s="13"/>
      <c r="BL440" s="13"/>
      <c r="BM440" s="13"/>
      <c r="BN440" s="13"/>
      <c r="BO440" s="13"/>
      <c r="BP440" s="13"/>
    </row>
    <row r="441" spans="16:68" s="18" customFormat="1" ht="12.75">
      <c r="P441" s="17"/>
      <c r="Q441" s="102"/>
      <c r="R441" s="128"/>
      <c r="S441" s="130"/>
      <c r="T441" s="165"/>
      <c r="U441" s="130"/>
      <c r="V441" s="130"/>
      <c r="W441" s="130"/>
      <c r="X441" s="130"/>
      <c r="Y441" s="130"/>
      <c r="Z441" s="130"/>
      <c r="AA441" s="130"/>
      <c r="AB441" s="130"/>
      <c r="AC441" s="130"/>
      <c r="AD441" s="130"/>
      <c r="AE441" s="130"/>
      <c r="AF441" s="13"/>
      <c r="AG441" s="13"/>
      <c r="AH441" s="13"/>
      <c r="AI441" s="13"/>
      <c r="AJ441" s="13"/>
      <c r="AK441" s="13"/>
      <c r="AL441" s="13"/>
      <c r="AM441" s="13"/>
      <c r="AN441" s="13"/>
      <c r="AO441" s="13"/>
      <c r="AP441" s="13"/>
      <c r="AQ441" s="23"/>
      <c r="AR441" s="23"/>
      <c r="AS441" s="23"/>
      <c r="AT441" s="23"/>
      <c r="AU441" s="23"/>
      <c r="AV441" s="23"/>
      <c r="AW441" s="23"/>
      <c r="AX441" s="13"/>
      <c r="AY441" s="13"/>
      <c r="AZ441" s="13"/>
      <c r="BA441" s="13"/>
      <c r="BB441" s="13"/>
      <c r="BC441" s="13"/>
      <c r="BD441" s="13"/>
      <c r="BE441" s="13"/>
      <c r="BF441" s="13"/>
      <c r="BG441" s="13"/>
      <c r="BH441" s="13"/>
      <c r="BI441" s="13"/>
      <c r="BJ441" s="13"/>
      <c r="BK441" s="13"/>
      <c r="BL441" s="13"/>
      <c r="BM441" s="13"/>
      <c r="BN441" s="13"/>
      <c r="BO441" s="13"/>
      <c r="BP441" s="13"/>
    </row>
    <row r="442" spans="16:68" s="18" customFormat="1" ht="12.75">
      <c r="P442" s="17"/>
      <c r="Q442" s="102"/>
      <c r="R442" s="128"/>
      <c r="S442" s="130"/>
      <c r="T442" s="165"/>
      <c r="U442" s="130"/>
      <c r="V442" s="130"/>
      <c r="W442" s="130"/>
      <c r="X442" s="130"/>
      <c r="Y442" s="130"/>
      <c r="Z442" s="130"/>
      <c r="AA442" s="130"/>
      <c r="AB442" s="130"/>
      <c r="AC442" s="130"/>
      <c r="AD442" s="130"/>
      <c r="AE442" s="130"/>
      <c r="AF442" s="13"/>
      <c r="AG442" s="13"/>
      <c r="AH442" s="13"/>
      <c r="AI442" s="13"/>
      <c r="AJ442" s="13"/>
      <c r="AK442" s="13"/>
      <c r="AL442" s="13"/>
      <c r="AM442" s="13"/>
      <c r="AN442" s="13"/>
      <c r="AO442" s="13"/>
      <c r="AP442" s="13"/>
      <c r="AQ442" s="23"/>
      <c r="AR442" s="23"/>
      <c r="AS442" s="23"/>
      <c r="AT442" s="23"/>
      <c r="AU442" s="23"/>
      <c r="AV442" s="23"/>
      <c r="AW442" s="23"/>
      <c r="AX442" s="13"/>
      <c r="AY442" s="13"/>
      <c r="AZ442" s="13"/>
      <c r="BA442" s="13"/>
      <c r="BB442" s="13"/>
      <c r="BC442" s="13"/>
      <c r="BD442" s="13"/>
      <c r="BE442" s="13"/>
      <c r="BF442" s="13"/>
      <c r="BG442" s="13"/>
      <c r="BH442" s="13"/>
      <c r="BI442" s="13"/>
      <c r="BJ442" s="13"/>
      <c r="BK442" s="13"/>
      <c r="BL442" s="13"/>
      <c r="BM442" s="13"/>
      <c r="BN442" s="13"/>
      <c r="BO442" s="13"/>
      <c r="BP442" s="13"/>
    </row>
    <row r="443" spans="16:68" s="18" customFormat="1" ht="12.75">
      <c r="P443" s="17"/>
      <c r="Q443" s="102"/>
      <c r="R443" s="128"/>
      <c r="S443" s="130"/>
      <c r="T443" s="165"/>
      <c r="U443" s="130"/>
      <c r="V443" s="130"/>
      <c r="W443" s="130"/>
      <c r="X443" s="130"/>
      <c r="Y443" s="130"/>
      <c r="Z443" s="130"/>
      <c r="AA443" s="130"/>
      <c r="AB443" s="130"/>
      <c r="AC443" s="130"/>
      <c r="AD443" s="130"/>
      <c r="AE443" s="130"/>
      <c r="AF443" s="13"/>
      <c r="AG443" s="13"/>
      <c r="AH443" s="13"/>
      <c r="AI443" s="13"/>
      <c r="AJ443" s="13"/>
      <c r="AK443" s="13"/>
      <c r="AL443" s="13"/>
      <c r="AM443" s="13"/>
      <c r="AN443" s="13"/>
      <c r="AO443" s="13"/>
      <c r="AP443" s="13"/>
      <c r="AQ443" s="23"/>
      <c r="AR443" s="23"/>
      <c r="AS443" s="23"/>
      <c r="AT443" s="23"/>
      <c r="AU443" s="23"/>
      <c r="AV443" s="23"/>
      <c r="AW443" s="23"/>
      <c r="AX443" s="13"/>
      <c r="AY443" s="13"/>
      <c r="AZ443" s="13"/>
      <c r="BA443" s="13"/>
      <c r="BB443" s="13"/>
      <c r="BC443" s="13"/>
      <c r="BD443" s="13"/>
      <c r="BE443" s="13"/>
      <c r="BF443" s="13"/>
      <c r="BG443" s="13"/>
      <c r="BH443" s="13"/>
      <c r="BI443" s="13"/>
      <c r="BJ443" s="13"/>
      <c r="BK443" s="13"/>
      <c r="BL443" s="13"/>
      <c r="BM443" s="13"/>
      <c r="BN443" s="13"/>
      <c r="BO443" s="13"/>
      <c r="BP443" s="13"/>
    </row>
    <row r="444" spans="16:68" s="18" customFormat="1" ht="12.75">
      <c r="P444" s="17"/>
      <c r="Q444" s="102"/>
      <c r="R444" s="128"/>
      <c r="S444" s="130"/>
      <c r="T444" s="165"/>
      <c r="U444" s="130"/>
      <c r="V444" s="130"/>
      <c r="W444" s="130"/>
      <c r="X444" s="130"/>
      <c r="Y444" s="130"/>
      <c r="Z444" s="130"/>
      <c r="AA444" s="130"/>
      <c r="AB444" s="130"/>
      <c r="AC444" s="130"/>
      <c r="AD444" s="130"/>
      <c r="AE444" s="130"/>
      <c r="AF444" s="13"/>
      <c r="AG444" s="13"/>
      <c r="AH444" s="13"/>
      <c r="AI444" s="13"/>
      <c r="AJ444" s="13"/>
      <c r="AK444" s="13"/>
      <c r="AL444" s="13"/>
      <c r="AM444" s="13"/>
      <c r="AN444" s="13"/>
      <c r="AO444" s="13"/>
      <c r="AP444" s="13"/>
      <c r="AQ444" s="23"/>
      <c r="AR444" s="23"/>
      <c r="AS444" s="23"/>
      <c r="AT444" s="23"/>
      <c r="AU444" s="23"/>
      <c r="AV444" s="23"/>
      <c r="AW444" s="23"/>
      <c r="AX444" s="13"/>
      <c r="AY444" s="13"/>
      <c r="AZ444" s="13"/>
      <c r="BA444" s="13"/>
      <c r="BB444" s="13"/>
      <c r="BC444" s="13"/>
      <c r="BD444" s="13"/>
      <c r="BE444" s="13"/>
      <c r="BF444" s="13"/>
      <c r="BG444" s="13"/>
      <c r="BH444" s="13"/>
      <c r="BI444" s="13"/>
      <c r="BJ444" s="13"/>
      <c r="BK444" s="13"/>
      <c r="BL444" s="13"/>
      <c r="BM444" s="13"/>
      <c r="BN444" s="13"/>
      <c r="BO444" s="13"/>
      <c r="BP444" s="13"/>
    </row>
    <row r="445" spans="16:68" s="18" customFormat="1" ht="12.75">
      <c r="P445" s="17"/>
      <c r="Q445" s="102"/>
      <c r="R445" s="128"/>
      <c r="S445" s="130"/>
      <c r="T445" s="165"/>
      <c r="U445" s="130"/>
      <c r="V445" s="130"/>
      <c r="W445" s="130"/>
      <c r="X445" s="130"/>
      <c r="Y445" s="130"/>
      <c r="Z445" s="130"/>
      <c r="AA445" s="130"/>
      <c r="AB445" s="130"/>
      <c r="AC445" s="130"/>
      <c r="AD445" s="130"/>
      <c r="AE445" s="130"/>
      <c r="AF445" s="13"/>
      <c r="AG445" s="13"/>
      <c r="AH445" s="13"/>
      <c r="AI445" s="13"/>
      <c r="AJ445" s="13"/>
      <c r="AK445" s="13"/>
      <c r="AL445" s="13"/>
      <c r="AM445" s="13"/>
      <c r="AN445" s="13"/>
      <c r="AO445" s="13"/>
      <c r="AP445" s="13"/>
      <c r="AQ445" s="23"/>
      <c r="AR445" s="23"/>
      <c r="AS445" s="23"/>
      <c r="AT445" s="23"/>
      <c r="AU445" s="23"/>
      <c r="AV445" s="23"/>
      <c r="AW445" s="23"/>
      <c r="AX445" s="13"/>
      <c r="AY445" s="13"/>
      <c r="AZ445" s="13"/>
      <c r="BA445" s="13"/>
      <c r="BB445" s="13"/>
      <c r="BC445" s="13"/>
      <c r="BD445" s="13"/>
      <c r="BE445" s="13"/>
      <c r="BF445" s="13"/>
      <c r="BG445" s="13"/>
      <c r="BH445" s="13"/>
      <c r="BI445" s="13"/>
      <c r="BJ445" s="13"/>
      <c r="BK445" s="13"/>
      <c r="BL445" s="13"/>
      <c r="BM445" s="13"/>
      <c r="BN445" s="13"/>
      <c r="BO445" s="13"/>
      <c r="BP445" s="13"/>
    </row>
    <row r="446" spans="16:68" s="18" customFormat="1" ht="12.75">
      <c r="P446" s="17"/>
      <c r="Q446" s="102"/>
      <c r="R446" s="128"/>
      <c r="S446" s="130"/>
      <c r="T446" s="165"/>
      <c r="U446" s="130"/>
      <c r="V446" s="130"/>
      <c r="W446" s="130"/>
      <c r="X446" s="130"/>
      <c r="Y446" s="130"/>
      <c r="Z446" s="130"/>
      <c r="AA446" s="130"/>
      <c r="AB446" s="130"/>
      <c r="AC446" s="130"/>
      <c r="AD446" s="130"/>
      <c r="AE446" s="130"/>
      <c r="AF446" s="13"/>
      <c r="AG446" s="13"/>
      <c r="AH446" s="13"/>
      <c r="AI446" s="13"/>
      <c r="AJ446" s="13"/>
      <c r="AK446" s="13"/>
      <c r="AL446" s="13"/>
      <c r="AM446" s="13"/>
      <c r="AN446" s="13"/>
      <c r="AO446" s="13"/>
      <c r="AP446" s="13"/>
      <c r="AQ446" s="23"/>
      <c r="AR446" s="23"/>
      <c r="AS446" s="23"/>
      <c r="AT446" s="23"/>
      <c r="AU446" s="23"/>
      <c r="AV446" s="23"/>
      <c r="AW446" s="23"/>
      <c r="AX446" s="13"/>
      <c r="AY446" s="13"/>
      <c r="AZ446" s="13"/>
      <c r="BA446" s="13"/>
      <c r="BB446" s="13"/>
      <c r="BC446" s="13"/>
      <c r="BD446" s="13"/>
      <c r="BE446" s="13"/>
      <c r="BF446" s="13"/>
      <c r="BG446" s="13"/>
      <c r="BH446" s="13"/>
      <c r="BI446" s="13"/>
      <c r="BJ446" s="13"/>
      <c r="BK446" s="13"/>
      <c r="BL446" s="13"/>
      <c r="BM446" s="13"/>
      <c r="BN446" s="13"/>
      <c r="BO446" s="13"/>
      <c r="BP446" s="13"/>
    </row>
    <row r="447" spans="16:68" s="18" customFormat="1" ht="12.75">
      <c r="P447" s="17"/>
      <c r="Q447" s="102"/>
      <c r="R447" s="128"/>
      <c r="S447" s="130"/>
      <c r="T447" s="165"/>
      <c r="U447" s="130"/>
      <c r="V447" s="130"/>
      <c r="W447" s="130"/>
      <c r="X447" s="130"/>
      <c r="Y447" s="130"/>
      <c r="Z447" s="130"/>
      <c r="AA447" s="130"/>
      <c r="AB447" s="130"/>
      <c r="AC447" s="130"/>
      <c r="AD447" s="130"/>
      <c r="AE447" s="130"/>
      <c r="AF447" s="13"/>
      <c r="AG447" s="13"/>
      <c r="AH447" s="13"/>
      <c r="AI447" s="13"/>
      <c r="AJ447" s="13"/>
      <c r="AK447" s="13"/>
      <c r="AL447" s="13"/>
      <c r="AM447" s="13"/>
      <c r="AN447" s="13"/>
      <c r="AO447" s="13"/>
      <c r="AP447" s="13"/>
      <c r="AQ447" s="23"/>
      <c r="AR447" s="23"/>
      <c r="AS447" s="23"/>
      <c r="AT447" s="23"/>
      <c r="AU447" s="23"/>
      <c r="AV447" s="23"/>
      <c r="AW447" s="23"/>
      <c r="AX447" s="13"/>
      <c r="AY447" s="13"/>
      <c r="AZ447" s="13"/>
      <c r="BA447" s="13"/>
      <c r="BB447" s="13"/>
      <c r="BC447" s="13"/>
      <c r="BD447" s="13"/>
      <c r="BE447" s="13"/>
      <c r="BF447" s="13"/>
      <c r="BG447" s="13"/>
      <c r="BH447" s="13"/>
      <c r="BI447" s="13"/>
      <c r="BJ447" s="13"/>
      <c r="BK447" s="13"/>
      <c r="BL447" s="13"/>
      <c r="BM447" s="13"/>
      <c r="BN447" s="13"/>
      <c r="BO447" s="13"/>
      <c r="BP447" s="13"/>
    </row>
    <row r="448" spans="16:68" s="18" customFormat="1" ht="12.75">
      <c r="P448" s="17"/>
      <c r="Q448" s="102"/>
      <c r="R448" s="128"/>
      <c r="S448" s="130"/>
      <c r="T448" s="165"/>
      <c r="U448" s="130"/>
      <c r="V448" s="130"/>
      <c r="W448" s="130"/>
      <c r="X448" s="130"/>
      <c r="Y448" s="130"/>
      <c r="Z448" s="130"/>
      <c r="AA448" s="130"/>
      <c r="AB448" s="130"/>
      <c r="AC448" s="130"/>
      <c r="AD448" s="130"/>
      <c r="AE448" s="130"/>
      <c r="AF448" s="13"/>
      <c r="AG448" s="13"/>
      <c r="AH448" s="13"/>
      <c r="AI448" s="13"/>
      <c r="AJ448" s="13"/>
      <c r="AK448" s="13"/>
      <c r="AL448" s="13"/>
      <c r="AM448" s="13"/>
      <c r="AN448" s="13"/>
      <c r="AO448" s="13"/>
      <c r="AP448" s="13"/>
      <c r="AQ448" s="23"/>
      <c r="AR448" s="23"/>
      <c r="AS448" s="23"/>
      <c r="AT448" s="23"/>
      <c r="AU448" s="23"/>
      <c r="AV448" s="23"/>
      <c r="AW448" s="23"/>
      <c r="AX448" s="13"/>
      <c r="AY448" s="13"/>
      <c r="AZ448" s="13"/>
      <c r="BA448" s="13"/>
      <c r="BB448" s="13"/>
      <c r="BC448" s="13"/>
      <c r="BD448" s="13"/>
      <c r="BE448" s="13"/>
      <c r="BF448" s="13"/>
      <c r="BG448" s="13"/>
      <c r="BH448" s="13"/>
      <c r="BI448" s="13"/>
      <c r="BJ448" s="13"/>
      <c r="BK448" s="13"/>
      <c r="BL448" s="13"/>
      <c r="BM448" s="13"/>
      <c r="BN448" s="13"/>
      <c r="BO448" s="13"/>
      <c r="BP448" s="13"/>
    </row>
    <row r="449" spans="16:68" s="18" customFormat="1" ht="12.75">
      <c r="P449" s="17"/>
      <c r="Q449" s="102"/>
      <c r="R449" s="128"/>
      <c r="S449" s="130"/>
      <c r="T449" s="165"/>
      <c r="U449" s="130"/>
      <c r="V449" s="130"/>
      <c r="W449" s="130"/>
      <c r="X449" s="130"/>
      <c r="Y449" s="130"/>
      <c r="Z449" s="130"/>
      <c r="AA449" s="130"/>
      <c r="AB449" s="130"/>
      <c r="AC449" s="130"/>
      <c r="AD449" s="130"/>
      <c r="AE449" s="130"/>
      <c r="AF449" s="13"/>
      <c r="AG449" s="13"/>
      <c r="AH449" s="13"/>
      <c r="AI449" s="13"/>
      <c r="AJ449" s="13"/>
      <c r="AK449" s="13"/>
      <c r="AL449" s="13"/>
      <c r="AM449" s="13"/>
      <c r="AN449" s="13"/>
      <c r="AO449" s="13"/>
      <c r="AP449" s="13"/>
      <c r="AQ449" s="23"/>
      <c r="AR449" s="23"/>
      <c r="AS449" s="23"/>
      <c r="AT449" s="23"/>
      <c r="AU449" s="23"/>
      <c r="AV449" s="23"/>
      <c r="AW449" s="23"/>
      <c r="AX449" s="13"/>
      <c r="AY449" s="13"/>
      <c r="AZ449" s="13"/>
      <c r="BA449" s="13"/>
      <c r="BB449" s="13"/>
      <c r="BC449" s="13"/>
      <c r="BD449" s="13"/>
      <c r="BE449" s="13"/>
      <c r="BF449" s="13"/>
      <c r="BG449" s="13"/>
      <c r="BH449" s="13"/>
      <c r="BI449" s="13"/>
      <c r="BJ449" s="13"/>
      <c r="BK449" s="13"/>
      <c r="BL449" s="13"/>
      <c r="BM449" s="13"/>
      <c r="BN449" s="13"/>
      <c r="BO449" s="13"/>
      <c r="BP449" s="13"/>
    </row>
    <row r="450" spans="16:68" s="18" customFormat="1" ht="12.75">
      <c r="P450" s="17"/>
      <c r="Q450" s="102"/>
      <c r="R450" s="128"/>
      <c r="S450" s="130"/>
      <c r="T450" s="165"/>
      <c r="U450" s="130"/>
      <c r="V450" s="130"/>
      <c r="W450" s="130"/>
      <c r="X450" s="130"/>
      <c r="Y450" s="130"/>
      <c r="Z450" s="130"/>
      <c r="AA450" s="130"/>
      <c r="AB450" s="130"/>
      <c r="AC450" s="130"/>
      <c r="AD450" s="130"/>
      <c r="AE450" s="130"/>
      <c r="AF450" s="13"/>
      <c r="AG450" s="13"/>
      <c r="AH450" s="13"/>
      <c r="AI450" s="13"/>
      <c r="AJ450" s="13"/>
      <c r="AK450" s="13"/>
      <c r="AL450" s="13"/>
      <c r="AM450" s="13"/>
      <c r="AN450" s="13"/>
      <c r="AO450" s="13"/>
      <c r="AP450" s="13"/>
      <c r="AQ450" s="23"/>
      <c r="AR450" s="23"/>
      <c r="AS450" s="23"/>
      <c r="AT450" s="23"/>
      <c r="AU450" s="23"/>
      <c r="AV450" s="23"/>
      <c r="AW450" s="23"/>
      <c r="AX450" s="13"/>
      <c r="AY450" s="13"/>
      <c r="AZ450" s="13"/>
      <c r="BA450" s="13"/>
      <c r="BB450" s="13"/>
      <c r="BC450" s="13"/>
      <c r="BD450" s="13"/>
      <c r="BE450" s="13"/>
      <c r="BF450" s="13"/>
      <c r="BG450" s="13"/>
      <c r="BH450" s="13"/>
      <c r="BI450" s="13"/>
      <c r="BJ450" s="13"/>
      <c r="BK450" s="13"/>
      <c r="BL450" s="13"/>
      <c r="BM450" s="13"/>
      <c r="BN450" s="13"/>
      <c r="BO450" s="13"/>
      <c r="BP450" s="13"/>
    </row>
    <row r="451" spans="16:68" s="18" customFormat="1" ht="12.75">
      <c r="P451" s="17"/>
      <c r="Q451" s="102"/>
      <c r="R451" s="128"/>
      <c r="S451" s="130"/>
      <c r="T451" s="165"/>
      <c r="U451" s="130"/>
      <c r="V451" s="130"/>
      <c r="W451" s="130"/>
      <c r="X451" s="130"/>
      <c r="Y451" s="130"/>
      <c r="Z451" s="130"/>
      <c r="AA451" s="130"/>
      <c r="AB451" s="130"/>
      <c r="AC451" s="130"/>
      <c r="AD451" s="130"/>
      <c r="AE451" s="130"/>
      <c r="AF451" s="13"/>
      <c r="AG451" s="13"/>
      <c r="AH451" s="13"/>
      <c r="AI451" s="13"/>
      <c r="AJ451" s="13"/>
      <c r="AK451" s="13"/>
      <c r="AL451" s="13"/>
      <c r="AM451" s="13"/>
      <c r="AN451" s="13"/>
      <c r="AO451" s="13"/>
      <c r="AP451" s="13"/>
      <c r="AQ451" s="23"/>
      <c r="AR451" s="23"/>
      <c r="AS451" s="23"/>
      <c r="AT451" s="23"/>
      <c r="AU451" s="23"/>
      <c r="AV451" s="23"/>
      <c r="AW451" s="23"/>
      <c r="AX451" s="13"/>
      <c r="AY451" s="13"/>
      <c r="AZ451" s="13"/>
      <c r="BA451" s="13"/>
      <c r="BB451" s="13"/>
      <c r="BC451" s="13"/>
      <c r="BD451" s="13"/>
      <c r="BE451" s="13"/>
      <c r="BF451" s="13"/>
      <c r="BG451" s="13"/>
      <c r="BH451" s="13"/>
      <c r="BI451" s="13"/>
      <c r="BJ451" s="13"/>
      <c r="BK451" s="13"/>
      <c r="BL451" s="13"/>
      <c r="BM451" s="13"/>
      <c r="BN451" s="13"/>
      <c r="BO451" s="13"/>
      <c r="BP451" s="13"/>
    </row>
    <row r="452" spans="16:68" s="18" customFormat="1" ht="12.75">
      <c r="P452" s="17"/>
      <c r="Q452" s="102"/>
      <c r="R452" s="128"/>
      <c r="S452" s="130"/>
      <c r="T452" s="165"/>
      <c r="U452" s="130"/>
      <c r="V452" s="130"/>
      <c r="W452" s="130"/>
      <c r="X452" s="130"/>
      <c r="Y452" s="130"/>
      <c r="Z452" s="130"/>
      <c r="AA452" s="130"/>
      <c r="AB452" s="130"/>
      <c r="AC452" s="130"/>
      <c r="AD452" s="130"/>
      <c r="AE452" s="130"/>
      <c r="AF452" s="13"/>
      <c r="AG452" s="13"/>
      <c r="AH452" s="13"/>
      <c r="AI452" s="13"/>
      <c r="AJ452" s="13"/>
      <c r="AK452" s="13"/>
      <c r="AL452" s="13"/>
      <c r="AM452" s="13"/>
      <c r="AN452" s="13"/>
      <c r="AO452" s="13"/>
      <c r="AP452" s="13"/>
      <c r="AQ452" s="23"/>
      <c r="AR452" s="23"/>
      <c r="AS452" s="23"/>
      <c r="AT452" s="23"/>
      <c r="AU452" s="23"/>
      <c r="AV452" s="23"/>
      <c r="AW452" s="23"/>
      <c r="AX452" s="13"/>
      <c r="AY452" s="13"/>
      <c r="AZ452" s="13"/>
      <c r="BA452" s="13"/>
      <c r="BB452" s="13"/>
      <c r="BC452" s="13"/>
      <c r="BD452" s="13"/>
      <c r="BE452" s="13"/>
      <c r="BF452" s="13"/>
      <c r="BG452" s="13"/>
      <c r="BH452" s="13"/>
      <c r="BI452" s="13"/>
      <c r="BJ452" s="13"/>
      <c r="BK452" s="13"/>
      <c r="BL452" s="13"/>
      <c r="BM452" s="13"/>
      <c r="BN452" s="13"/>
      <c r="BO452" s="13"/>
      <c r="BP452" s="13"/>
    </row>
    <row r="453" spans="16:68" s="18" customFormat="1" ht="12.75">
      <c r="P453" s="17"/>
      <c r="Q453" s="102"/>
      <c r="R453" s="128"/>
      <c r="S453" s="130"/>
      <c r="T453" s="165"/>
      <c r="U453" s="130"/>
      <c r="V453" s="130"/>
      <c r="W453" s="130"/>
      <c r="X453" s="130"/>
      <c r="Y453" s="130"/>
      <c r="Z453" s="130"/>
      <c r="AA453" s="130"/>
      <c r="AB453" s="130"/>
      <c r="AC453" s="130"/>
      <c r="AD453" s="130"/>
      <c r="AE453" s="130"/>
      <c r="AF453" s="13"/>
      <c r="AG453" s="13"/>
      <c r="AH453" s="13"/>
      <c r="AI453" s="13"/>
      <c r="AJ453" s="13"/>
      <c r="AK453" s="13"/>
      <c r="AL453" s="13"/>
      <c r="AM453" s="13"/>
      <c r="AN453" s="13"/>
      <c r="AO453" s="13"/>
      <c r="AP453" s="13"/>
      <c r="AQ453" s="23"/>
      <c r="AR453" s="23"/>
      <c r="AS453" s="23"/>
      <c r="AT453" s="23"/>
      <c r="AU453" s="23"/>
      <c r="AV453" s="23"/>
      <c r="AW453" s="23"/>
      <c r="AX453" s="13"/>
      <c r="AY453" s="13"/>
      <c r="AZ453" s="13"/>
      <c r="BA453" s="13"/>
      <c r="BB453" s="13"/>
      <c r="BC453" s="13"/>
      <c r="BD453" s="13"/>
      <c r="BE453" s="13"/>
      <c r="BF453" s="13"/>
      <c r="BG453" s="13"/>
      <c r="BH453" s="13"/>
      <c r="BI453" s="13"/>
      <c r="BJ453" s="13"/>
      <c r="BK453" s="13"/>
      <c r="BL453" s="13"/>
      <c r="BM453" s="13"/>
      <c r="BN453" s="13"/>
      <c r="BO453" s="13"/>
      <c r="BP453" s="13"/>
    </row>
    <row r="454" spans="16:68" s="18" customFormat="1" ht="12.75">
      <c r="P454" s="17"/>
      <c r="Q454" s="102"/>
      <c r="R454" s="128"/>
      <c r="S454" s="130"/>
      <c r="T454" s="165"/>
      <c r="U454" s="130"/>
      <c r="V454" s="130"/>
      <c r="W454" s="130"/>
      <c r="X454" s="130"/>
      <c r="Y454" s="130"/>
      <c r="Z454" s="130"/>
      <c r="AA454" s="130"/>
      <c r="AB454" s="130"/>
      <c r="AC454" s="130"/>
      <c r="AD454" s="130"/>
      <c r="AE454" s="130"/>
      <c r="AF454" s="13"/>
      <c r="AG454" s="13"/>
      <c r="AH454" s="13"/>
      <c r="AI454" s="13"/>
      <c r="AJ454" s="13"/>
      <c r="AK454" s="13"/>
      <c r="AL454" s="13"/>
      <c r="AM454" s="13"/>
      <c r="AN454" s="13"/>
      <c r="AO454" s="13"/>
      <c r="AP454" s="13"/>
      <c r="AQ454" s="23"/>
      <c r="AR454" s="23"/>
      <c r="AS454" s="23"/>
      <c r="AT454" s="23"/>
      <c r="AU454" s="23"/>
      <c r="AV454" s="23"/>
      <c r="AW454" s="23"/>
      <c r="AX454" s="13"/>
      <c r="AY454" s="13"/>
      <c r="AZ454" s="13"/>
      <c r="BA454" s="13"/>
      <c r="BB454" s="13"/>
      <c r="BC454" s="13"/>
      <c r="BD454" s="13"/>
      <c r="BE454" s="13"/>
      <c r="BF454" s="13"/>
      <c r="BG454" s="13"/>
      <c r="BH454" s="13"/>
      <c r="BI454" s="13"/>
      <c r="BJ454" s="13"/>
      <c r="BK454" s="13"/>
      <c r="BL454" s="13"/>
      <c r="BM454" s="13"/>
      <c r="BN454" s="13"/>
      <c r="BO454" s="13"/>
      <c r="BP454" s="13"/>
    </row>
    <row r="455" spans="16:68" s="18" customFormat="1" ht="12.75">
      <c r="P455" s="17"/>
      <c r="Q455" s="102"/>
      <c r="R455" s="128"/>
      <c r="S455" s="130"/>
      <c r="T455" s="165"/>
      <c r="U455" s="130"/>
      <c r="V455" s="130"/>
      <c r="W455" s="130"/>
      <c r="X455" s="130"/>
      <c r="Y455" s="130"/>
      <c r="Z455" s="130"/>
      <c r="AA455" s="130"/>
      <c r="AB455" s="130"/>
      <c r="AC455" s="130"/>
      <c r="AD455" s="130"/>
      <c r="AE455" s="130"/>
      <c r="AF455" s="13"/>
      <c r="AG455" s="13"/>
      <c r="AH455" s="13"/>
      <c r="AI455" s="13"/>
      <c r="AJ455" s="13"/>
      <c r="AK455" s="13"/>
      <c r="AL455" s="13"/>
      <c r="AM455" s="13"/>
      <c r="AN455" s="13"/>
      <c r="AO455" s="13"/>
      <c r="AP455" s="13"/>
      <c r="AQ455" s="23"/>
      <c r="AR455" s="23"/>
      <c r="AS455" s="23"/>
      <c r="AT455" s="23"/>
      <c r="AU455" s="23"/>
      <c r="AV455" s="23"/>
      <c r="AW455" s="23"/>
      <c r="AX455" s="13"/>
      <c r="AY455" s="13"/>
      <c r="AZ455" s="13"/>
      <c r="BA455" s="13"/>
      <c r="BB455" s="13"/>
      <c r="BC455" s="13"/>
      <c r="BD455" s="13"/>
      <c r="BE455" s="13"/>
      <c r="BF455" s="13"/>
      <c r="BG455" s="13"/>
      <c r="BH455" s="13"/>
      <c r="BI455" s="13"/>
      <c r="BJ455" s="13"/>
      <c r="BK455" s="13"/>
      <c r="BL455" s="13"/>
      <c r="BM455" s="13"/>
      <c r="BN455" s="13"/>
      <c r="BO455" s="13"/>
      <c r="BP455" s="13"/>
    </row>
    <row r="456" spans="16:68" s="18" customFormat="1" ht="12.75">
      <c r="P456" s="17"/>
      <c r="Q456" s="102"/>
      <c r="R456" s="128"/>
      <c r="S456" s="130"/>
      <c r="T456" s="165"/>
      <c r="U456" s="130"/>
      <c r="V456" s="130"/>
      <c r="W456" s="130"/>
      <c r="X456" s="130"/>
      <c r="Y456" s="130"/>
      <c r="Z456" s="130"/>
      <c r="AA456" s="130"/>
      <c r="AB456" s="130"/>
      <c r="AC456" s="130"/>
      <c r="AD456" s="130"/>
      <c r="AE456" s="130"/>
      <c r="AF456" s="13"/>
      <c r="AG456" s="13"/>
      <c r="AH456" s="13"/>
      <c r="AI456" s="13"/>
      <c r="AJ456" s="13"/>
      <c r="AK456" s="13"/>
      <c r="AL456" s="13"/>
      <c r="AM456" s="13"/>
      <c r="AN456" s="13"/>
      <c r="AO456" s="13"/>
      <c r="AP456" s="13"/>
      <c r="AQ456" s="23"/>
      <c r="AR456" s="23"/>
      <c r="AS456" s="23"/>
      <c r="AT456" s="23"/>
      <c r="AU456" s="23"/>
      <c r="AV456" s="23"/>
      <c r="AW456" s="23"/>
      <c r="AX456" s="13"/>
      <c r="AY456" s="13"/>
      <c r="AZ456" s="13"/>
      <c r="BA456" s="13"/>
      <c r="BB456" s="13"/>
      <c r="BC456" s="13"/>
      <c r="BD456" s="13"/>
      <c r="BE456" s="13"/>
      <c r="BF456" s="13"/>
      <c r="BG456" s="13"/>
      <c r="BH456" s="13"/>
      <c r="BI456" s="13"/>
      <c r="BJ456" s="13"/>
      <c r="BK456" s="13"/>
      <c r="BL456" s="13"/>
      <c r="BM456" s="13"/>
      <c r="BN456" s="13"/>
      <c r="BO456" s="13"/>
      <c r="BP456" s="13"/>
    </row>
    <row r="457" spans="16:68" s="18" customFormat="1" ht="12.75">
      <c r="P457" s="17"/>
      <c r="Q457" s="102"/>
      <c r="R457" s="128"/>
      <c r="S457" s="130"/>
      <c r="T457" s="165"/>
      <c r="U457" s="130"/>
      <c r="V457" s="130"/>
      <c r="W457" s="130"/>
      <c r="X457" s="130"/>
      <c r="Y457" s="130"/>
      <c r="Z457" s="130"/>
      <c r="AA457" s="130"/>
      <c r="AB457" s="130"/>
      <c r="AC457" s="130"/>
      <c r="AD457" s="130"/>
      <c r="AE457" s="130"/>
      <c r="AF457" s="13"/>
      <c r="AG457" s="13"/>
      <c r="AH457" s="13"/>
      <c r="AI457" s="13"/>
      <c r="AJ457" s="13"/>
      <c r="AK457" s="13"/>
      <c r="AL457" s="13"/>
      <c r="AM457" s="13"/>
      <c r="AN457" s="13"/>
      <c r="AO457" s="13"/>
      <c r="AP457" s="13"/>
      <c r="AQ457" s="23"/>
      <c r="AR457" s="23"/>
      <c r="AS457" s="23"/>
      <c r="AT457" s="23"/>
      <c r="AU457" s="23"/>
      <c r="AV457" s="23"/>
      <c r="AW457" s="23"/>
      <c r="AX457" s="13"/>
      <c r="AY457" s="13"/>
      <c r="AZ457" s="13"/>
      <c r="BA457" s="13"/>
      <c r="BB457" s="13"/>
      <c r="BC457" s="13"/>
      <c r="BD457" s="13"/>
      <c r="BE457" s="13"/>
      <c r="BF457" s="13"/>
      <c r="BG457" s="13"/>
      <c r="BH457" s="13"/>
      <c r="BI457" s="13"/>
      <c r="BJ457" s="13"/>
      <c r="BK457" s="13"/>
      <c r="BL457" s="13"/>
      <c r="BM457" s="13"/>
      <c r="BN457" s="13"/>
      <c r="BO457" s="13"/>
      <c r="BP457" s="13"/>
    </row>
    <row r="458" spans="16:68" s="18" customFormat="1" ht="12.75">
      <c r="P458" s="17"/>
      <c r="Q458" s="102"/>
      <c r="R458" s="128"/>
      <c r="S458" s="130"/>
      <c r="T458" s="165"/>
      <c r="U458" s="130"/>
      <c r="V458" s="130"/>
      <c r="W458" s="130"/>
      <c r="X458" s="130"/>
      <c r="Y458" s="130"/>
      <c r="Z458" s="130"/>
      <c r="AA458" s="130"/>
      <c r="AB458" s="130"/>
      <c r="AC458" s="130"/>
      <c r="AD458" s="130"/>
      <c r="AE458" s="130"/>
      <c r="AF458" s="13"/>
      <c r="AG458" s="13"/>
      <c r="AH458" s="13"/>
      <c r="AI458" s="13"/>
      <c r="AJ458" s="13"/>
      <c r="AK458" s="13"/>
      <c r="AL458" s="13"/>
      <c r="AM458" s="13"/>
      <c r="AN458" s="13"/>
      <c r="AO458" s="13"/>
      <c r="AP458" s="13"/>
      <c r="AQ458" s="23"/>
      <c r="AR458" s="23"/>
      <c r="AS458" s="23"/>
      <c r="AT458" s="23"/>
      <c r="AU458" s="23"/>
      <c r="AV458" s="23"/>
      <c r="AW458" s="23"/>
      <c r="AX458" s="13"/>
      <c r="AY458" s="13"/>
      <c r="AZ458" s="13"/>
      <c r="BA458" s="13"/>
      <c r="BB458" s="13"/>
      <c r="BC458" s="13"/>
      <c r="BD458" s="13"/>
      <c r="BE458" s="13"/>
      <c r="BF458" s="13"/>
      <c r="BG458" s="13"/>
      <c r="BH458" s="13"/>
      <c r="BI458" s="13"/>
      <c r="BJ458" s="13"/>
      <c r="BK458" s="13"/>
      <c r="BL458" s="13"/>
      <c r="BM458" s="13"/>
      <c r="BN458" s="13"/>
      <c r="BO458" s="13"/>
      <c r="BP458" s="13"/>
    </row>
    <row r="459" spans="16:68" s="18" customFormat="1" ht="12.75">
      <c r="P459" s="17"/>
      <c r="Q459" s="102"/>
      <c r="R459" s="128"/>
      <c r="S459" s="130"/>
      <c r="T459" s="165"/>
      <c r="U459" s="130"/>
      <c r="V459" s="130"/>
      <c r="W459" s="130"/>
      <c r="X459" s="130"/>
      <c r="Y459" s="130"/>
      <c r="Z459" s="130"/>
      <c r="AA459" s="130"/>
      <c r="AB459" s="130"/>
      <c r="AC459" s="130"/>
      <c r="AD459" s="130"/>
      <c r="AE459" s="130"/>
      <c r="AF459" s="13"/>
      <c r="AG459" s="13"/>
      <c r="AH459" s="13"/>
      <c r="AI459" s="13"/>
      <c r="AJ459" s="13"/>
      <c r="AK459" s="13"/>
      <c r="AL459" s="13"/>
      <c r="AM459" s="13"/>
      <c r="AN459" s="13"/>
      <c r="AO459" s="13"/>
      <c r="AP459" s="13"/>
      <c r="AQ459" s="23"/>
      <c r="AR459" s="23"/>
      <c r="AS459" s="23"/>
      <c r="AT459" s="23"/>
      <c r="AU459" s="23"/>
      <c r="AV459" s="23"/>
      <c r="AW459" s="23"/>
      <c r="AX459" s="13"/>
      <c r="AY459" s="13"/>
      <c r="AZ459" s="13"/>
      <c r="BA459" s="13"/>
      <c r="BB459" s="13"/>
      <c r="BC459" s="13"/>
      <c r="BD459" s="13"/>
      <c r="BE459" s="13"/>
      <c r="BF459" s="13"/>
      <c r="BG459" s="13"/>
      <c r="BH459" s="13"/>
      <c r="BI459" s="13"/>
      <c r="BJ459" s="13"/>
      <c r="BK459" s="13"/>
      <c r="BL459" s="13"/>
      <c r="BM459" s="13"/>
      <c r="BN459" s="13"/>
      <c r="BO459" s="13"/>
      <c r="BP459" s="13"/>
    </row>
    <row r="460" spans="16:68" s="18" customFormat="1" ht="12.75">
      <c r="P460" s="17"/>
      <c r="Q460" s="102"/>
      <c r="R460" s="128"/>
      <c r="S460" s="130"/>
      <c r="T460" s="165"/>
      <c r="U460" s="130"/>
      <c r="V460" s="130"/>
      <c r="W460" s="130"/>
      <c r="X460" s="130"/>
      <c r="Y460" s="130"/>
      <c r="Z460" s="130"/>
      <c r="AA460" s="130"/>
      <c r="AB460" s="130"/>
      <c r="AC460" s="130"/>
      <c r="AD460" s="130"/>
      <c r="AE460" s="130"/>
      <c r="AF460" s="13"/>
      <c r="AG460" s="13"/>
      <c r="AH460" s="13"/>
      <c r="AI460" s="13"/>
      <c r="AJ460" s="13"/>
      <c r="AK460" s="13"/>
      <c r="AL460" s="13"/>
      <c r="AM460" s="13"/>
      <c r="AN460" s="13"/>
      <c r="AO460" s="13"/>
      <c r="AP460" s="13"/>
      <c r="AQ460" s="23"/>
      <c r="AR460" s="23"/>
      <c r="AS460" s="23"/>
      <c r="AT460" s="23"/>
      <c r="AU460" s="23"/>
      <c r="AV460" s="23"/>
      <c r="AW460" s="23"/>
      <c r="AX460" s="13"/>
      <c r="AY460" s="13"/>
      <c r="AZ460" s="13"/>
      <c r="BA460" s="13"/>
      <c r="BB460" s="13"/>
      <c r="BC460" s="13"/>
      <c r="BD460" s="13"/>
      <c r="BE460" s="13"/>
      <c r="BF460" s="13"/>
      <c r="BG460" s="13"/>
      <c r="BH460" s="13"/>
      <c r="BI460" s="13"/>
      <c r="BJ460" s="13"/>
      <c r="BK460" s="13"/>
      <c r="BL460" s="13"/>
      <c r="BM460" s="13"/>
      <c r="BN460" s="13"/>
      <c r="BO460" s="13"/>
      <c r="BP460" s="13"/>
    </row>
    <row r="461" spans="16:68" s="18" customFormat="1" ht="12.75">
      <c r="P461" s="17"/>
      <c r="Q461" s="102"/>
      <c r="R461" s="128"/>
      <c r="S461" s="130"/>
      <c r="T461" s="165"/>
      <c r="U461" s="130"/>
      <c r="V461" s="130"/>
      <c r="W461" s="130"/>
      <c r="X461" s="130"/>
      <c r="Y461" s="130"/>
      <c r="Z461" s="130"/>
      <c r="AA461" s="130"/>
      <c r="AB461" s="130"/>
      <c r="AC461" s="130"/>
      <c r="AD461" s="130"/>
      <c r="AE461" s="130"/>
      <c r="AF461" s="13"/>
      <c r="AG461" s="13"/>
      <c r="AH461" s="13"/>
      <c r="AI461" s="13"/>
      <c r="AJ461" s="13"/>
      <c r="AK461" s="13"/>
      <c r="AL461" s="13"/>
      <c r="AM461" s="13"/>
      <c r="AN461" s="13"/>
      <c r="AO461" s="13"/>
      <c r="AP461" s="13"/>
      <c r="AQ461" s="23"/>
      <c r="AR461" s="23"/>
      <c r="AS461" s="23"/>
      <c r="AT461" s="23"/>
      <c r="AU461" s="23"/>
      <c r="AV461" s="23"/>
      <c r="AW461" s="23"/>
      <c r="AX461" s="13"/>
      <c r="AY461" s="13"/>
      <c r="AZ461" s="13"/>
      <c r="BA461" s="13"/>
      <c r="BB461" s="13"/>
      <c r="BC461" s="13"/>
      <c r="BD461" s="13"/>
      <c r="BE461" s="13"/>
      <c r="BF461" s="13"/>
      <c r="BG461" s="13"/>
      <c r="BH461" s="13"/>
      <c r="BI461" s="13"/>
      <c r="BJ461" s="13"/>
      <c r="BK461" s="13"/>
      <c r="BL461" s="13"/>
      <c r="BM461" s="13"/>
      <c r="BN461" s="13"/>
      <c r="BO461" s="13"/>
      <c r="BP461" s="13"/>
    </row>
    <row r="462" spans="16:68" s="18" customFormat="1" ht="12.75">
      <c r="P462" s="17"/>
      <c r="Q462" s="102"/>
      <c r="R462" s="128"/>
      <c r="S462" s="130"/>
      <c r="T462" s="165"/>
      <c r="U462" s="130"/>
      <c r="V462" s="130"/>
      <c r="W462" s="130"/>
      <c r="X462" s="130"/>
      <c r="Y462" s="130"/>
      <c r="Z462" s="130"/>
      <c r="AA462" s="130"/>
      <c r="AB462" s="130"/>
      <c r="AC462" s="130"/>
      <c r="AD462" s="130"/>
      <c r="AE462" s="130"/>
      <c r="AF462" s="13"/>
      <c r="AG462" s="13"/>
      <c r="AH462" s="13"/>
      <c r="AI462" s="13"/>
      <c r="AJ462" s="13"/>
      <c r="AK462" s="13"/>
      <c r="AL462" s="13"/>
      <c r="AM462" s="13"/>
      <c r="AN462" s="13"/>
      <c r="AO462" s="13"/>
      <c r="AP462" s="13"/>
      <c r="AQ462" s="23"/>
      <c r="AR462" s="23"/>
      <c r="AS462" s="23"/>
      <c r="AT462" s="23"/>
      <c r="AU462" s="23"/>
      <c r="AV462" s="23"/>
      <c r="AW462" s="23"/>
      <c r="AX462" s="13"/>
      <c r="AY462" s="13"/>
      <c r="AZ462" s="13"/>
      <c r="BA462" s="13"/>
      <c r="BB462" s="13"/>
      <c r="BC462" s="13"/>
      <c r="BD462" s="13"/>
      <c r="BE462" s="13"/>
      <c r="BF462" s="13"/>
      <c r="BG462" s="13"/>
      <c r="BH462" s="13"/>
      <c r="BI462" s="13"/>
      <c r="BJ462" s="13"/>
      <c r="BK462" s="13"/>
      <c r="BL462" s="13"/>
      <c r="BM462" s="13"/>
      <c r="BN462" s="13"/>
      <c r="BO462" s="13"/>
      <c r="BP462" s="13"/>
    </row>
    <row r="463" spans="16:68" s="18" customFormat="1" ht="12.75">
      <c r="P463" s="17"/>
      <c r="Q463" s="102"/>
      <c r="R463" s="128"/>
      <c r="S463" s="130"/>
      <c r="T463" s="165"/>
      <c r="U463" s="130"/>
      <c r="V463" s="130"/>
      <c r="W463" s="130"/>
      <c r="X463" s="130"/>
      <c r="Y463" s="130"/>
      <c r="Z463" s="130"/>
      <c r="AA463" s="130"/>
      <c r="AB463" s="130"/>
      <c r="AC463" s="130"/>
      <c r="AD463" s="130"/>
      <c r="AE463" s="130"/>
      <c r="AF463" s="13"/>
      <c r="AG463" s="13"/>
      <c r="AH463" s="13"/>
      <c r="AI463" s="13"/>
      <c r="AJ463" s="13"/>
      <c r="AK463" s="13"/>
      <c r="AL463" s="13"/>
      <c r="AM463" s="13"/>
      <c r="AN463" s="13"/>
      <c r="AO463" s="13"/>
      <c r="AP463" s="13"/>
      <c r="AQ463" s="23"/>
      <c r="AR463" s="23"/>
      <c r="AS463" s="23"/>
      <c r="AT463" s="23"/>
      <c r="AU463" s="23"/>
      <c r="AV463" s="23"/>
      <c r="AW463" s="23"/>
      <c r="AX463" s="13"/>
      <c r="AY463" s="13"/>
      <c r="AZ463" s="13"/>
      <c r="BA463" s="13"/>
      <c r="BB463" s="13"/>
      <c r="BC463" s="13"/>
      <c r="BD463" s="13"/>
      <c r="BE463" s="13"/>
      <c r="BF463" s="13"/>
      <c r="BG463" s="13"/>
      <c r="BH463" s="13"/>
      <c r="BI463" s="13"/>
      <c r="BJ463" s="13"/>
      <c r="BK463" s="13"/>
      <c r="BL463" s="13"/>
      <c r="BM463" s="13"/>
      <c r="BN463" s="13"/>
      <c r="BO463" s="13"/>
      <c r="BP463" s="13"/>
    </row>
    <row r="464" spans="16:68" s="18" customFormat="1" ht="12.75">
      <c r="P464" s="17"/>
      <c r="Q464" s="102"/>
      <c r="R464" s="128"/>
      <c r="S464" s="130"/>
      <c r="T464" s="165"/>
      <c r="U464" s="130"/>
      <c r="V464" s="130"/>
      <c r="W464" s="130"/>
      <c r="X464" s="130"/>
      <c r="Y464" s="130"/>
      <c r="Z464" s="130"/>
      <c r="AA464" s="130"/>
      <c r="AB464" s="130"/>
      <c r="AC464" s="130"/>
      <c r="AD464" s="130"/>
      <c r="AE464" s="130"/>
      <c r="AF464" s="13"/>
      <c r="AG464" s="13"/>
      <c r="AH464" s="13"/>
      <c r="AI464" s="13"/>
      <c r="AJ464" s="13"/>
      <c r="AK464" s="13"/>
      <c r="AL464" s="13"/>
      <c r="AM464" s="13"/>
      <c r="AN464" s="13"/>
      <c r="AO464" s="13"/>
      <c r="AP464" s="13"/>
      <c r="AQ464" s="23"/>
      <c r="AR464" s="23"/>
      <c r="AS464" s="23"/>
      <c r="AT464" s="23"/>
      <c r="AU464" s="23"/>
      <c r="AV464" s="23"/>
      <c r="AW464" s="23"/>
      <c r="AX464" s="13"/>
      <c r="AY464" s="13"/>
      <c r="AZ464" s="13"/>
      <c r="BA464" s="13"/>
      <c r="BB464" s="13"/>
      <c r="BC464" s="13"/>
      <c r="BD464" s="13"/>
      <c r="BE464" s="13"/>
      <c r="BF464" s="13"/>
      <c r="BG464" s="13"/>
      <c r="BH464" s="13"/>
      <c r="BI464" s="13"/>
      <c r="BJ464" s="13"/>
      <c r="BK464" s="13"/>
      <c r="BL464" s="13"/>
      <c r="BM464" s="13"/>
      <c r="BN464" s="13"/>
      <c r="BO464" s="13"/>
      <c r="BP464" s="13"/>
    </row>
    <row r="465" spans="16:68" s="18" customFormat="1" ht="12.75">
      <c r="P465" s="17"/>
      <c r="Q465" s="102"/>
      <c r="R465" s="128"/>
      <c r="S465" s="130"/>
      <c r="T465" s="165"/>
      <c r="U465" s="130"/>
      <c r="V465" s="130"/>
      <c r="W465" s="130"/>
      <c r="X465" s="130"/>
      <c r="Y465" s="130"/>
      <c r="Z465" s="130"/>
      <c r="AA465" s="130"/>
      <c r="AB465" s="130"/>
      <c r="AC465" s="130"/>
      <c r="AD465" s="130"/>
      <c r="AE465" s="130"/>
      <c r="AF465" s="13"/>
      <c r="AG465" s="13"/>
      <c r="AH465" s="13"/>
      <c r="AI465" s="13"/>
      <c r="AJ465" s="13"/>
      <c r="AK465" s="13"/>
      <c r="AL465" s="13"/>
      <c r="AM465" s="13"/>
      <c r="AN465" s="13"/>
      <c r="AO465" s="13"/>
      <c r="AP465" s="13"/>
      <c r="AQ465" s="23"/>
      <c r="AR465" s="23"/>
      <c r="AS465" s="23"/>
      <c r="AT465" s="23"/>
      <c r="AU465" s="23"/>
      <c r="AV465" s="23"/>
      <c r="AW465" s="23"/>
      <c r="AX465" s="13"/>
      <c r="AY465" s="13"/>
      <c r="AZ465" s="13"/>
      <c r="BA465" s="13"/>
      <c r="BB465" s="13"/>
      <c r="BC465" s="13"/>
      <c r="BD465" s="13"/>
      <c r="BE465" s="13"/>
      <c r="BF465" s="13"/>
      <c r="BG465" s="13"/>
      <c r="BH465" s="13"/>
      <c r="BI465" s="13"/>
      <c r="BJ465" s="13"/>
      <c r="BK465" s="13"/>
      <c r="BL465" s="13"/>
      <c r="BM465" s="13"/>
      <c r="BN465" s="13"/>
      <c r="BO465" s="13"/>
      <c r="BP465" s="13"/>
    </row>
    <row r="466" spans="16:68" s="18" customFormat="1" ht="12.75">
      <c r="P466" s="17"/>
      <c r="Q466" s="102"/>
      <c r="R466" s="128"/>
      <c r="S466" s="130"/>
      <c r="T466" s="165"/>
      <c r="U466" s="130"/>
      <c r="V466" s="130"/>
      <c r="W466" s="130"/>
      <c r="X466" s="130"/>
      <c r="Y466" s="130"/>
      <c r="Z466" s="130"/>
      <c r="AA466" s="130"/>
      <c r="AB466" s="130"/>
      <c r="AC466" s="130"/>
      <c r="AD466" s="130"/>
      <c r="AE466" s="130"/>
      <c r="AF466" s="13"/>
      <c r="AG466" s="13"/>
      <c r="AH466" s="13"/>
      <c r="AI466" s="13"/>
      <c r="AJ466" s="13"/>
      <c r="AK466" s="13"/>
      <c r="AL466" s="13"/>
      <c r="AM466" s="13"/>
      <c r="AN466" s="13"/>
      <c r="AO466" s="13"/>
      <c r="AP466" s="13"/>
      <c r="AQ466" s="23"/>
      <c r="AR466" s="23"/>
      <c r="AS466" s="23"/>
      <c r="AT466" s="23"/>
      <c r="AU466" s="23"/>
      <c r="AV466" s="23"/>
      <c r="AW466" s="23"/>
      <c r="AX466" s="13"/>
      <c r="AY466" s="13"/>
      <c r="AZ466" s="13"/>
      <c r="BA466" s="13"/>
      <c r="BB466" s="13"/>
      <c r="BC466" s="13"/>
      <c r="BD466" s="13"/>
      <c r="BE466" s="13"/>
      <c r="BF466" s="13"/>
      <c r="BG466" s="13"/>
      <c r="BH466" s="13"/>
      <c r="BI466" s="13"/>
      <c r="BJ466" s="13"/>
      <c r="BK466" s="13"/>
      <c r="BL466" s="13"/>
      <c r="BM466" s="13"/>
      <c r="BN466" s="13"/>
      <c r="BO466" s="13"/>
      <c r="BP466" s="13"/>
    </row>
    <row r="467" spans="16:68" s="18" customFormat="1" ht="12.75">
      <c r="P467" s="17"/>
      <c r="Q467" s="102"/>
      <c r="R467" s="128"/>
      <c r="S467" s="130"/>
      <c r="T467" s="165"/>
      <c r="U467" s="130"/>
      <c r="V467" s="130"/>
      <c r="W467" s="130"/>
      <c r="X467" s="130"/>
      <c r="Y467" s="130"/>
      <c r="Z467" s="130"/>
      <c r="AA467" s="130"/>
      <c r="AB467" s="130"/>
      <c r="AC467" s="130"/>
      <c r="AD467" s="130"/>
      <c r="AE467" s="130"/>
      <c r="AF467" s="13"/>
      <c r="AG467" s="13"/>
      <c r="AH467" s="13"/>
      <c r="AI467" s="13"/>
      <c r="AJ467" s="13"/>
      <c r="AK467" s="13"/>
      <c r="AL467" s="13"/>
      <c r="AM467" s="13"/>
      <c r="AN467" s="13"/>
      <c r="AO467" s="13"/>
      <c r="AP467" s="13"/>
      <c r="AQ467" s="23"/>
      <c r="AR467" s="23"/>
      <c r="AS467" s="23"/>
      <c r="AT467" s="23"/>
      <c r="AU467" s="23"/>
      <c r="AV467" s="23"/>
      <c r="AW467" s="23"/>
      <c r="AX467" s="13"/>
      <c r="AY467" s="13"/>
      <c r="AZ467" s="13"/>
      <c r="BA467" s="13"/>
      <c r="BB467" s="13"/>
      <c r="BC467" s="13"/>
      <c r="BD467" s="13"/>
      <c r="BE467" s="13"/>
      <c r="BF467" s="13"/>
      <c r="BG467" s="13"/>
      <c r="BH467" s="13"/>
      <c r="BI467" s="13"/>
      <c r="BJ467" s="13"/>
      <c r="BK467" s="13"/>
      <c r="BL467" s="13"/>
      <c r="BM467" s="13"/>
      <c r="BN467" s="13"/>
      <c r="BO467" s="13"/>
      <c r="BP467" s="13"/>
    </row>
    <row r="468" spans="16:68" s="18" customFormat="1" ht="12.75">
      <c r="P468" s="17"/>
      <c r="Q468" s="102"/>
      <c r="R468" s="128"/>
      <c r="S468" s="130"/>
      <c r="T468" s="165"/>
      <c r="U468" s="130"/>
      <c r="V468" s="130"/>
      <c r="W468" s="130"/>
      <c r="X468" s="130"/>
      <c r="Y468" s="130"/>
      <c r="Z468" s="130"/>
      <c r="AA468" s="130"/>
      <c r="AB468" s="130"/>
      <c r="AC468" s="130"/>
      <c r="AD468" s="130"/>
      <c r="AE468" s="130"/>
      <c r="AF468" s="13"/>
      <c r="AG468" s="13"/>
      <c r="AH468" s="13"/>
      <c r="AI468" s="13"/>
      <c r="AJ468" s="13"/>
      <c r="AK468" s="13"/>
      <c r="AL468" s="13"/>
      <c r="AM468" s="13"/>
      <c r="AN468" s="13"/>
      <c r="AO468" s="13"/>
      <c r="AP468" s="13"/>
      <c r="AQ468" s="23"/>
      <c r="AR468" s="23"/>
      <c r="AS468" s="23"/>
      <c r="AT468" s="23"/>
      <c r="AU468" s="23"/>
      <c r="AV468" s="23"/>
      <c r="AW468" s="23"/>
      <c r="AX468" s="13"/>
      <c r="AY468" s="13"/>
      <c r="AZ468" s="13"/>
      <c r="BA468" s="13"/>
      <c r="BB468" s="13"/>
      <c r="BC468" s="13"/>
      <c r="BD468" s="13"/>
      <c r="BE468" s="13"/>
      <c r="BF468" s="13"/>
      <c r="BG468" s="13"/>
      <c r="BH468" s="13"/>
      <c r="BI468" s="13"/>
      <c r="BJ468" s="13"/>
      <c r="BK468" s="13"/>
      <c r="BL468" s="13"/>
      <c r="BM468" s="13"/>
      <c r="BN468" s="13"/>
      <c r="BO468" s="13"/>
      <c r="BP468" s="13"/>
    </row>
    <row r="469" spans="16:68" s="18" customFormat="1" ht="12.75">
      <c r="P469" s="17"/>
      <c r="Q469" s="102"/>
      <c r="R469" s="128"/>
      <c r="S469" s="130"/>
      <c r="T469" s="165"/>
      <c r="U469" s="130"/>
      <c r="V469" s="130"/>
      <c r="W469" s="130"/>
      <c r="X469" s="130"/>
      <c r="Y469" s="130"/>
      <c r="Z469" s="130"/>
      <c r="AA469" s="130"/>
      <c r="AB469" s="130"/>
      <c r="AC469" s="130"/>
      <c r="AD469" s="130"/>
      <c r="AE469" s="130"/>
      <c r="AF469" s="13"/>
      <c r="AG469" s="13"/>
      <c r="AH469" s="13"/>
      <c r="AI469" s="13"/>
      <c r="AJ469" s="13"/>
      <c r="AK469" s="13"/>
      <c r="AL469" s="13"/>
      <c r="AM469" s="13"/>
      <c r="AN469" s="13"/>
      <c r="AO469" s="13"/>
      <c r="AP469" s="13"/>
      <c r="AQ469" s="23"/>
      <c r="AR469" s="23"/>
      <c r="AS469" s="23"/>
      <c r="AT469" s="23"/>
      <c r="AU469" s="23"/>
      <c r="AV469" s="23"/>
      <c r="AW469" s="23"/>
      <c r="AX469" s="13"/>
      <c r="AY469" s="13"/>
      <c r="AZ469" s="13"/>
      <c r="BA469" s="13"/>
      <c r="BB469" s="13"/>
      <c r="BC469" s="13"/>
      <c r="BD469" s="13"/>
      <c r="BE469" s="13"/>
      <c r="BF469" s="13"/>
      <c r="BG469" s="13"/>
      <c r="BH469" s="13"/>
      <c r="BI469" s="13"/>
      <c r="BJ469" s="13"/>
      <c r="BK469" s="13"/>
      <c r="BL469" s="13"/>
      <c r="BM469" s="13"/>
      <c r="BN469" s="13"/>
      <c r="BO469" s="13"/>
      <c r="BP469" s="13"/>
    </row>
    <row r="470" spans="16:68" s="18" customFormat="1" ht="12.75">
      <c r="P470" s="17"/>
      <c r="Q470" s="102"/>
      <c r="R470" s="128"/>
      <c r="S470" s="130"/>
      <c r="T470" s="165"/>
      <c r="U470" s="130"/>
      <c r="V470" s="130"/>
      <c r="W470" s="130"/>
      <c r="X470" s="130"/>
      <c r="Y470" s="130"/>
      <c r="Z470" s="130"/>
      <c r="AA470" s="130"/>
      <c r="AB470" s="130"/>
      <c r="AC470" s="130"/>
      <c r="AD470" s="130"/>
      <c r="AE470" s="130"/>
      <c r="AF470" s="13"/>
      <c r="AG470" s="13"/>
      <c r="AH470" s="13"/>
      <c r="AI470" s="13"/>
      <c r="AJ470" s="13"/>
      <c r="AK470" s="13"/>
      <c r="AL470" s="13"/>
      <c r="AM470" s="13"/>
      <c r="AN470" s="13"/>
      <c r="AO470" s="13"/>
      <c r="AP470" s="13"/>
      <c r="AQ470" s="23"/>
      <c r="AR470" s="23"/>
      <c r="AS470" s="23"/>
      <c r="AT470" s="23"/>
      <c r="AU470" s="23"/>
      <c r="AV470" s="23"/>
      <c r="AW470" s="23"/>
      <c r="AX470" s="13"/>
      <c r="AY470" s="13"/>
      <c r="AZ470" s="13"/>
      <c r="BA470" s="13"/>
      <c r="BB470" s="13"/>
      <c r="BC470" s="13"/>
      <c r="BD470" s="13"/>
      <c r="BE470" s="13"/>
      <c r="BF470" s="13"/>
      <c r="BG470" s="13"/>
      <c r="BH470" s="13"/>
      <c r="BI470" s="13"/>
      <c r="BJ470" s="13"/>
      <c r="BK470" s="13"/>
      <c r="BL470" s="13"/>
      <c r="BM470" s="13"/>
      <c r="BN470" s="13"/>
      <c r="BO470" s="13"/>
      <c r="BP470" s="13"/>
    </row>
    <row r="471" spans="16:100" s="18" customFormat="1" ht="12.75">
      <c r="P471" s="17"/>
      <c r="Q471" s="102"/>
      <c r="R471" s="128"/>
      <c r="S471" s="130"/>
      <c r="T471" s="165"/>
      <c r="U471" s="130"/>
      <c r="V471" s="130"/>
      <c r="W471" s="130"/>
      <c r="X471" s="130"/>
      <c r="Y471" s="130"/>
      <c r="Z471" s="130"/>
      <c r="AA471" s="130"/>
      <c r="AB471" s="130"/>
      <c r="AC471" s="130"/>
      <c r="AD471" s="130"/>
      <c r="AE471" s="130"/>
      <c r="AF471" s="13"/>
      <c r="AG471" s="13"/>
      <c r="AH471" s="13"/>
      <c r="AI471" s="13"/>
      <c r="AJ471" s="13"/>
      <c r="AK471" s="13"/>
      <c r="AL471" s="13"/>
      <c r="AM471" s="13"/>
      <c r="AN471" s="13"/>
      <c r="AO471" s="13"/>
      <c r="AP471" s="13"/>
      <c r="AQ471" s="23"/>
      <c r="AR471" s="23"/>
      <c r="AS471" s="23"/>
      <c r="AT471" s="23"/>
      <c r="AU471" s="23"/>
      <c r="AV471" s="23"/>
      <c r="AW471" s="23"/>
      <c r="AX471" s="13"/>
      <c r="AY471" s="13"/>
      <c r="AZ471" s="13"/>
      <c r="BA471" s="13"/>
      <c r="BB471" s="13"/>
      <c r="BC471" s="13"/>
      <c r="BD471" s="13"/>
      <c r="BE471" s="13"/>
      <c r="BF471" s="13"/>
      <c r="BG471" s="13"/>
      <c r="BH471" s="13"/>
      <c r="BI471" s="13"/>
      <c r="BJ471" s="13"/>
      <c r="BK471" s="13"/>
      <c r="BL471" s="13"/>
      <c r="BM471" s="13"/>
      <c r="BN471" s="13"/>
      <c r="BO471" s="13"/>
      <c r="BP471" s="13"/>
      <c r="CA471" s="1"/>
      <c r="CB471" s="1"/>
      <c r="CC471" s="1"/>
      <c r="CD471" s="1"/>
      <c r="CE471" s="1"/>
      <c r="CF471" s="1"/>
      <c r="CG471" s="1"/>
      <c r="CH471" s="1"/>
      <c r="CI471" s="1"/>
      <c r="CJ471" s="1"/>
      <c r="CK471" s="1"/>
      <c r="CL471" s="1"/>
      <c r="CM471" s="1"/>
      <c r="CN471" s="1"/>
      <c r="CO471" s="1"/>
      <c r="CP471" s="1"/>
      <c r="CQ471" s="1"/>
      <c r="CR471" s="1"/>
      <c r="CS471" s="1"/>
      <c r="CT471" s="1"/>
      <c r="CU471" s="1"/>
      <c r="CV471" s="1"/>
    </row>
    <row r="472" spans="16:100" s="18" customFormat="1" ht="12.75">
      <c r="P472" s="17"/>
      <c r="Q472" s="102"/>
      <c r="R472" s="128"/>
      <c r="S472" s="130"/>
      <c r="T472" s="165"/>
      <c r="U472" s="130"/>
      <c r="V472" s="130"/>
      <c r="W472" s="130"/>
      <c r="X472" s="130"/>
      <c r="Y472" s="130"/>
      <c r="Z472" s="130"/>
      <c r="AA472" s="130"/>
      <c r="AB472" s="130"/>
      <c r="AC472" s="130"/>
      <c r="AD472" s="130"/>
      <c r="AE472" s="130"/>
      <c r="AF472" s="13"/>
      <c r="AG472" s="13"/>
      <c r="AH472" s="13"/>
      <c r="AI472" s="13"/>
      <c r="AJ472" s="13"/>
      <c r="AK472" s="13"/>
      <c r="AL472" s="13"/>
      <c r="AM472" s="13"/>
      <c r="AN472" s="13"/>
      <c r="AO472" s="13"/>
      <c r="AP472" s="13"/>
      <c r="AQ472" s="23"/>
      <c r="AR472" s="23"/>
      <c r="AS472" s="23"/>
      <c r="AT472" s="23"/>
      <c r="AU472" s="23"/>
      <c r="AV472" s="23"/>
      <c r="AW472" s="23"/>
      <c r="AX472" s="13"/>
      <c r="AY472" s="13"/>
      <c r="AZ472" s="13"/>
      <c r="BA472" s="13"/>
      <c r="BB472" s="13"/>
      <c r="BC472" s="13"/>
      <c r="BD472" s="13"/>
      <c r="BE472" s="13"/>
      <c r="BF472" s="13"/>
      <c r="BG472" s="13"/>
      <c r="BH472" s="13"/>
      <c r="BI472" s="13"/>
      <c r="BJ472" s="13"/>
      <c r="BK472" s="13"/>
      <c r="BL472" s="13"/>
      <c r="BM472" s="13"/>
      <c r="BN472" s="13"/>
      <c r="BO472" s="13"/>
      <c r="BP472" s="13"/>
      <c r="CA472" s="1"/>
      <c r="CB472" s="1"/>
      <c r="CC472" s="1"/>
      <c r="CD472" s="1"/>
      <c r="CE472" s="1"/>
      <c r="CF472" s="1"/>
      <c r="CG472" s="1"/>
      <c r="CH472" s="1"/>
      <c r="CI472" s="1"/>
      <c r="CJ472" s="1"/>
      <c r="CK472" s="1"/>
      <c r="CL472" s="1"/>
      <c r="CM472" s="1"/>
      <c r="CN472" s="1"/>
      <c r="CO472" s="1"/>
      <c r="CP472" s="1"/>
      <c r="CQ472" s="1"/>
      <c r="CR472" s="1"/>
      <c r="CS472" s="1"/>
      <c r="CT472" s="1"/>
      <c r="CU472" s="1"/>
      <c r="CV472" s="1"/>
    </row>
  </sheetData>
  <sheetProtection password="CCF2" sheet="1" objects="1" scenarios="1" selectLockedCells="1"/>
  <mergeCells count="4">
    <mergeCell ref="CF13:CI13"/>
    <mergeCell ref="A12:C12"/>
    <mergeCell ref="I18:J18"/>
    <mergeCell ref="A19:C19"/>
  </mergeCells>
  <conditionalFormatting sqref="A21">
    <cfRule type="cellIs" priority="1" dxfId="1" operator="equal" stopIfTrue="1">
      <formula>$A$45</formula>
    </cfRule>
  </conditionalFormatting>
  <conditionalFormatting sqref="A22">
    <cfRule type="cellIs" priority="2" dxfId="1" operator="equal" stopIfTrue="1">
      <formula>$A$43</formula>
    </cfRule>
  </conditionalFormatting>
  <conditionalFormatting sqref="A20">
    <cfRule type="cellIs" priority="3" dxfId="1" operator="equal" stopIfTrue="1">
      <formula>$A$44</formula>
    </cfRule>
    <cfRule type="cellIs" priority="4" dxfId="1" operator="equal" stopIfTrue="1">
      <formula>$A$43</formula>
    </cfRule>
  </conditionalFormatting>
  <conditionalFormatting sqref="C20:C21">
    <cfRule type="cellIs" priority="5" dxfId="0" operator="equal" stopIfTrue="1">
      <formula>$C$18</formula>
    </cfRule>
  </conditionalFormatting>
  <dataValidations count="3">
    <dataValidation type="list" allowBlank="1" showInputMessage="1" showErrorMessage="1" sqref="C65 K4 K13">
      <formula1>$C$52:$C$53</formula1>
    </dataValidation>
    <dataValidation type="list" allowBlank="1" showInputMessage="1" showErrorMessage="1" sqref="P12">
      <formula1>$A$46:$A$47</formula1>
    </dataValidation>
    <dataValidation type="list" allowBlank="1" showInputMessage="1" showErrorMessage="1" sqref="B18">
      <formula1>$R$5:$R$33</formula1>
    </dataValidation>
  </dataValidations>
  <printOptions horizontalCentered="1"/>
  <pageMargins left="0.23" right="0.18" top="0.41" bottom="0.44" header="0.17" footer="0.25"/>
  <pageSetup fitToHeight="1" fitToWidth="1" horizontalDpi="600" verticalDpi="600" orientation="landscape" scale="85" r:id="rId2"/>
  <ignoredErrors>
    <ignoredError sqref="F46" evalError="1"/>
  </ignoredError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1" customWidth="1"/>
  </cols>
  <sheetData/>
  <sheetProtection password="CCF2" sheet="1" objects="1" scenarios="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 User</dc:creator>
  <cp:keywords/>
  <dc:description/>
  <cp:lastModifiedBy>Carlton Stedman</cp:lastModifiedBy>
  <cp:lastPrinted>2011-08-02T18:23:58Z</cp:lastPrinted>
  <dcterms:created xsi:type="dcterms:W3CDTF">2006-12-01T12:40:51Z</dcterms:created>
  <dcterms:modified xsi:type="dcterms:W3CDTF">2012-07-13T18:16:35Z</dcterms:modified>
  <cp:category/>
  <cp:version/>
  <cp:contentType/>
  <cp:contentStatus/>
</cp:coreProperties>
</file>